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main/GitHub/sweet_sure-2050-switzerland/dev/"/>
    </mc:Choice>
  </mc:AlternateContent>
  <xr:revisionPtr revIDLastSave="0" documentId="13_ncr:1_{E828DC95-7B0A-254A-9D66-8ED6AE84187E}" xr6:coauthVersionLast="47" xr6:coauthVersionMax="47" xr10:uidLastSave="{00000000-0000-0000-0000-000000000000}"/>
  <bookViews>
    <workbookView xWindow="0" yWindow="760" windowWidth="27200" windowHeight="18880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11" i="1" l="1"/>
  <c r="C710" i="1"/>
  <c r="K1688" i="1" l="1" a="1"/>
  <c r="K1688" i="1" s="1"/>
  <c r="J1688" i="1" a="1"/>
  <c r="J1688" i="1" s="1"/>
  <c r="F1688" i="1" a="1"/>
  <c r="F1688" i="1" s="1"/>
  <c r="G1688" i="1" a="1"/>
  <c r="G1688" i="1" s="1"/>
  <c r="I1688" i="1" a="1"/>
  <c r="I1688" i="1" s="1"/>
  <c r="H1688" i="1" a="1"/>
  <c r="H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F1671" i="1" a="1"/>
  <c r="F1671" i="1" s="1"/>
  <c r="J1666" i="1" a="1"/>
  <c r="J1666" i="1" s="1"/>
  <c r="G1671" i="1" a="1"/>
  <c r="G1671" i="1" s="1"/>
  <c r="J1667" i="1" a="1"/>
  <c r="J1667" i="1" s="1"/>
  <c r="F1669" i="1" a="1"/>
  <c r="F1669" i="1" s="1"/>
  <c r="J1670" i="1" a="1"/>
  <c r="J1670" i="1" s="1"/>
  <c r="G1665" i="1" a="1"/>
  <c r="G1665" i="1" s="1"/>
  <c r="I1668" i="1" a="1"/>
  <c r="I1668" i="1" s="1"/>
  <c r="G1670" i="1" a="1"/>
  <c r="G1670" i="1"/>
  <c r="F1665" i="1" a="1"/>
  <c r="F1665" i="1" s="1"/>
  <c r="J1671" i="1" a="1"/>
  <c r="J1671" i="1" s="1"/>
  <c r="I1671" i="1" a="1"/>
  <c r="I1671" i="1" s="1"/>
  <c r="F1668" i="1" a="1"/>
  <c r="F1668" i="1" s="1"/>
  <c r="H1665" i="1" a="1"/>
  <c r="H1665" i="1" s="1"/>
  <c r="K1663" i="1" a="1"/>
  <c r="K1663" i="1" s="1"/>
  <c r="K1668" i="1" a="1"/>
  <c r="K1668" i="1" s="1"/>
  <c r="K1667" i="1" a="1"/>
  <c r="K1667" i="1" s="1"/>
  <c r="K1665" i="1" a="1"/>
  <c r="K1665" i="1" s="1"/>
  <c r="I1664" i="1" a="1"/>
  <c r="I1664" i="1"/>
  <c r="I1667" i="1" a="1"/>
  <c r="I1667" i="1" s="1"/>
  <c r="K1666" i="1" a="1"/>
  <c r="K1666" i="1" s="1"/>
  <c r="G1666" i="1" a="1"/>
  <c r="G1666" i="1" s="1"/>
  <c r="K1670" i="1" a="1"/>
  <c r="K1670" i="1" s="1"/>
  <c r="G1668" i="1" a="1"/>
  <c r="G1668" i="1" s="1"/>
  <c r="I1670" i="1" a="1"/>
  <c r="I1670" i="1" s="1"/>
  <c r="H1666" i="1" a="1"/>
  <c r="H1666" i="1" s="1"/>
  <c r="H1669" i="1" a="1"/>
  <c r="H1669" i="1" s="1"/>
  <c r="J1668" i="1" a="1"/>
  <c r="J1668" i="1" s="1"/>
  <c r="G1669" i="1" a="1"/>
  <c r="G1669" i="1" s="1"/>
  <c r="I1666" i="1" a="1"/>
  <c r="I1666" i="1" s="1"/>
  <c r="F1664" i="1" a="1"/>
  <c r="F1664" i="1" s="1"/>
  <c r="H1671" i="1" a="1"/>
  <c r="H1671" i="1" s="1"/>
  <c r="I1669" i="1" a="1"/>
  <c r="I1669" i="1" s="1"/>
  <c r="K1669" i="1" a="1"/>
  <c r="K1669" i="1" s="1"/>
  <c r="K1664" i="1" a="1"/>
  <c r="K1664" i="1" s="1"/>
  <c r="G1667" i="1" a="1"/>
  <c r="G1667" i="1" s="1"/>
  <c r="H1670" i="1" a="1"/>
  <c r="H1670" i="1" s="1"/>
  <c r="H1668" i="1" a="1"/>
  <c r="H1668" i="1" s="1"/>
  <c r="H1667" i="1" a="1"/>
  <c r="H1667" i="1" s="1"/>
  <c r="F1666" i="1" a="1"/>
  <c r="F1666" i="1" s="1"/>
  <c r="F1667" i="1" a="1"/>
  <c r="F1667" i="1" s="1"/>
  <c r="J1665" i="1" a="1"/>
  <c r="J1665" i="1" s="1"/>
  <c r="H1664" i="1" a="1"/>
  <c r="H1664" i="1" s="1"/>
  <c r="F1670" i="1" a="1"/>
  <c r="F1670" i="1" s="1"/>
  <c r="I1665" i="1" a="1"/>
  <c r="I1665" i="1" s="1"/>
  <c r="G1664" i="1" a="1"/>
  <c r="G1664" i="1" s="1"/>
  <c r="K1671" i="1" a="1"/>
  <c r="K1671" i="1" s="1"/>
  <c r="J1669" i="1" a="1"/>
  <c r="J1669" i="1" s="1"/>
  <c r="J1664" i="1" a="1"/>
  <c r="J1664" i="1" s="1"/>
  <c r="J1662" i="1" a="1"/>
  <c r="J1662" i="1" s="1"/>
  <c r="J1660" i="1" a="1"/>
  <c r="J1660" i="1" s="1"/>
  <c r="I1658" i="1" a="1"/>
  <c r="I1658" i="1" s="1"/>
  <c r="J1652" i="1" a="1"/>
  <c r="J1652" i="1" s="1"/>
  <c r="I1662" i="1" a="1"/>
  <c r="I1662" i="1" s="1"/>
  <c r="H1646" i="1" a="1"/>
  <c r="H1646" i="1" s="1"/>
  <c r="G1662" i="1" a="1"/>
  <c r="G1662" i="1" s="1"/>
  <c r="F1662" i="1" a="1"/>
  <c r="F1662" i="1" s="1"/>
  <c r="K1660" i="1" a="1"/>
  <c r="K1660" i="1" s="1"/>
  <c r="G1646" i="1" a="1"/>
  <c r="G1646" i="1" s="1"/>
  <c r="I1660" i="1" a="1"/>
  <c r="I1660" i="1" s="1"/>
  <c r="K1658" i="1" a="1"/>
  <c r="K1658" i="1" s="1"/>
  <c r="H1660" i="1" a="1"/>
  <c r="H1660" i="1" s="1"/>
  <c r="G1660" i="1" a="1"/>
  <c r="G1660" i="1" s="1"/>
  <c r="G1659" i="1" a="1"/>
  <c r="G1659" i="1" s="1"/>
  <c r="J1658" i="1" a="1"/>
  <c r="J1658" i="1" s="1"/>
  <c r="G1658" i="1" a="1"/>
  <c r="G1658" i="1" s="1"/>
  <c r="F1658" i="1" a="1"/>
  <c r="F1658" i="1" s="1"/>
  <c r="K1652" i="1" a="1"/>
  <c r="K1652" i="1" s="1"/>
  <c r="H1652" i="1" a="1"/>
  <c r="H1652" i="1" s="1"/>
  <c r="G1652" i="1" a="1"/>
  <c r="G1652" i="1" s="1"/>
  <c r="I1646" i="1" a="1"/>
  <c r="I1646" i="1" s="1"/>
  <c r="K1645" i="1" a="1"/>
  <c r="K1645" i="1" s="1"/>
  <c r="J1646" i="1" a="1"/>
  <c r="J1646" i="1" s="1"/>
  <c r="I1659" i="1" a="1"/>
  <c r="I1659" i="1" s="1"/>
  <c r="K1659" i="1" a="1"/>
  <c r="K1659" i="1" s="1"/>
  <c r="H1659" i="1" a="1"/>
  <c r="H1659" i="1" s="1"/>
  <c r="F1659" i="1" a="1"/>
  <c r="F1659" i="1" s="1"/>
  <c r="H1658" i="1" a="1"/>
  <c r="H1658" i="1" s="1"/>
  <c r="I1652" i="1" a="1"/>
  <c r="I1652" i="1" s="1"/>
  <c r="K1646" i="1" a="1"/>
  <c r="K1646" i="1" s="1"/>
  <c r="J1645" i="1" a="1"/>
  <c r="J1645" i="1" s="1"/>
  <c r="H1662" i="1" a="1"/>
  <c r="H1662" i="1" s="1"/>
  <c r="J1663" i="1" a="1"/>
  <c r="J1663" i="1" s="1"/>
  <c r="F1652" i="1" a="1"/>
  <c r="F1652" i="1" s="1"/>
  <c r="F1660" i="1" a="1"/>
  <c r="F1660" i="1" s="1"/>
  <c r="J1659" i="1" a="1"/>
  <c r="J1659" i="1" s="1"/>
  <c r="F1646" i="1" a="1"/>
  <c r="F1646" i="1" s="1"/>
  <c r="I1663" i="1" a="1"/>
  <c r="I1663" i="1" s="1"/>
  <c r="H1663" i="1" a="1"/>
  <c r="H1663" i="1" s="1"/>
  <c r="G1663" i="1" a="1"/>
  <c r="G1663" i="1" s="1"/>
  <c r="F1663" i="1" a="1"/>
  <c r="F1663" i="1" s="1"/>
  <c r="K1662" i="1" a="1"/>
  <c r="K1662" i="1" s="1"/>
  <c r="J1642" i="1" a="1"/>
  <c r="J1642" i="1" s="1"/>
  <c r="F1640" i="1" a="1"/>
  <c r="F1640" i="1" s="1"/>
  <c r="G1627" i="1" a="1"/>
  <c r="G1627" i="1" s="1"/>
  <c r="J1626" i="1" a="1"/>
  <c r="J1626" i="1" s="1"/>
  <c r="F1625" i="1" a="1"/>
  <c r="F1625" i="1" s="1"/>
  <c r="I1642" i="1" a="1"/>
  <c r="I1642" i="1" s="1"/>
  <c r="F1642" i="1" a="1"/>
  <c r="F1642" i="1" s="1"/>
  <c r="I1626" i="1" a="1"/>
  <c r="I1626" i="1" s="1"/>
  <c r="H1626" i="1" a="1"/>
  <c r="H1626" i="1" s="1"/>
  <c r="I1625" i="1" a="1"/>
  <c r="I1625" i="1" s="1"/>
  <c r="I1641" i="1" a="1"/>
  <c r="I1641" i="1" s="1"/>
  <c r="J1640" i="1" a="1"/>
  <c r="J1640" i="1" s="1"/>
  <c r="F1626" i="1" a="1"/>
  <c r="F1626" i="1" s="1"/>
  <c r="G1640" i="1" a="1"/>
  <c r="G1640" i="1" s="1"/>
  <c r="J1641" i="1" a="1"/>
  <c r="J1641" i="1" s="1"/>
  <c r="G1625" i="1" a="1"/>
  <c r="G1625" i="1" s="1"/>
  <c r="H1641" i="1" a="1"/>
  <c r="H1641" i="1" s="1"/>
  <c r="K1640" i="1" a="1"/>
  <c r="K1640" i="1" s="1"/>
  <c r="F1627" i="1" a="1"/>
  <c r="F1627" i="1" s="1"/>
  <c r="H1627" i="1" a="1"/>
  <c r="H1627" i="1" s="1"/>
  <c r="G1641" i="1" a="1"/>
  <c r="G1641" i="1" s="1"/>
  <c r="H1625" i="1" a="1"/>
  <c r="H1625" i="1" s="1"/>
  <c r="H1640" i="1" a="1"/>
  <c r="H1640" i="1" s="1"/>
  <c r="I1640" i="1" a="1"/>
  <c r="I1640" i="1" s="1"/>
  <c r="K1625" i="1" a="1"/>
  <c r="K1625" i="1" s="1"/>
  <c r="G1626" i="1" a="1"/>
  <c r="G1626" i="1" s="1"/>
  <c r="K1627" i="1" a="1"/>
  <c r="K1627" i="1" s="1"/>
  <c r="H1642" i="1" a="1"/>
  <c r="H1642" i="1" s="1"/>
  <c r="K1626" i="1" a="1"/>
  <c r="K1626" i="1" s="1"/>
  <c r="J1625" i="1" a="1"/>
  <c r="J1625" i="1" s="1"/>
  <c r="G1642" i="1" a="1"/>
  <c r="G1642" i="1" s="1"/>
  <c r="F1641" i="1" a="1"/>
  <c r="F1641" i="1" s="1"/>
  <c r="F1645" i="1" a="1"/>
  <c r="F1645" i="1" s="1"/>
  <c r="I1645" i="1" a="1"/>
  <c r="I1645" i="1" s="1"/>
  <c r="H1645" i="1" a="1"/>
  <c r="H1645" i="1" s="1"/>
  <c r="J1627" i="1" a="1"/>
  <c r="J1627" i="1" s="1"/>
  <c r="G1645" i="1" a="1"/>
  <c r="G1645" i="1" s="1"/>
  <c r="K1644" i="1" a="1"/>
  <c r="K1644" i="1" s="1"/>
  <c r="F1644" i="1" a="1"/>
  <c r="F1644" i="1" s="1"/>
  <c r="J1644" i="1" a="1"/>
  <c r="J1644" i="1" s="1"/>
  <c r="I1644" i="1" a="1"/>
  <c r="I1644" i="1" s="1"/>
  <c r="H1644" i="1" a="1"/>
  <c r="H1644" i="1" s="1"/>
  <c r="G1644" i="1" a="1"/>
  <c r="G1644" i="1" s="1"/>
  <c r="I1627" i="1" a="1"/>
  <c r="I1627" i="1" s="1"/>
  <c r="K1642" i="1" a="1"/>
  <c r="K1642" i="1" s="1"/>
  <c r="K1624" i="1" a="1"/>
  <c r="K1624" i="1" s="1"/>
  <c r="K1641" i="1" a="1"/>
  <c r="K1641" i="1" s="1"/>
  <c r="H1623" i="1" a="1"/>
  <c r="H1623" i="1" s="1"/>
  <c r="K1622" i="1" a="1"/>
  <c r="K1622" i="1" s="1"/>
  <c r="J1622" i="1" a="1"/>
  <c r="J1622" i="1" s="1"/>
  <c r="G1621" i="1" a="1"/>
  <c r="G1621" i="1" s="1"/>
  <c r="J1620" i="1" a="1"/>
  <c r="J1620" i="1" s="1"/>
  <c r="K1619" i="1" a="1"/>
  <c r="K1619" i="1" s="1"/>
  <c r="H1622" i="1" a="1"/>
  <c r="H1622" i="1" s="1"/>
  <c r="G1622" i="1" a="1"/>
  <c r="G1622" i="1" s="1"/>
  <c r="H1621" i="1" a="1"/>
  <c r="H1621" i="1" s="1"/>
  <c r="K1617" i="1" a="1"/>
  <c r="K1617" i="1" s="1"/>
  <c r="J1617" i="1" a="1"/>
  <c r="J1617" i="1" s="1"/>
  <c r="G1619" i="1" a="1"/>
  <c r="G1619" i="1" s="1"/>
  <c r="F1619" i="1" a="1"/>
  <c r="F1619" i="1" s="1"/>
  <c r="H1617" i="1" a="1"/>
  <c r="H1617" i="1" s="1"/>
  <c r="F1622" i="1" a="1"/>
  <c r="F1622" i="1" s="1"/>
  <c r="K1620" i="1" a="1"/>
  <c r="K1620" i="1" s="1"/>
  <c r="I1621" i="1" a="1"/>
  <c r="I1621" i="1" s="1"/>
  <c r="H1619" i="1" a="1"/>
  <c r="H1619" i="1" s="1"/>
  <c r="F1611" i="1" a="1"/>
  <c r="F1611" i="1" s="1"/>
  <c r="I1611" i="1" a="1"/>
  <c r="I1611" i="1" s="1"/>
  <c r="K1621" i="1" a="1"/>
  <c r="K1621" i="1" s="1"/>
  <c r="H1620" i="1" a="1"/>
  <c r="H1620" i="1" s="1"/>
  <c r="I1619" i="1" a="1"/>
  <c r="I1619" i="1" s="1"/>
  <c r="I1617" i="1" a="1"/>
  <c r="I1617" i="1" s="1"/>
  <c r="J1611" i="1" a="1"/>
  <c r="J1611" i="1" s="1"/>
  <c r="G1611" i="1" a="1"/>
  <c r="G1611" i="1" s="1"/>
  <c r="K1610" i="1" a="1"/>
  <c r="K1610" i="1" s="1"/>
  <c r="J1610" i="1" a="1"/>
  <c r="J1610" i="1" s="1"/>
  <c r="J1624" i="1" a="1"/>
  <c r="J1624" i="1" s="1"/>
  <c r="F1623" i="1" a="1"/>
  <c r="F1623" i="1" s="1"/>
  <c r="J1621" i="1" a="1"/>
  <c r="J1621" i="1" s="1"/>
  <c r="I1622" i="1" a="1"/>
  <c r="I1622" i="1" s="1"/>
  <c r="I1620" i="1" a="1"/>
  <c r="I1620" i="1" s="1"/>
  <c r="J1619" i="1" a="1"/>
  <c r="J1619" i="1" s="1"/>
  <c r="H1611" i="1" a="1"/>
  <c r="H1611" i="1" s="1"/>
  <c r="F1617" i="1" a="1"/>
  <c r="F1617" i="1" s="1"/>
  <c r="K1611" i="1" a="1"/>
  <c r="K1611" i="1" s="1"/>
  <c r="G1623" i="1" a="1"/>
  <c r="G1623" i="1" s="1"/>
  <c r="F1621" i="1" a="1"/>
  <c r="F1621" i="1" s="1"/>
  <c r="F1620" i="1" a="1"/>
  <c r="F1620" i="1" s="1"/>
  <c r="G1620" i="1" a="1"/>
  <c r="G1620" i="1" s="1"/>
  <c r="I1610" i="1" a="1"/>
  <c r="I1610" i="1" s="1"/>
  <c r="G1624" i="1" a="1"/>
  <c r="G1624" i="1" s="1"/>
  <c r="I1624" i="1" a="1"/>
  <c r="I1624" i="1" s="1"/>
  <c r="H1624" i="1" a="1"/>
  <c r="H1624" i="1" s="1"/>
  <c r="F1624" i="1" a="1"/>
  <c r="F1624" i="1" s="1"/>
  <c r="K1623" i="1" a="1"/>
  <c r="K1623" i="1" s="1"/>
  <c r="G1617" i="1" a="1"/>
  <c r="G1617" i="1" s="1"/>
  <c r="J1623" i="1" a="1"/>
  <c r="J1623" i="1" s="1"/>
  <c r="I1623" i="1" a="1"/>
  <c r="I1623" i="1" s="1"/>
  <c r="G1602" i="1" a="1"/>
  <c r="G1602" i="1" s="1"/>
  <c r="F1593" i="1" a="1"/>
  <c r="F1593" i="1" s="1"/>
  <c r="G1603" i="1" a="1"/>
  <c r="G1603" i="1" s="1"/>
  <c r="H1602" i="1" a="1"/>
  <c r="H1602" i="1" s="1"/>
  <c r="K1593" i="1" a="1"/>
  <c r="K1593" i="1" s="1"/>
  <c r="J1594" i="1" a="1"/>
  <c r="J1594" i="1" s="1"/>
  <c r="F1594" i="1" a="1"/>
  <c r="F1594" i="1" s="1"/>
  <c r="K1602" i="1" a="1"/>
  <c r="K1602" i="1" s="1"/>
  <c r="J1602" i="1" a="1"/>
  <c r="J1602" i="1" s="1"/>
  <c r="F1596" i="1" a="1"/>
  <c r="F1596" i="1" s="1"/>
  <c r="H1594" i="1" a="1"/>
  <c r="H1594" i="1" s="1"/>
  <c r="I1596" i="1" a="1"/>
  <c r="I1596" i="1" s="1"/>
  <c r="H1610" i="1" a="1"/>
  <c r="H1610" i="1" s="1"/>
  <c r="G1610" i="1" a="1"/>
  <c r="G1610" i="1" s="1"/>
  <c r="F1610" i="1" a="1"/>
  <c r="F1610" i="1" s="1"/>
  <c r="K1609" i="1" a="1"/>
  <c r="K1609" i="1" s="1"/>
  <c r="H1609" i="1" a="1"/>
  <c r="H1609" i="1" s="1"/>
  <c r="F1609" i="1" a="1"/>
  <c r="F1609" i="1" s="1"/>
  <c r="G1593" i="1" a="1"/>
  <c r="G1593" i="1" s="1"/>
  <c r="I1603" i="1" a="1"/>
  <c r="I1603" i="1" s="1"/>
  <c r="J1593" i="1" a="1"/>
  <c r="J1593" i="1" s="1"/>
  <c r="I1602" i="1" a="1"/>
  <c r="I1602" i="1" s="1"/>
  <c r="F1603" i="1" a="1"/>
  <c r="F1603" i="1" s="1"/>
  <c r="K1596" i="1" a="1"/>
  <c r="K1596" i="1" s="1"/>
  <c r="K1603" i="1" a="1"/>
  <c r="K1603" i="1" s="1"/>
  <c r="I1593" i="1" a="1"/>
  <c r="I1593" i="1" s="1"/>
  <c r="K1594" i="1" a="1"/>
  <c r="K1594" i="1" s="1"/>
  <c r="J1609" i="1" a="1"/>
  <c r="J1609" i="1" s="1"/>
  <c r="H1603" i="1" a="1"/>
  <c r="H1603" i="1" s="1"/>
  <c r="H1593" i="1" a="1"/>
  <c r="H1593" i="1"/>
  <c r="I1609" i="1" a="1"/>
  <c r="I1609" i="1" s="1"/>
  <c r="H1596" i="1" a="1"/>
  <c r="H1596" i="1" s="1"/>
  <c r="G1609" i="1" a="1"/>
  <c r="G1609" i="1" s="1"/>
  <c r="G1596" i="1" a="1"/>
  <c r="G1596" i="1" s="1"/>
  <c r="J1596" i="1" a="1"/>
  <c r="J1596" i="1" s="1"/>
  <c r="I1594" i="1" a="1"/>
  <c r="I1594" i="1" s="1"/>
  <c r="F1602" i="1" a="1"/>
  <c r="F1602" i="1" s="1"/>
  <c r="G1594" i="1" a="1"/>
  <c r="G1594" i="1" s="1"/>
  <c r="J1603" i="1" a="1"/>
  <c r="J1603" i="1" s="1"/>
  <c r="I1580" i="1" a="1"/>
  <c r="I1580" i="1" s="1"/>
  <c r="H1575" i="1" a="1"/>
  <c r="H1575" i="1" s="1"/>
  <c r="I1576" i="1" a="1"/>
  <c r="I1576" i="1" s="1"/>
  <c r="K1579" i="1" a="1"/>
  <c r="K1579" i="1" s="1"/>
  <c r="K1580" i="1" a="1"/>
  <c r="K1580" i="1" s="1"/>
  <c r="H1580" i="1" a="1"/>
  <c r="H1580" i="1" s="1"/>
  <c r="K1576" i="1" a="1"/>
  <c r="K1576" i="1" s="1"/>
  <c r="J1578" i="1" a="1"/>
  <c r="J1578" i="1" s="1"/>
  <c r="G1576" i="1" a="1"/>
  <c r="G1576" i="1" s="1"/>
  <c r="G1579" i="1" a="1"/>
  <c r="G1579" i="1" s="1"/>
  <c r="F1576" i="1" a="1"/>
  <c r="F1576" i="1" s="1"/>
  <c r="H1578" i="1" a="1"/>
  <c r="H1578" i="1" s="1"/>
  <c r="G1578" i="1" a="1"/>
  <c r="G1578" i="1" s="1"/>
  <c r="I1578" i="1" a="1"/>
  <c r="I1578" i="1" s="1"/>
  <c r="G1575" i="1" a="1"/>
  <c r="G1575" i="1" s="1"/>
  <c r="J1574" i="1" a="1"/>
  <c r="J1574" i="1" s="1"/>
  <c r="G1580" i="1" a="1"/>
  <c r="G1580" i="1" s="1"/>
  <c r="K1574" i="1" a="1"/>
  <c r="K1574" i="1" s="1"/>
  <c r="J1579" i="1" a="1"/>
  <c r="J1579" i="1" s="1"/>
  <c r="K1577" i="1" a="1"/>
  <c r="K1577" i="1" s="1"/>
  <c r="I1577" i="1" a="1"/>
  <c r="I1577" i="1" s="1"/>
  <c r="H1577" i="1" a="1"/>
  <c r="H1577" i="1" s="1"/>
  <c r="J1575" i="1" a="1"/>
  <c r="J1575" i="1" s="1"/>
  <c r="I1579" i="1" a="1"/>
  <c r="I1579" i="1" s="1"/>
  <c r="I1575" i="1" a="1"/>
  <c r="I1575" i="1" s="1"/>
  <c r="F1580" i="1" a="1"/>
  <c r="F1580" i="1" s="1"/>
  <c r="H1579" i="1" a="1"/>
  <c r="H1579" i="1" s="1"/>
  <c r="F1579" i="1" a="1"/>
  <c r="F1579" i="1" s="1"/>
  <c r="H1576" i="1" a="1"/>
  <c r="H1576" i="1" s="1"/>
  <c r="K1575" i="1" a="1"/>
  <c r="K1575" i="1" s="1"/>
  <c r="F1575" i="1" a="1"/>
  <c r="F1575" i="1" s="1"/>
  <c r="K1578" i="1" a="1"/>
  <c r="K1578" i="1" s="1"/>
  <c r="G1577" i="1" a="1"/>
  <c r="G1577" i="1" s="1"/>
  <c r="F1577" i="1" a="1"/>
  <c r="F1577" i="1" s="1"/>
  <c r="J1577" i="1" a="1"/>
  <c r="J1577" i="1" s="1"/>
  <c r="J1580" i="1" a="1"/>
  <c r="J1580" i="1" s="1"/>
  <c r="J1576" i="1" a="1"/>
  <c r="J1576" i="1" s="1"/>
  <c r="F1578" i="1" a="1"/>
  <c r="F1578" i="1" s="1"/>
  <c r="H1573" i="1" a="1"/>
  <c r="H1573" i="1" s="1"/>
  <c r="I1572" i="1" a="1"/>
  <c r="I1572" i="1" s="1"/>
  <c r="K1556" i="1" a="1"/>
  <c r="K1556" i="1" s="1"/>
  <c r="G1572" i="1" a="1"/>
  <c r="G1572" i="1" s="1"/>
  <c r="J1564" i="1" a="1"/>
  <c r="J1564" i="1" s="1"/>
  <c r="I1564" i="1" a="1"/>
  <c r="I1564" i="1" s="1"/>
  <c r="F1573" i="1" a="1"/>
  <c r="F1573" i="1" s="1"/>
  <c r="G1574" i="1" a="1"/>
  <c r="G1574" i="1" s="1"/>
  <c r="F1564" i="1" a="1"/>
  <c r="F1564" i="1" s="1"/>
  <c r="G1563" i="1" a="1"/>
  <c r="G1563" i="1" s="1"/>
  <c r="K1564" i="1" a="1"/>
  <c r="K1564" i="1" s="1"/>
  <c r="J1573" i="1" a="1"/>
  <c r="J1573" i="1" s="1"/>
  <c r="K1570" i="1" a="1"/>
  <c r="K1570" i="1" s="1"/>
  <c r="I1570" i="1" a="1"/>
  <c r="I1570" i="1" s="1"/>
  <c r="I1563" i="1" a="1"/>
  <c r="I1563" i="1" s="1"/>
  <c r="H1564" i="1" a="1"/>
  <c r="H1564" i="1" s="1"/>
  <c r="G1570" i="1" a="1"/>
  <c r="G1570" i="1" s="1"/>
  <c r="H1572" i="1" a="1"/>
  <c r="H1572" i="1" s="1"/>
  <c r="F1572" i="1" a="1"/>
  <c r="F1572" i="1" s="1"/>
  <c r="F1574" i="1" a="1"/>
  <c r="F1574" i="1" s="1"/>
  <c r="K1573" i="1" a="1"/>
  <c r="K1573" i="1" s="1"/>
  <c r="F1563" i="1" a="1"/>
  <c r="F1563" i="1" s="1"/>
  <c r="G1573" i="1" a="1"/>
  <c r="G1573" i="1" s="1"/>
  <c r="K1562" i="1" a="1"/>
  <c r="K1562" i="1" s="1"/>
  <c r="H1556" i="1" a="1"/>
  <c r="H1556" i="1" s="1"/>
  <c r="J1556" i="1" a="1"/>
  <c r="J1556" i="1" s="1"/>
  <c r="G1556" i="1" a="1"/>
  <c r="G1556" i="1" s="1"/>
  <c r="K1572" i="1" a="1"/>
  <c r="K1572" i="1" s="1"/>
  <c r="H1563" i="1" a="1"/>
  <c r="H1563" i="1" s="1"/>
  <c r="J1562" i="1" a="1"/>
  <c r="J1562" i="1" s="1"/>
  <c r="J1572" i="1" a="1"/>
  <c r="J1572" i="1" s="1"/>
  <c r="J1570" i="1" a="1"/>
  <c r="J1570" i="1" s="1"/>
  <c r="H1570" i="1" a="1"/>
  <c r="H1570" i="1" s="1"/>
  <c r="J1563" i="1" a="1"/>
  <c r="J1563" i="1" s="1"/>
  <c r="G1562" i="1" a="1"/>
  <c r="G1562" i="1" s="1"/>
  <c r="I1562" i="1" a="1"/>
  <c r="I1562" i="1" s="1"/>
  <c r="K1563" i="1" a="1"/>
  <c r="K1563" i="1" s="1"/>
  <c r="I1556" i="1" a="1"/>
  <c r="I1556" i="1" s="1"/>
  <c r="G1564" i="1" a="1"/>
  <c r="G1564" i="1" s="1"/>
  <c r="I1574" i="1" a="1"/>
  <c r="I1574" i="1" s="1"/>
  <c r="H1562" i="1" a="1"/>
  <c r="H1562" i="1" s="1"/>
  <c r="H1574" i="1" a="1"/>
  <c r="H1574" i="1" s="1"/>
  <c r="F1570" i="1" a="1"/>
  <c r="F1570" i="1" s="1"/>
  <c r="F1562" i="1" a="1"/>
  <c r="F1562" i="1" s="1"/>
  <c r="I1573" i="1" a="1"/>
  <c r="I1573" i="1" s="1"/>
  <c r="J1529" i="1" a="1"/>
  <c r="J1529" i="1" s="1"/>
  <c r="G1555" i="1" a="1"/>
  <c r="G1555" i="1" s="1"/>
  <c r="I1546" i="1" a="1"/>
  <c r="I1546" i="1" s="1"/>
  <c r="F1528" i="1" a="1"/>
  <c r="F1528" i="1" s="1"/>
  <c r="F1555" i="1" a="1"/>
  <c r="F1555" i="1" s="1"/>
  <c r="H1528" i="1" a="1"/>
  <c r="H1528" i="1" s="1"/>
  <c r="G1527" i="1" a="1"/>
  <c r="G1527" i="1" s="1"/>
  <c r="I1549" i="1" a="1"/>
  <c r="I1549" i="1" s="1"/>
  <c r="H1549" i="1" a="1"/>
  <c r="H1549" i="1" s="1"/>
  <c r="G1549" i="1" a="1"/>
  <c r="G1549" i="1" s="1"/>
  <c r="F1549" i="1" a="1"/>
  <c r="F1549" i="1" s="1"/>
  <c r="J1528" i="1" a="1"/>
  <c r="J1528" i="1" s="1"/>
  <c r="I1547" i="1" a="1"/>
  <c r="I1547" i="1" s="1"/>
  <c r="H1547" i="1" a="1"/>
  <c r="H1547" i="1" s="1"/>
  <c r="H1527" i="1" a="1"/>
  <c r="H1527" i="1" s="1"/>
  <c r="G1547" i="1" a="1"/>
  <c r="G1547" i="1" s="1"/>
  <c r="F1546" i="1" a="1"/>
  <c r="F1546" i="1" s="1"/>
  <c r="H1546" i="1" a="1"/>
  <c r="H1546" i="1" s="1"/>
  <c r="G1546" i="1" a="1"/>
  <c r="G1546" i="1" s="1"/>
  <c r="I1528" i="1" a="1"/>
  <c r="I1528" i="1" s="1"/>
  <c r="F1527" i="1" a="1"/>
  <c r="F1527" i="1" s="1"/>
  <c r="F1529" i="1" a="1"/>
  <c r="F1529" i="1" s="1"/>
  <c r="J1527" i="1" a="1"/>
  <c r="J1527" i="1" s="1"/>
  <c r="G1529" i="1" a="1"/>
  <c r="G1529" i="1" s="1"/>
  <c r="K1528" i="1" a="1"/>
  <c r="K1528" i="1" s="1"/>
  <c r="K1526" i="1" a="1"/>
  <c r="K1526" i="1" s="1"/>
  <c r="I1527" i="1" a="1"/>
  <c r="I1527" i="1" s="1"/>
  <c r="J1546" i="1" a="1"/>
  <c r="J1546" i="1" s="1"/>
  <c r="J1547" i="1" a="1"/>
  <c r="J1547" i="1" s="1"/>
  <c r="H1529" i="1" a="1"/>
  <c r="H1529" i="1" s="1"/>
  <c r="K1549" i="1" a="1"/>
  <c r="K1549" i="1" s="1"/>
  <c r="K1546" i="1" a="1"/>
  <c r="K1546" i="1" s="1"/>
  <c r="F1556" i="1" a="1"/>
  <c r="F1556" i="1" s="1"/>
  <c r="K1555" i="1" a="1"/>
  <c r="K1555" i="1" s="1"/>
  <c r="J1549" i="1" a="1"/>
  <c r="J1549" i="1" s="1"/>
  <c r="F1547" i="1" a="1"/>
  <c r="F1547" i="1" s="1"/>
  <c r="K1527" i="1" a="1"/>
  <c r="K1527" i="1" s="1"/>
  <c r="J1555" i="1" a="1"/>
  <c r="J1555" i="1" s="1"/>
  <c r="K1547" i="1" a="1"/>
  <c r="K1547" i="1" s="1"/>
  <c r="G1528" i="1" a="1"/>
  <c r="G1528" i="1" s="1"/>
  <c r="K1529" i="1" a="1"/>
  <c r="K1529" i="1" s="1"/>
  <c r="I1529" i="1" a="1"/>
  <c r="I1529" i="1" s="1"/>
  <c r="I1555" i="1" a="1"/>
  <c r="I1555" i="1" s="1"/>
  <c r="H1555" i="1" a="1"/>
  <c r="H1555" i="1" s="1"/>
  <c r="I1504" i="1" a="1"/>
  <c r="I1504" i="1" s="1"/>
  <c r="G1504" i="1" a="1"/>
  <c r="G1504" i="1" s="1"/>
  <c r="J1514" i="1" a="1"/>
  <c r="J1514" i="1" s="1"/>
  <c r="F1514" i="1" a="1"/>
  <c r="F1514" i="1" s="1"/>
  <c r="I1511" i="1" a="1"/>
  <c r="I1511" i="1" s="1"/>
  <c r="G1513" i="1" a="1"/>
  <c r="G1513" i="1" s="1"/>
  <c r="H1505" i="1" a="1"/>
  <c r="H1505" i="1" s="1"/>
  <c r="J1512" i="1" a="1"/>
  <c r="J1512" i="1" s="1"/>
  <c r="I1512" i="1" a="1"/>
  <c r="I1512" i="1" s="1"/>
  <c r="J1511" i="1" a="1"/>
  <c r="J1511" i="1" s="1"/>
  <c r="H1512" i="1" a="1"/>
  <c r="H1512" i="1" s="1"/>
  <c r="I1505" i="1" a="1"/>
  <c r="I1505" i="1" s="1"/>
  <c r="F1512" i="1" a="1"/>
  <c r="F1512" i="1" s="1"/>
  <c r="K1505" i="1" a="1"/>
  <c r="K1505" i="1" s="1"/>
  <c r="K1512" i="1" a="1"/>
  <c r="K1512" i="1" s="1"/>
  <c r="F1511" i="1" a="1"/>
  <c r="F1511" i="1" s="1"/>
  <c r="K1504" i="1" a="1"/>
  <c r="K1504" i="1" s="1"/>
  <c r="H1514" i="1" a="1"/>
  <c r="H1514" i="1" s="1"/>
  <c r="K1513" i="1" a="1"/>
  <c r="K1513" i="1" s="1"/>
  <c r="J1513" i="1" a="1"/>
  <c r="J1513" i="1" s="1"/>
  <c r="I1513" i="1" a="1"/>
  <c r="I1513" i="1" s="1"/>
  <c r="H1513" i="1" a="1"/>
  <c r="H1513" i="1" s="1"/>
  <c r="F1504" i="1" a="1"/>
  <c r="F1504" i="1" s="1"/>
  <c r="G1512" i="1" a="1"/>
  <c r="G1512" i="1" s="1"/>
  <c r="F1505" i="1" a="1"/>
  <c r="F1505" i="1" s="1"/>
  <c r="F1515" i="1" a="1"/>
  <c r="F1515" i="1" s="1"/>
  <c r="I1514" i="1" a="1"/>
  <c r="I1514" i="1" s="1"/>
  <c r="H1511" i="1" a="1"/>
  <c r="H1511" i="1" s="1"/>
  <c r="J1505" i="1" a="1"/>
  <c r="J1505" i="1" s="1"/>
  <c r="I1515" i="1" a="1"/>
  <c r="I1515" i="1" s="1"/>
  <c r="H1515" i="1" a="1"/>
  <c r="H1515" i="1" s="1"/>
  <c r="G1515" i="1" a="1"/>
  <c r="G1515" i="1" s="1"/>
  <c r="H1504" i="1" a="1"/>
  <c r="H1504" i="1" s="1"/>
  <c r="K1514" i="1" a="1"/>
  <c r="K1514" i="1" s="1"/>
  <c r="G1511" i="1" a="1"/>
  <c r="G1511" i="1" s="1"/>
  <c r="G1505" i="1" a="1"/>
  <c r="G1505" i="1" s="1"/>
  <c r="G1514" i="1" a="1"/>
  <c r="G1514" i="1" s="1"/>
  <c r="F1513" i="1" a="1"/>
  <c r="F1513" i="1" s="1"/>
  <c r="K1511" i="1" a="1"/>
  <c r="K1511" i="1" s="1"/>
  <c r="J1504" i="1" a="1"/>
  <c r="J1504" i="1" s="1"/>
  <c r="J1492" i="1" a="1"/>
  <c r="J1492" i="1" s="1"/>
  <c r="F1490" i="1" a="1"/>
  <c r="F1490" i="1" s="1"/>
  <c r="I1500" i="1" a="1"/>
  <c r="I1500" i="1" s="1"/>
  <c r="J1499" i="1" a="1"/>
  <c r="J1499" i="1"/>
  <c r="G1490" i="1" a="1"/>
  <c r="G1490" i="1" s="1"/>
  <c r="H1499" i="1" a="1"/>
  <c r="H1499" i="1" s="1"/>
  <c r="G1499" i="1" a="1"/>
  <c r="G1499" i="1" s="1"/>
  <c r="I1497" i="1" a="1"/>
  <c r="I1497" i="1" s="1"/>
  <c r="K1492" i="1" a="1"/>
  <c r="K1492" i="1" s="1"/>
  <c r="K1497" i="1" a="1"/>
  <c r="K1497" i="1" s="1"/>
  <c r="F1497" i="1" a="1"/>
  <c r="F1497" i="1" s="1"/>
  <c r="K1490" i="1" a="1"/>
  <c r="K1490" i="1" s="1"/>
  <c r="J1490" i="1" a="1"/>
  <c r="J1490" i="1" s="1"/>
  <c r="I1490" i="1" a="1"/>
  <c r="I1490" i="1" s="1"/>
  <c r="G1503" i="1" a="1"/>
  <c r="G1503" i="1" s="1"/>
  <c r="K1503" i="1" a="1"/>
  <c r="K1503" i="1" s="1"/>
  <c r="J1503" i="1" a="1"/>
  <c r="J1503" i="1" s="1"/>
  <c r="J1497" i="1" a="1"/>
  <c r="J1497" i="1" s="1"/>
  <c r="I1499" i="1" a="1"/>
  <c r="I1499" i="1" s="1"/>
  <c r="I1503" i="1" a="1"/>
  <c r="I1503" i="1" s="1"/>
  <c r="H1503" i="1" a="1"/>
  <c r="H1503" i="1" s="1"/>
  <c r="F1500" i="1" a="1"/>
  <c r="F1500" i="1" s="1"/>
  <c r="K1502" i="1" a="1"/>
  <c r="K1502" i="1" s="1"/>
  <c r="I1502" i="1" a="1"/>
  <c r="I1502" i="1" s="1"/>
  <c r="H1500" i="1" a="1"/>
  <c r="H1500" i="1" s="1"/>
  <c r="F1499" i="1" a="1"/>
  <c r="F1499" i="1" s="1"/>
  <c r="F1498" i="1" a="1"/>
  <c r="F1498" i="1" s="1"/>
  <c r="G1497" i="1" a="1"/>
  <c r="G1497" i="1" s="1"/>
  <c r="H1490" i="1" a="1"/>
  <c r="H1490" i="1" s="1"/>
  <c r="J1500" i="1" a="1"/>
  <c r="J1500" i="1" s="1"/>
  <c r="G1500" i="1" a="1"/>
  <c r="G1500" i="1" s="1"/>
  <c r="H1498" i="1" a="1"/>
  <c r="H1498" i="1" s="1"/>
  <c r="F1503" i="1" a="1"/>
  <c r="F1503" i="1" s="1"/>
  <c r="K1500" i="1" a="1"/>
  <c r="K1500" i="1" s="1"/>
  <c r="J1502" i="1" a="1"/>
  <c r="J1502" i="1" s="1"/>
  <c r="H1497" i="1" a="1"/>
  <c r="H1497" i="1" s="1"/>
  <c r="H1502" i="1" a="1"/>
  <c r="H1502" i="1" s="1"/>
  <c r="F1502" i="1" a="1"/>
  <c r="F1502" i="1" s="1"/>
  <c r="G1498" i="1" a="1"/>
  <c r="G1498" i="1" s="1"/>
  <c r="H1492" i="1" a="1"/>
  <c r="H1492" i="1" s="1"/>
  <c r="G1502" i="1" a="1"/>
  <c r="G1502" i="1" s="1"/>
  <c r="K1499" i="1" a="1"/>
  <c r="K1499" i="1" s="1"/>
  <c r="K1498" i="1" a="1"/>
  <c r="K1498" i="1" s="1"/>
  <c r="F1492" i="1" a="1"/>
  <c r="F1492" i="1" s="1"/>
  <c r="I1498" i="1" a="1"/>
  <c r="I1498" i="1" s="1"/>
  <c r="I1492" i="1" a="1"/>
  <c r="I1492" i="1" s="1"/>
  <c r="G1492" i="1" a="1"/>
  <c r="G1492" i="1" s="1"/>
  <c r="J1498" i="1" a="1"/>
  <c r="J1498" i="1" s="1"/>
  <c r="G1456" i="1" a="1"/>
  <c r="G1456" i="1" s="1"/>
  <c r="F1455" i="1" a="1"/>
  <c r="F1455" i="1" s="1"/>
  <c r="J1456" i="1" a="1"/>
  <c r="J1456" i="1" s="1"/>
  <c r="I1483" i="1" a="1"/>
  <c r="I1483" i="1" s="1"/>
  <c r="H1483" i="1" a="1"/>
  <c r="H1483" i="1" s="1"/>
  <c r="F1483" i="1" a="1"/>
  <c r="F1483" i="1" s="1"/>
  <c r="I1485" i="1" a="1"/>
  <c r="I1485" i="1" s="1"/>
  <c r="G1483" i="1" a="1"/>
  <c r="G1483" i="1" s="1"/>
  <c r="F1456" i="1" a="1"/>
  <c r="F1456" i="1" s="1"/>
  <c r="K1483" i="1" a="1"/>
  <c r="K1483" i="1" s="1"/>
  <c r="K1454" i="1" a="1"/>
  <c r="K1454" i="1" s="1"/>
  <c r="J1483" i="1" a="1"/>
  <c r="J1483" i="1" s="1"/>
  <c r="K1485" i="1" a="1"/>
  <c r="K1485" i="1" s="1"/>
  <c r="J1485" i="1" a="1"/>
  <c r="J1485" i="1" s="1"/>
  <c r="K1456" i="1" a="1"/>
  <c r="K1456" i="1" s="1"/>
  <c r="I1455" i="1" a="1"/>
  <c r="I1455" i="1" s="1"/>
  <c r="H1455" i="1" a="1"/>
  <c r="H1455" i="1" s="1"/>
  <c r="H1456" i="1" a="1"/>
  <c r="H1456" i="1" s="1"/>
  <c r="G1455" i="1" a="1"/>
  <c r="G1455" i="1" s="1"/>
  <c r="K1455" i="1" a="1"/>
  <c r="K1455" i="1" s="1"/>
  <c r="H1485" i="1" a="1"/>
  <c r="H1485" i="1" s="1"/>
  <c r="G1485" i="1" a="1"/>
  <c r="G1485" i="1" s="1"/>
  <c r="F1485" i="1" a="1"/>
  <c r="F1485" i="1" s="1"/>
  <c r="J1455" i="1" a="1"/>
  <c r="J1455" i="1" s="1"/>
  <c r="I1456" i="1" a="1"/>
  <c r="I1456" i="1" s="1"/>
  <c r="H1449" i="1" a="1"/>
  <c r="H1449" i="1" s="1"/>
  <c r="F1449" i="1" a="1"/>
  <c r="F1449" i="1" s="1"/>
  <c r="F1453" i="1" a="1"/>
  <c r="F1453" i="1" s="1"/>
  <c r="K1452" i="1" a="1"/>
  <c r="K1452" i="1" s="1"/>
  <c r="I1452" i="1" a="1"/>
  <c r="I1452" i="1" s="1"/>
  <c r="F1446" i="1" a="1"/>
  <c r="F1446" i="1" s="1"/>
  <c r="H1451" i="1" a="1"/>
  <c r="H1451" i="1" s="1"/>
  <c r="K1451" i="1" a="1"/>
  <c r="K1451" i="1" s="1"/>
  <c r="I1447" i="1" a="1"/>
  <c r="I1447" i="1"/>
  <c r="G1452" i="1" a="1"/>
  <c r="G1452" i="1" s="1"/>
  <c r="F1451" i="1" a="1"/>
  <c r="F1451" i="1" s="1"/>
  <c r="F1450" i="1" a="1"/>
  <c r="F1450" i="1" s="1"/>
  <c r="G1444" i="1" a="1"/>
  <c r="G1444" i="1" s="1"/>
  <c r="J1447" i="1" a="1"/>
  <c r="J1447" i="1" s="1"/>
  <c r="F1445" i="1" a="1"/>
  <c r="F1445" i="1" s="1"/>
  <c r="I1444" i="1" a="1"/>
  <c r="I1444" i="1" s="1"/>
  <c r="J1451" i="1" a="1"/>
  <c r="J1451" i="1" s="1"/>
  <c r="K1445" i="1" a="1"/>
  <c r="K1445" i="1" s="1"/>
  <c r="J1449" i="1" a="1"/>
  <c r="J1449" i="1" s="1"/>
  <c r="I1446" i="1" a="1"/>
  <c r="I1446" i="1" s="1"/>
  <c r="H1446" i="1" a="1"/>
  <c r="H1446" i="1" s="1"/>
  <c r="G1453" i="1" a="1"/>
  <c r="G1453" i="1" s="1"/>
  <c r="I1450" i="1" a="1"/>
  <c r="I1450" i="1" s="1"/>
  <c r="H1450" i="1" a="1"/>
  <c r="H1450" i="1" s="1"/>
  <c r="K1446" i="1" a="1"/>
  <c r="K1446" i="1" s="1"/>
  <c r="G1447" i="1" a="1"/>
  <c r="G1447" i="1" s="1"/>
  <c r="K1448" i="1" a="1"/>
  <c r="K1448" i="1" s="1"/>
  <c r="H1447" i="1" a="1"/>
  <c r="H1447" i="1" s="1"/>
  <c r="J1452" i="1" a="1"/>
  <c r="J1452" i="1"/>
  <c r="K1450" i="1" a="1"/>
  <c r="K1450" i="1" s="1"/>
  <c r="J1450" i="1" a="1"/>
  <c r="J1450" i="1" s="1"/>
  <c r="H1445" i="1" a="1"/>
  <c r="H1445" i="1" s="1"/>
  <c r="G1450" i="1" a="1"/>
  <c r="G1450" i="1" s="1"/>
  <c r="G1448" i="1" a="1"/>
  <c r="G1448" i="1" s="1"/>
  <c r="F1447" i="1" a="1"/>
  <c r="F1447" i="1" s="1"/>
  <c r="J1445" i="1" a="1"/>
  <c r="J1445" i="1" s="1"/>
  <c r="K1444" i="1" a="1"/>
  <c r="K1444" i="1" s="1"/>
  <c r="H1444" i="1" a="1"/>
  <c r="H1444" i="1" s="1"/>
  <c r="J1444" i="1" a="1"/>
  <c r="J1444" i="1"/>
  <c r="J1446" i="1" a="1"/>
  <c r="J1446" i="1" s="1"/>
  <c r="I1451" i="1" a="1"/>
  <c r="I1451" i="1" s="1"/>
  <c r="G1446" i="1" a="1"/>
  <c r="G1446" i="1" s="1"/>
  <c r="I1448" i="1" a="1"/>
  <c r="I1448" i="1" s="1"/>
  <c r="K1447" i="1" a="1"/>
  <c r="K1447" i="1" s="1"/>
  <c r="F1452" i="1" a="1"/>
  <c r="F1452" i="1" s="1"/>
  <c r="J1454" i="1" a="1"/>
  <c r="J1454" i="1" s="1"/>
  <c r="J1448" i="1" a="1"/>
  <c r="J1448" i="1" s="1"/>
  <c r="F1448" i="1" a="1"/>
  <c r="F1448" i="1" s="1"/>
  <c r="I1454" i="1" a="1"/>
  <c r="I1454" i="1" s="1"/>
  <c r="F1454" i="1" a="1"/>
  <c r="F1454" i="1" s="1"/>
  <c r="G1451" i="1" a="1"/>
  <c r="G1451" i="1"/>
  <c r="K1449" i="1" a="1"/>
  <c r="K1449" i="1" s="1"/>
  <c r="I1445" i="1" a="1"/>
  <c r="I1445" i="1" s="1"/>
  <c r="G1445" i="1" a="1"/>
  <c r="G1445" i="1" s="1"/>
  <c r="H1454" i="1" a="1"/>
  <c r="H1454" i="1" s="1"/>
  <c r="G1454" i="1" a="1"/>
  <c r="G1454" i="1" s="1"/>
  <c r="K1453" i="1" a="1"/>
  <c r="K1453" i="1" s="1"/>
  <c r="J1453" i="1" a="1"/>
  <c r="J1453" i="1" s="1"/>
  <c r="I1453" i="1" a="1"/>
  <c r="I1453" i="1"/>
  <c r="H1453" i="1" a="1"/>
  <c r="H1453" i="1" s="1"/>
  <c r="I1449" i="1" a="1"/>
  <c r="I1449" i="1" s="1"/>
  <c r="G1449" i="1" a="1"/>
  <c r="G1449" i="1" s="1"/>
  <c r="H1448" i="1" a="1"/>
  <c r="H1448" i="1" s="1"/>
  <c r="H1452" i="1" a="1"/>
  <c r="H1452" i="1" s="1"/>
  <c r="G1439" i="1" a="1"/>
  <c r="G1439" i="1" s="1"/>
  <c r="H1435" i="1" a="1"/>
  <c r="H1435" i="1" s="1"/>
  <c r="F1439" i="1" a="1"/>
  <c r="F1439" i="1" s="1"/>
  <c r="F1437" i="1" a="1"/>
  <c r="F1437" i="1" s="1"/>
  <c r="G1435" i="1" a="1"/>
  <c r="G1435" i="1" s="1"/>
  <c r="F1442" i="1" a="1"/>
  <c r="F1442" i="1" s="1"/>
  <c r="F1440" i="1" a="1"/>
  <c r="F1440" i="1" s="1"/>
  <c r="H1439" i="1" a="1"/>
  <c r="H1439" i="1" s="1"/>
  <c r="H1437" i="1" a="1"/>
  <c r="H1437" i="1" s="1"/>
  <c r="J1441" i="1" a="1"/>
  <c r="J1441" i="1" s="1"/>
  <c r="J1434" i="1" a="1"/>
  <c r="J1434" i="1" s="1"/>
  <c r="K1439" i="1" a="1"/>
  <c r="K1439" i="1" s="1"/>
  <c r="H1441" i="1" a="1"/>
  <c r="H1441" i="1" s="1"/>
  <c r="G1440" i="1" a="1"/>
  <c r="G1440" i="1" s="1"/>
  <c r="I1437" i="1" a="1"/>
  <c r="I1437" i="1"/>
  <c r="I1441" i="1" a="1"/>
  <c r="I1441" i="1" s="1"/>
  <c r="F1441" i="1" a="1"/>
  <c r="F1441" i="1" s="1"/>
  <c r="F1436" i="1" a="1"/>
  <c r="F1436" i="1" s="1"/>
  <c r="I1439" i="1" a="1"/>
  <c r="I1439" i="1" s="1"/>
  <c r="G1434" i="1" a="1"/>
  <c r="G1434" i="1" s="1"/>
  <c r="K1440" i="1" a="1"/>
  <c r="K1440" i="1" s="1"/>
  <c r="I1440" i="1" a="1"/>
  <c r="I1440" i="1" s="1"/>
  <c r="F1438" i="1" a="1"/>
  <c r="F1438" i="1" s="1"/>
  <c r="K1441" i="1" a="1"/>
  <c r="K1441" i="1" s="1"/>
  <c r="J1439" i="1" a="1"/>
  <c r="J1439" i="1" s="1"/>
  <c r="K1437" i="1" a="1"/>
  <c r="K1437" i="1" s="1"/>
  <c r="K1435" i="1" a="1"/>
  <c r="K1435" i="1" s="1"/>
  <c r="F1435" i="1" a="1"/>
  <c r="F1435" i="1" s="1"/>
  <c r="J1435" i="1" a="1"/>
  <c r="J1435" i="1" s="1"/>
  <c r="H1438" i="1" a="1"/>
  <c r="H1438" i="1" s="1"/>
  <c r="K1436" i="1" a="1"/>
  <c r="K1436" i="1" s="1"/>
  <c r="H1442" i="1" a="1"/>
  <c r="H1442" i="1" s="1"/>
  <c r="I1438" i="1" a="1"/>
  <c r="I1438" i="1" s="1"/>
  <c r="J1436" i="1" a="1"/>
  <c r="J1436" i="1" s="1"/>
  <c r="F1443" i="1" a="1"/>
  <c r="F1443" i="1" s="1"/>
  <c r="H1434" i="1" a="1"/>
  <c r="H1434" i="1" s="1"/>
  <c r="G1443" i="1" a="1"/>
  <c r="G1443" i="1"/>
  <c r="K1442" i="1" a="1"/>
  <c r="K1442" i="1" s="1"/>
  <c r="J1440" i="1" a="1"/>
  <c r="J1440" i="1" s="1"/>
  <c r="H1440" i="1" a="1"/>
  <c r="H1440" i="1" s="1"/>
  <c r="J1438" i="1" a="1"/>
  <c r="J1438" i="1" s="1"/>
  <c r="G1442" i="1" a="1"/>
  <c r="G1442" i="1" s="1"/>
  <c r="G1441" i="1" a="1"/>
  <c r="G1441" i="1" s="1"/>
  <c r="I1435" i="1" a="1"/>
  <c r="I1435" i="1" s="1"/>
  <c r="K1438" i="1" a="1"/>
  <c r="K1438" i="1" s="1"/>
  <c r="G1438" i="1" a="1"/>
  <c r="G1438" i="1" s="1"/>
  <c r="J1437" i="1" a="1"/>
  <c r="J1437" i="1" s="1"/>
  <c r="I1436" i="1" a="1"/>
  <c r="I1436" i="1" s="1"/>
  <c r="G1436" i="1" a="1"/>
  <c r="G1436" i="1" s="1"/>
  <c r="I1434" i="1" a="1"/>
  <c r="I1434" i="1" s="1"/>
  <c r="H1436" i="1" a="1"/>
  <c r="H1436" i="1" s="1"/>
  <c r="G1437" i="1" a="1"/>
  <c r="G1437" i="1" s="1"/>
  <c r="F1444" i="1" a="1"/>
  <c r="F1444" i="1" s="1"/>
  <c r="K1443" i="1" a="1"/>
  <c r="K1443" i="1" s="1"/>
  <c r="J1443" i="1" a="1"/>
  <c r="J1443" i="1" s="1"/>
  <c r="I1443" i="1" a="1"/>
  <c r="I1443" i="1" s="1"/>
  <c r="H1443" i="1" a="1"/>
  <c r="H1443" i="1" s="1"/>
  <c r="I1442" i="1" a="1"/>
  <c r="I1442" i="1" s="1"/>
  <c r="F1434" i="1" a="1"/>
  <c r="F1434" i="1" s="1"/>
  <c r="K1434" i="1" a="1"/>
  <c r="K1434" i="1" s="1"/>
  <c r="J1442" i="1" a="1"/>
  <c r="J1442" i="1" s="1"/>
  <c r="J1431" i="1" a="1"/>
  <c r="J1431" i="1" s="1"/>
  <c r="H1430" i="1" a="1"/>
  <c r="H1430" i="1" s="1"/>
  <c r="I1430" i="1" a="1"/>
  <c r="I1430" i="1" s="1"/>
  <c r="K1429" i="1" a="1"/>
  <c r="K1429" i="1" s="1"/>
  <c r="F1422" i="1" a="1"/>
  <c r="F1422" i="1" s="1"/>
  <c r="H1431" i="1" a="1"/>
  <c r="H1431" i="1" s="1"/>
  <c r="F1429" i="1" a="1"/>
  <c r="F1429" i="1" s="1"/>
  <c r="H1422" i="1" a="1"/>
  <c r="H1422" i="1" s="1"/>
  <c r="J1422" i="1" a="1"/>
  <c r="J1422" i="1" s="1"/>
  <c r="G1428" i="1" a="1"/>
  <c r="G1428" i="1" s="1"/>
  <c r="K1422" i="1" a="1"/>
  <c r="K1422" i="1" s="1"/>
  <c r="F1428" i="1" a="1"/>
  <c r="F1428" i="1" s="1"/>
  <c r="G1431" i="1" a="1"/>
  <c r="G1431" i="1" s="1"/>
  <c r="K1430" i="1" a="1"/>
  <c r="K1430" i="1" s="1"/>
  <c r="J1429" i="1" a="1"/>
  <c r="J1429" i="1" s="1"/>
  <c r="H1429" i="1" a="1"/>
  <c r="H1429" i="1" s="1"/>
  <c r="F1431" i="1" a="1"/>
  <c r="F1431" i="1" s="1"/>
  <c r="J1421" i="1" a="1"/>
  <c r="J1421" i="1" s="1"/>
  <c r="G1430" i="1" a="1"/>
  <c r="G1430" i="1" s="1"/>
  <c r="G1422" i="1" a="1"/>
  <c r="G1422" i="1" s="1"/>
  <c r="F1430" i="1" a="1"/>
  <c r="F1430" i="1" s="1"/>
  <c r="I1429" i="1" a="1"/>
  <c r="I1429" i="1" s="1"/>
  <c r="I1422" i="1" a="1"/>
  <c r="I1422" i="1" s="1"/>
  <c r="G1429" i="1" a="1"/>
  <c r="G1429" i="1" s="1"/>
  <c r="H1428" i="1" a="1"/>
  <c r="H1428" i="1" s="1"/>
  <c r="J1430" i="1" a="1"/>
  <c r="J1430" i="1" s="1"/>
  <c r="K1428" i="1" a="1"/>
  <c r="K1428" i="1" s="1"/>
  <c r="J1428" i="1" a="1"/>
  <c r="J1428" i="1" s="1"/>
  <c r="K1421" i="1" a="1"/>
  <c r="K1421" i="1" s="1"/>
  <c r="I1431" i="1" a="1"/>
  <c r="I1431" i="1" s="1"/>
  <c r="K1432" i="1" a="1"/>
  <c r="K1432" i="1" s="1"/>
  <c r="I1428" i="1" a="1"/>
  <c r="I1428" i="1" s="1"/>
  <c r="J1432" i="1" a="1"/>
  <c r="J1432" i="1" s="1"/>
  <c r="I1432" i="1" a="1"/>
  <c r="I1432" i="1" s="1"/>
  <c r="H1432" i="1" a="1"/>
  <c r="H1432" i="1" s="1"/>
  <c r="G1432" i="1" a="1"/>
  <c r="G1432" i="1" s="1"/>
  <c r="F1432" i="1" a="1"/>
  <c r="F1432" i="1" s="1"/>
  <c r="K1431" i="1" a="1"/>
  <c r="K1431" i="1" s="1"/>
  <c r="F1419" i="1" a="1"/>
  <c r="F1419" i="1" s="1"/>
  <c r="H1415" i="1" a="1"/>
  <c r="H1415" i="1" s="1"/>
  <c r="K1420" i="1" a="1"/>
  <c r="K1420" i="1" s="1"/>
  <c r="I1420" i="1" a="1"/>
  <c r="I1420" i="1" s="1"/>
  <c r="G1416" i="1" a="1"/>
  <c r="G1416" i="1"/>
  <c r="I1418" i="1" a="1"/>
  <c r="I1418" i="1" s="1"/>
  <c r="K1414" i="1" a="1"/>
  <c r="K1414" i="1" s="1"/>
  <c r="K1408" i="1" a="1"/>
  <c r="K1408" i="1" s="1"/>
  <c r="J1420" i="1" a="1"/>
  <c r="J1420" i="1" s="1"/>
  <c r="H1420" i="1" a="1"/>
  <c r="H1420" i="1" s="1"/>
  <c r="G1415" i="1" a="1"/>
  <c r="G1415" i="1" s="1"/>
  <c r="F1420" i="1" a="1"/>
  <c r="F1420" i="1" s="1"/>
  <c r="G1417" i="1" a="1"/>
  <c r="G1417" i="1" s="1"/>
  <c r="K1418" i="1" a="1"/>
  <c r="K1418" i="1" s="1"/>
  <c r="J1417" i="1" a="1"/>
  <c r="J1417" i="1" s="1"/>
  <c r="F1418" i="1" a="1"/>
  <c r="F1418" i="1"/>
  <c r="K1417" i="1" a="1"/>
  <c r="K1417" i="1" s="1"/>
  <c r="I1417" i="1" a="1"/>
  <c r="I1417" i="1" s="1"/>
  <c r="F1416" i="1" a="1"/>
  <c r="F1416" i="1" s="1"/>
  <c r="F1414" i="1" a="1"/>
  <c r="F1414" i="1" s="1"/>
  <c r="H1417" i="1" a="1"/>
  <c r="H1417" i="1" s="1"/>
  <c r="I1415" i="1" a="1"/>
  <c r="I1415" i="1" s="1"/>
  <c r="F1417" i="1" a="1"/>
  <c r="F1417" i="1" s="1"/>
  <c r="K1416" i="1" a="1"/>
  <c r="K1416" i="1" s="1"/>
  <c r="I1416" i="1" a="1"/>
  <c r="I1416" i="1" s="1"/>
  <c r="H1416" i="1" a="1"/>
  <c r="H1416" i="1" s="1"/>
  <c r="G1418" i="1" a="1"/>
  <c r="G1418" i="1"/>
  <c r="G1414" i="1" a="1"/>
  <c r="G1414" i="1" s="1"/>
  <c r="J1414" i="1" a="1"/>
  <c r="J1414" i="1" s="1"/>
  <c r="G1420" i="1" a="1"/>
  <c r="G1420" i="1"/>
  <c r="I1419" i="1" a="1"/>
  <c r="I1419" i="1"/>
  <c r="H1418" i="1" a="1"/>
  <c r="H1418" i="1"/>
  <c r="H1419" i="1" a="1"/>
  <c r="H1419" i="1" s="1"/>
  <c r="F1415" i="1" a="1"/>
  <c r="F1415" i="1" s="1"/>
  <c r="J1416" i="1" a="1"/>
  <c r="J1416" i="1"/>
  <c r="I1414" i="1" a="1"/>
  <c r="I1414" i="1"/>
  <c r="J1419" i="1" a="1"/>
  <c r="J1419" i="1" s="1"/>
  <c r="K1419" i="1" a="1"/>
  <c r="K1419" i="1" s="1"/>
  <c r="G1419" i="1" a="1"/>
  <c r="G1419" i="1" s="1"/>
  <c r="I1421" i="1" a="1"/>
  <c r="I1421" i="1"/>
  <c r="H1421" i="1" a="1"/>
  <c r="H1421" i="1"/>
  <c r="J1418" i="1" a="1"/>
  <c r="J1418" i="1"/>
  <c r="K1415" i="1" a="1"/>
  <c r="K1415" i="1" s="1"/>
  <c r="J1415" i="1" a="1"/>
  <c r="J1415" i="1" s="1"/>
  <c r="G1421" i="1" a="1"/>
  <c r="G1421" i="1" s="1"/>
  <c r="F1421" i="1" a="1"/>
  <c r="F1421" i="1" s="1"/>
  <c r="H1414" i="1" a="1"/>
  <c r="H1414" i="1"/>
  <c r="H1406" i="1" a="1"/>
  <c r="H1406" i="1" s="1"/>
  <c r="G1406" i="1" a="1"/>
  <c r="G1406" i="1" s="1"/>
  <c r="K1405" i="1" a="1"/>
  <c r="K1405" i="1"/>
  <c r="H1405" i="1" a="1"/>
  <c r="H1405" i="1"/>
  <c r="G1399" i="1" a="1"/>
  <c r="G1399" i="1"/>
  <c r="H1401" i="1" a="1"/>
  <c r="H1401" i="1" s="1"/>
  <c r="I1402" i="1" a="1"/>
  <c r="I1402" i="1" s="1"/>
  <c r="I1403" i="1" a="1"/>
  <c r="I1403" i="1" s="1"/>
  <c r="G1403" i="1" a="1"/>
  <c r="G1403" i="1"/>
  <c r="I1401" i="1" a="1"/>
  <c r="I1401" i="1" s="1"/>
  <c r="G1400" i="1" a="1"/>
  <c r="G1400" i="1"/>
  <c r="H1399" i="1" a="1"/>
  <c r="H1399" i="1" s="1"/>
  <c r="F1399" i="1" a="1"/>
  <c r="F1399" i="1"/>
  <c r="K1402" i="1" a="1"/>
  <c r="K1402" i="1" s="1"/>
  <c r="J1402" i="1" a="1"/>
  <c r="J1402" i="1" s="1"/>
  <c r="F1408" i="1" a="1"/>
  <c r="F1408" i="1" s="1"/>
  <c r="J1407" i="1" a="1"/>
  <c r="J1407" i="1" s="1"/>
  <c r="H1402" i="1" a="1"/>
  <c r="H1402" i="1" s="1"/>
  <c r="G1407" i="1" a="1"/>
  <c r="G1407" i="1" s="1"/>
  <c r="I1407" i="1" a="1"/>
  <c r="I1407" i="1"/>
  <c r="F1407" i="1" a="1"/>
  <c r="F1407" i="1" s="1"/>
  <c r="K1406" i="1" a="1"/>
  <c r="K1406" i="1" s="1"/>
  <c r="J1400" i="1" a="1"/>
  <c r="J1400" i="1" s="1"/>
  <c r="F1400" i="1" a="1"/>
  <c r="F1400" i="1" s="1"/>
  <c r="J1406" i="1" a="1"/>
  <c r="J1406" i="1" s="1"/>
  <c r="I1406" i="1" a="1"/>
  <c r="I1406" i="1" s="1"/>
  <c r="K1400" i="1" a="1"/>
  <c r="K1400" i="1" s="1"/>
  <c r="F1406" i="1" a="1"/>
  <c r="F1406" i="1" s="1"/>
  <c r="H1403" i="1" a="1"/>
  <c r="H1403" i="1" s="1"/>
  <c r="F1402" i="1" a="1"/>
  <c r="F1402" i="1" s="1"/>
  <c r="K1401" i="1" a="1"/>
  <c r="K1401" i="1"/>
  <c r="I1400" i="1" a="1"/>
  <c r="I1400" i="1" s="1"/>
  <c r="K1399" i="1" a="1"/>
  <c r="K1399" i="1" s="1"/>
  <c r="H1400" i="1" a="1"/>
  <c r="H1400" i="1" s="1"/>
  <c r="I1399" i="1" a="1"/>
  <c r="I1399" i="1" s="1"/>
  <c r="J1399" i="1" a="1"/>
  <c r="J1399" i="1" s="1"/>
  <c r="F1405" i="1" a="1"/>
  <c r="F1405" i="1" s="1"/>
  <c r="G1405" i="1" a="1"/>
  <c r="G1405" i="1"/>
  <c r="I1405" i="1" a="1"/>
  <c r="I1405" i="1" s="1"/>
  <c r="G1401" i="1" a="1"/>
  <c r="G1401" i="1" s="1"/>
  <c r="J1403" i="1" a="1"/>
  <c r="J1403" i="1" s="1"/>
  <c r="F1403" i="1" a="1"/>
  <c r="F1403" i="1" s="1"/>
  <c r="J1401" i="1" a="1"/>
  <c r="J1401" i="1" s="1"/>
  <c r="K1403" i="1" a="1"/>
  <c r="K1403" i="1" s="1"/>
  <c r="F1401" i="1" a="1"/>
  <c r="F1401" i="1" s="1"/>
  <c r="J1408" i="1" a="1"/>
  <c r="J1408" i="1"/>
  <c r="G1402" i="1" a="1"/>
  <c r="G1402" i="1" s="1"/>
  <c r="J1405" i="1" a="1"/>
  <c r="J1405" i="1" s="1"/>
  <c r="I1408" i="1" a="1"/>
  <c r="I1408" i="1" s="1"/>
  <c r="H1408" i="1" a="1"/>
  <c r="H1408" i="1" s="1"/>
  <c r="G1408" i="1" a="1"/>
  <c r="G1408" i="1" s="1"/>
  <c r="K1407" i="1" a="1"/>
  <c r="K1407" i="1" s="1"/>
  <c r="H1407" i="1" a="1"/>
  <c r="H1407" i="1"/>
  <c r="K1372" i="1" a="1"/>
  <c r="K1372" i="1"/>
  <c r="I1372" i="1" a="1"/>
  <c r="I1372" i="1" s="1"/>
  <c r="K1367" i="1" a="1"/>
  <c r="K1367" i="1"/>
  <c r="G1370" i="1" a="1"/>
  <c r="G1370" i="1" s="1"/>
  <c r="F1372" i="1" a="1"/>
  <c r="F1372" i="1"/>
  <c r="H1370" i="1" a="1"/>
  <c r="H1370" i="1" s="1"/>
  <c r="G1369" i="1" a="1"/>
  <c r="G1369" i="1" s="1"/>
  <c r="K1368" i="1" a="1"/>
  <c r="K1368" i="1" s="1"/>
  <c r="G1368" i="1" a="1"/>
  <c r="G1368" i="1" s="1"/>
  <c r="G1371" i="1" a="1"/>
  <c r="G1371" i="1" s="1"/>
  <c r="F1368" i="1" a="1"/>
  <c r="F1368" i="1"/>
  <c r="K1371" i="1" a="1"/>
  <c r="K1371" i="1" s="1"/>
  <c r="I1370" i="1" a="1"/>
  <c r="I1370" i="1" s="1"/>
  <c r="G1372" i="1" a="1"/>
  <c r="G1372" i="1"/>
  <c r="I1368" i="1" a="1"/>
  <c r="I1368" i="1" s="1"/>
  <c r="F1369" i="1" a="1"/>
  <c r="F1369" i="1" s="1"/>
  <c r="H1369" i="1" a="1"/>
  <c r="H1369" i="1" s="1"/>
  <c r="J1370" i="1" a="1"/>
  <c r="J1370" i="1"/>
  <c r="H1368" i="1" a="1"/>
  <c r="H1368" i="1" s="1"/>
  <c r="H1372" i="1" a="1"/>
  <c r="H1372" i="1" s="1"/>
  <c r="J1367" i="1" a="1"/>
  <c r="J1367" i="1" s="1"/>
  <c r="K1369" i="1" a="1"/>
  <c r="K1369" i="1" s="1"/>
  <c r="F1371" i="1" a="1"/>
  <c r="F1371" i="1" s="1"/>
  <c r="I1371" i="1" a="1"/>
  <c r="I1371" i="1" s="1"/>
  <c r="H1371" i="1" a="1"/>
  <c r="H1371" i="1" s="1"/>
  <c r="F1370" i="1" a="1"/>
  <c r="F1370" i="1" s="1"/>
  <c r="I1367" i="1" a="1"/>
  <c r="I1367" i="1" s="1"/>
  <c r="J1369" i="1" a="1"/>
  <c r="J1369" i="1" s="1"/>
  <c r="J1368" i="1" a="1"/>
  <c r="J1368" i="1" s="1"/>
  <c r="J1371" i="1" a="1"/>
  <c r="J1371" i="1"/>
  <c r="I1369" i="1" a="1"/>
  <c r="I1369" i="1"/>
  <c r="K1370" i="1" a="1"/>
  <c r="K1370" i="1" s="1"/>
  <c r="J1372" i="1" a="1"/>
  <c r="J1372" i="1" s="1"/>
  <c r="F1363" i="1" a="1"/>
  <c r="F1363" i="1" s="1"/>
  <c r="J1358" i="1" a="1"/>
  <c r="J1358" i="1"/>
  <c r="I1360" i="1" a="1"/>
  <c r="I1360" i="1" s="1"/>
  <c r="F1365" i="1" a="1"/>
  <c r="F1365" i="1" s="1"/>
  <c r="H1364" i="1" a="1"/>
  <c r="H1364" i="1" s="1"/>
  <c r="J1362" i="1" a="1"/>
  <c r="J1362" i="1"/>
  <c r="G1362" i="1" a="1"/>
  <c r="G1362" i="1" s="1"/>
  <c r="F1360" i="1" a="1"/>
  <c r="F1360" i="1" s="1"/>
  <c r="I1359" i="1" a="1"/>
  <c r="I1359" i="1" s="1"/>
  <c r="G1359" i="1" a="1"/>
  <c r="G1359" i="1" s="1"/>
  <c r="H1359" i="1" a="1"/>
  <c r="H1359" i="1" s="1"/>
  <c r="K1357" i="1" a="1"/>
  <c r="K1357" i="1" s="1"/>
  <c r="H1357" i="1" a="1"/>
  <c r="H1357" i="1" s="1"/>
  <c r="F1362" i="1" a="1"/>
  <c r="F1362" i="1" s="1"/>
  <c r="G1360" i="1" a="1"/>
  <c r="G1360" i="1"/>
  <c r="F1358" i="1" a="1"/>
  <c r="F1358" i="1" s="1"/>
  <c r="K1361" i="1" a="1"/>
  <c r="K1361" i="1" s="1"/>
  <c r="J1360" i="1" a="1"/>
  <c r="J1360" i="1" s="1"/>
  <c r="G1361" i="1" a="1"/>
  <c r="G1361" i="1" s="1"/>
  <c r="K1356" i="1" a="1"/>
  <c r="K1356" i="1" s="1"/>
  <c r="G1358" i="1" a="1"/>
  <c r="G1358" i="1" s="1"/>
  <c r="K1359" i="1" a="1"/>
  <c r="K1359" i="1" s="1"/>
  <c r="F1357" i="1" a="1"/>
  <c r="F1357" i="1" s="1"/>
  <c r="G1357" i="1" a="1"/>
  <c r="G1357" i="1" s="1"/>
  <c r="F1361" i="1" a="1"/>
  <c r="F1361" i="1" s="1"/>
  <c r="H1358" i="1" a="1"/>
  <c r="H1358" i="1"/>
  <c r="H1367" i="1" a="1"/>
  <c r="H1367" i="1"/>
  <c r="K1365" i="1" a="1"/>
  <c r="K1365" i="1" s="1"/>
  <c r="I1357" i="1" a="1"/>
  <c r="I1357" i="1" s="1"/>
  <c r="K1364" i="1" a="1"/>
  <c r="K1364" i="1" s="1"/>
  <c r="J1359" i="1" a="1"/>
  <c r="J1359" i="1" s="1"/>
  <c r="H1363" i="1" a="1"/>
  <c r="H1363" i="1" s="1"/>
  <c r="J1357" i="1" a="1"/>
  <c r="J1357" i="1" s="1"/>
  <c r="G1367" i="1" a="1"/>
  <c r="G1367" i="1" s="1"/>
  <c r="F1367" i="1" a="1"/>
  <c r="F1367" i="1" s="1"/>
  <c r="K1366" i="1" a="1"/>
  <c r="K1366" i="1"/>
  <c r="K1362" i="1" a="1"/>
  <c r="K1362" i="1" s="1"/>
  <c r="J1366" i="1" a="1"/>
  <c r="J1366" i="1" s="1"/>
  <c r="I1366" i="1" a="1"/>
  <c r="I1366" i="1" s="1"/>
  <c r="H1365" i="1" a="1"/>
  <c r="H1365" i="1" s="1"/>
  <c r="J1364" i="1" a="1"/>
  <c r="J1364" i="1" s="1"/>
  <c r="K1363" i="1" a="1"/>
  <c r="K1363" i="1"/>
  <c r="J1363" i="1" a="1"/>
  <c r="J1363" i="1" s="1"/>
  <c r="I1362" i="1" a="1"/>
  <c r="I1362" i="1"/>
  <c r="H1360" i="1" a="1"/>
  <c r="H1360" i="1" s="1"/>
  <c r="I1358" i="1" a="1"/>
  <c r="I1358" i="1" s="1"/>
  <c r="G1364" i="1" a="1"/>
  <c r="G1364" i="1" s="1"/>
  <c r="H1362" i="1" a="1"/>
  <c r="H1362" i="1" s="1"/>
  <c r="K1360" i="1" a="1"/>
  <c r="K1360" i="1" s="1"/>
  <c r="F1364" i="1" a="1"/>
  <c r="F1364" i="1" s="1"/>
  <c r="I1364" i="1" a="1"/>
  <c r="I1364" i="1"/>
  <c r="H1361" i="1" a="1"/>
  <c r="H1361" i="1" s="1"/>
  <c r="K1358" i="1" a="1"/>
  <c r="K1358" i="1" s="1"/>
  <c r="H1366" i="1" a="1"/>
  <c r="H1366" i="1" s="1"/>
  <c r="I1363" i="1" a="1"/>
  <c r="I1363" i="1" s="1"/>
  <c r="G1366" i="1" a="1"/>
  <c r="G1366" i="1" s="1"/>
  <c r="F1359" i="1" a="1"/>
  <c r="F1359" i="1"/>
  <c r="I1361" i="1" a="1"/>
  <c r="I1361" i="1" s="1"/>
  <c r="F1366" i="1" a="1"/>
  <c r="F1366" i="1" s="1"/>
  <c r="J1365" i="1" a="1"/>
  <c r="J1365" i="1" s="1"/>
  <c r="I1365" i="1" a="1"/>
  <c r="I1365" i="1" s="1"/>
  <c r="J1361" i="1" a="1"/>
  <c r="J1361" i="1" s="1"/>
  <c r="G1363" i="1" a="1"/>
  <c r="G1363" i="1" s="1"/>
  <c r="G1365" i="1" a="1"/>
  <c r="G1365" i="1" s="1"/>
  <c r="J1355" i="1" a="1"/>
  <c r="J1355" i="1" s="1"/>
  <c r="G1353" i="1" a="1"/>
  <c r="G1353" i="1" s="1"/>
  <c r="G1346" i="1" a="1"/>
  <c r="G1346" i="1" s="1"/>
  <c r="K1354" i="1" a="1"/>
  <c r="K1354" i="1" s="1"/>
  <c r="H1354" i="1" a="1"/>
  <c r="H1354" i="1"/>
  <c r="J1353" i="1" a="1"/>
  <c r="J1353" i="1" s="1"/>
  <c r="F1351" i="1" a="1"/>
  <c r="F1351" i="1"/>
  <c r="K1348" i="1" a="1"/>
  <c r="K1348" i="1"/>
  <c r="G1350" i="1" a="1"/>
  <c r="G1350" i="1" s="1"/>
  <c r="J1347" i="1" a="1"/>
  <c r="J1347" i="1" s="1"/>
  <c r="J1346" i="1" a="1"/>
  <c r="J1346" i="1" s="1"/>
  <c r="I1351" i="1" a="1"/>
  <c r="I1351" i="1" s="1"/>
  <c r="J1348" i="1" a="1"/>
  <c r="J1348" i="1"/>
  <c r="I1348" i="1" a="1"/>
  <c r="I1348" i="1"/>
  <c r="G1351" i="1" a="1"/>
  <c r="G1351" i="1" s="1"/>
  <c r="J1352" i="1" a="1"/>
  <c r="J1352" i="1" s="1"/>
  <c r="H1353" i="1" a="1"/>
  <c r="H1353" i="1" s="1"/>
  <c r="F1347" i="1" a="1"/>
  <c r="F1347" i="1" s="1"/>
  <c r="F1348" i="1" a="1"/>
  <c r="F1348" i="1" s="1"/>
  <c r="I1347" i="1" a="1"/>
  <c r="I1347" i="1" s="1"/>
  <c r="I1352" i="1" a="1"/>
  <c r="I1352" i="1" s="1"/>
  <c r="I1350" i="1" a="1"/>
  <c r="I1350" i="1" s="1"/>
  <c r="G1355" i="1" a="1"/>
  <c r="G1355" i="1" s="1"/>
  <c r="K1350" i="1" a="1"/>
  <c r="K1350" i="1" s="1"/>
  <c r="J1354" i="1" a="1"/>
  <c r="J1354" i="1"/>
  <c r="G1352" i="1" a="1"/>
  <c r="G1352" i="1" s="1"/>
  <c r="F1355" i="1" a="1"/>
  <c r="F1355" i="1" s="1"/>
  <c r="I1353" i="1" a="1"/>
  <c r="I1353" i="1" s="1"/>
  <c r="H1352" i="1" a="1"/>
  <c r="H1352" i="1" s="1"/>
  <c r="F1352" i="1" a="1"/>
  <c r="F1352" i="1" s="1"/>
  <c r="K1351" i="1" a="1"/>
  <c r="K1351" i="1" s="1"/>
  <c r="H1350" i="1" a="1"/>
  <c r="H1350" i="1" s="1"/>
  <c r="H1351" i="1" a="1"/>
  <c r="H1351" i="1" s="1"/>
  <c r="F1350" i="1" a="1"/>
  <c r="F1350" i="1" s="1"/>
  <c r="H1348" i="1" a="1"/>
  <c r="H1348" i="1" s="1"/>
  <c r="G1354" i="1" a="1"/>
  <c r="G1354" i="1" s="1"/>
  <c r="F1354" i="1" a="1"/>
  <c r="F1354" i="1" s="1"/>
  <c r="F1346" i="1" a="1"/>
  <c r="F1346" i="1" s="1"/>
  <c r="K1353" i="1" a="1"/>
  <c r="K1353" i="1" s="1"/>
  <c r="H1347" i="1" a="1"/>
  <c r="H1347" i="1" s="1"/>
  <c r="K1347" i="1" a="1"/>
  <c r="K1347" i="1" s="1"/>
  <c r="F1353" i="1" a="1"/>
  <c r="F1353" i="1"/>
  <c r="J1351" i="1" a="1"/>
  <c r="J1351" i="1"/>
  <c r="K1345" i="1" a="1"/>
  <c r="K1345" i="1" s="1"/>
  <c r="I1354" i="1" a="1"/>
  <c r="I1354" i="1" s="1"/>
  <c r="J1350" i="1" a="1"/>
  <c r="J1350" i="1" s="1"/>
  <c r="G1348" i="1" a="1"/>
  <c r="G1348" i="1" s="1"/>
  <c r="G1347" i="1" a="1"/>
  <c r="G1347" i="1" s="1"/>
  <c r="I1346" i="1" a="1"/>
  <c r="I1346" i="1" s="1"/>
  <c r="K1352" i="1" a="1"/>
  <c r="K1352" i="1"/>
  <c r="H1346" i="1" a="1"/>
  <c r="H1346" i="1" s="1"/>
  <c r="J1356" i="1" a="1"/>
  <c r="J1356" i="1" s="1"/>
  <c r="H1355" i="1" a="1"/>
  <c r="H1355" i="1" s="1"/>
  <c r="I1356" i="1" a="1"/>
  <c r="I1356" i="1" s="1"/>
  <c r="H1356" i="1" a="1"/>
  <c r="H1356" i="1" s="1"/>
  <c r="K1346" i="1" a="1"/>
  <c r="K1346" i="1" s="1"/>
  <c r="G1356" i="1" a="1"/>
  <c r="G1356" i="1" s="1"/>
  <c r="I1355" i="1" a="1"/>
  <c r="I1355" i="1" s="1"/>
  <c r="F1356" i="1" a="1"/>
  <c r="F1356" i="1" s="1"/>
  <c r="K1355" i="1" a="1"/>
  <c r="K1355" i="1" s="1"/>
  <c r="J1338" i="1" a="1"/>
  <c r="J1338" i="1" s="1"/>
  <c r="G1338" i="1" a="1"/>
  <c r="G1338" i="1" s="1"/>
  <c r="F1338" i="1" a="1"/>
  <c r="F1338" i="1"/>
  <c r="J1335" i="1" a="1"/>
  <c r="J1335" i="1" s="1"/>
  <c r="J1337" i="1" a="1"/>
  <c r="J1337" i="1" s="1"/>
  <c r="H1332" i="1" a="1"/>
  <c r="H1332" i="1" s="1"/>
  <c r="H1333" i="1" a="1"/>
  <c r="H1333" i="1" s="1"/>
  <c r="F1335" i="1" a="1"/>
  <c r="F1335" i="1" s="1"/>
  <c r="G1337" i="1" a="1"/>
  <c r="G1337" i="1" s="1"/>
  <c r="G1333" i="1" a="1"/>
  <c r="G1333" i="1" s="1"/>
  <c r="F1333" i="1" a="1"/>
  <c r="F1333" i="1" s="1"/>
  <c r="G1334" i="1" a="1"/>
  <c r="G1334" i="1" s="1"/>
  <c r="K1337" i="1" a="1"/>
  <c r="K1337" i="1" s="1"/>
  <c r="I1334" i="1" a="1"/>
  <c r="I1334" i="1" s="1"/>
  <c r="G1336" i="1" a="1"/>
  <c r="G1336" i="1" s="1"/>
  <c r="J1334" i="1" a="1"/>
  <c r="J1334" i="1" s="1"/>
  <c r="H1337" i="1" a="1"/>
  <c r="H1337" i="1" s="1"/>
  <c r="I1336" i="1" a="1"/>
  <c r="I1336" i="1" s="1"/>
  <c r="K1338" i="1" a="1"/>
  <c r="K1338" i="1" s="1"/>
  <c r="I1338" i="1" a="1"/>
  <c r="I1338" i="1" s="1"/>
  <c r="I1333" i="1" a="1"/>
  <c r="I1333" i="1" s="1"/>
  <c r="K1336" i="1" a="1"/>
  <c r="K1336" i="1" s="1"/>
  <c r="J1333" i="1" a="1"/>
  <c r="J1333" i="1"/>
  <c r="K1334" i="1" a="1"/>
  <c r="K1334" i="1"/>
  <c r="H1338" i="1" a="1"/>
  <c r="H1338" i="1" s="1"/>
  <c r="I1337" i="1" a="1"/>
  <c r="I1337" i="1" s="1"/>
  <c r="F1337" i="1" a="1"/>
  <c r="F1337" i="1" s="1"/>
  <c r="F1334" i="1" a="1"/>
  <c r="F1334" i="1" s="1"/>
  <c r="H1336" i="1" a="1"/>
  <c r="H1336" i="1" s="1"/>
  <c r="G1335" i="1" a="1"/>
  <c r="G1335" i="1" s="1"/>
  <c r="H1334" i="1" a="1"/>
  <c r="H1334" i="1"/>
  <c r="J1332" i="1" a="1"/>
  <c r="J1332" i="1" s="1"/>
  <c r="F1336" i="1" a="1"/>
  <c r="F1336" i="1" s="1"/>
  <c r="I1335" i="1" a="1"/>
  <c r="I1335" i="1" s="1"/>
  <c r="I1332" i="1" a="1"/>
  <c r="I1332" i="1" s="1"/>
  <c r="J1345" i="1" a="1"/>
  <c r="J1345" i="1" s="1"/>
  <c r="K1333" i="1" a="1"/>
  <c r="K1333" i="1" s="1"/>
  <c r="J1336" i="1" a="1"/>
  <c r="J1336" i="1" s="1"/>
  <c r="K1332" i="1" a="1"/>
  <c r="K1332" i="1" s="1"/>
  <c r="I1345" i="1" a="1"/>
  <c r="I1345" i="1" s="1"/>
  <c r="H1345" i="1" a="1"/>
  <c r="H1345" i="1" s="1"/>
  <c r="G1345" i="1" a="1"/>
  <c r="G1345" i="1" s="1"/>
  <c r="F1345" i="1" a="1"/>
  <c r="F1345" i="1" s="1"/>
  <c r="K1344" i="1" a="1"/>
  <c r="K1344" i="1" s="1"/>
  <c r="J1344" i="1" a="1"/>
  <c r="J1344" i="1"/>
  <c r="K1335" i="1" a="1"/>
  <c r="K1335" i="1" s="1"/>
  <c r="H1335" i="1" a="1"/>
  <c r="H1335" i="1" s="1"/>
  <c r="I1344" i="1" a="1"/>
  <c r="I1344" i="1" s="1"/>
  <c r="H1344" i="1" a="1"/>
  <c r="H1344" i="1" s="1"/>
  <c r="G1344" i="1" a="1"/>
  <c r="G1344" i="1" s="1"/>
  <c r="F1344" i="1" a="1"/>
  <c r="F1344" i="1" s="1"/>
  <c r="F1332" i="1" a="1"/>
  <c r="F1332" i="1"/>
  <c r="J1331" i="1" a="1"/>
  <c r="J1331" i="1" s="1"/>
  <c r="K1324" i="1" a="1"/>
  <c r="K1324" i="1" s="1"/>
  <c r="G1331" i="1" a="1"/>
  <c r="G1331" i="1" s="1"/>
  <c r="K1323" i="1" a="1"/>
  <c r="K1323" i="1" s="1"/>
  <c r="J1319" i="1" a="1"/>
  <c r="J1319" i="1" s="1"/>
  <c r="J1324" i="1" a="1"/>
  <c r="J1324" i="1" s="1"/>
  <c r="K1330" i="1" a="1"/>
  <c r="K1330" i="1" s="1"/>
  <c r="G1330" i="1" a="1"/>
  <c r="G1330" i="1" s="1"/>
  <c r="K1319" i="1" a="1"/>
  <c r="K1319" i="1" s="1"/>
  <c r="I1318" i="1" a="1"/>
  <c r="I1318" i="1" s="1"/>
  <c r="I1324" i="1" a="1"/>
  <c r="I1324" i="1" s="1"/>
  <c r="I1322" i="1" a="1"/>
  <c r="I1322" i="1" s="1"/>
  <c r="F1324" i="1" a="1"/>
  <c r="F1324" i="1" s="1"/>
  <c r="K1331" i="1" a="1"/>
  <c r="K1331" i="1" s="1"/>
  <c r="I1323" i="1" a="1"/>
  <c r="I1323" i="1" s="1"/>
  <c r="H1319" i="1" a="1"/>
  <c r="H1319" i="1" s="1"/>
  <c r="K1318" i="1" a="1"/>
  <c r="K1318" i="1" s="1"/>
  <c r="I1331" i="1" a="1"/>
  <c r="I1331" i="1" s="1"/>
  <c r="F1331" i="1" a="1"/>
  <c r="F1331" i="1" s="1"/>
  <c r="F1330" i="1" a="1"/>
  <c r="F1330" i="1" s="1"/>
  <c r="H1318" i="1" a="1"/>
  <c r="H1318" i="1" s="1"/>
  <c r="H1331" i="1" a="1"/>
  <c r="H1331" i="1" s="1"/>
  <c r="J1330" i="1" a="1"/>
  <c r="J1330" i="1" s="1"/>
  <c r="I1330" i="1" a="1"/>
  <c r="I1330" i="1" s="1"/>
  <c r="H1330" i="1" a="1"/>
  <c r="H1330" i="1" s="1"/>
  <c r="J1318" i="1" a="1"/>
  <c r="J1318" i="1" s="1"/>
  <c r="F1318" i="1" a="1"/>
  <c r="F1318" i="1" s="1"/>
  <c r="J1322" i="1" a="1"/>
  <c r="J1322" i="1" s="1"/>
  <c r="H1322" i="1" a="1"/>
  <c r="H1322" i="1" s="1"/>
  <c r="K1321" i="1" a="1"/>
  <c r="K1321" i="1" s="1"/>
  <c r="F1322" i="1" a="1"/>
  <c r="F1322" i="1" s="1"/>
  <c r="J1321" i="1" a="1"/>
  <c r="J1321" i="1" s="1"/>
  <c r="G1318" i="1" a="1"/>
  <c r="G1318" i="1" s="1"/>
  <c r="H1321" i="1" a="1"/>
  <c r="H1321" i="1" s="1"/>
  <c r="I1321" i="1" a="1"/>
  <c r="I1321" i="1" s="1"/>
  <c r="H1324" i="1" a="1"/>
  <c r="H1324" i="1" s="1"/>
  <c r="H1323" i="1" a="1"/>
  <c r="H1323" i="1" s="1"/>
  <c r="G1319" i="1" a="1"/>
  <c r="G1319" i="1" s="1"/>
  <c r="K1322" i="1" a="1"/>
  <c r="K1322" i="1"/>
  <c r="J1323" i="1" a="1"/>
  <c r="J1323" i="1" s="1"/>
  <c r="I1319" i="1" a="1"/>
  <c r="I1319" i="1" s="1"/>
  <c r="F1321" i="1" a="1"/>
  <c r="F1321" i="1" s="1"/>
  <c r="G1323" i="1" a="1"/>
  <c r="G1323" i="1" s="1"/>
  <c r="F1319" i="1" a="1"/>
  <c r="F1319" i="1" s="1"/>
  <c r="G1332" i="1" a="1"/>
  <c r="G1332" i="1" s="1"/>
  <c r="G1322" i="1" a="1"/>
  <c r="G1322" i="1" s="1"/>
  <c r="G1321" i="1" a="1"/>
  <c r="G1321" i="1" s="1"/>
  <c r="G1324" i="1" a="1"/>
  <c r="G1324" i="1" s="1"/>
  <c r="F1323" i="1" a="1"/>
  <c r="F1323" i="1" s="1"/>
  <c r="H1317" i="1" a="1"/>
  <c r="H1317" i="1" s="1"/>
  <c r="I1261" i="1" a="1"/>
  <c r="I1261" i="1" s="1"/>
  <c r="H1261" i="1" a="1"/>
  <c r="H1261" i="1" s="1"/>
  <c r="I1259" i="1" a="1"/>
  <c r="I1259" i="1" s="1"/>
  <c r="I1317" i="1" a="1"/>
  <c r="I1317" i="1" s="1"/>
  <c r="I1258" i="1" a="1"/>
  <c r="I1258" i="1"/>
  <c r="G1260" i="1" a="1"/>
  <c r="G1260" i="1" s="1"/>
  <c r="G1316" i="1" a="1"/>
  <c r="G1316" i="1" s="1"/>
  <c r="G1261" i="1" a="1"/>
  <c r="G1261" i="1" s="1"/>
  <c r="F1317" i="1" a="1"/>
  <c r="F1317" i="1" s="1"/>
  <c r="F1260" i="1" a="1"/>
  <c r="F1260" i="1" s="1"/>
  <c r="K1261" i="1" a="1"/>
  <c r="K1261" i="1" s="1"/>
  <c r="F1259" i="1" a="1"/>
  <c r="F1259" i="1" s="1"/>
  <c r="K1316" i="1" a="1"/>
  <c r="K1316" i="1" s="1"/>
  <c r="J1316" i="1" a="1"/>
  <c r="J1316" i="1" s="1"/>
  <c r="I1316" i="1" a="1"/>
  <c r="I1316" i="1" s="1"/>
  <c r="H1315" i="1" a="1"/>
  <c r="H1315" i="1" s="1"/>
  <c r="J1261" i="1" a="1"/>
  <c r="J1261" i="1" s="1"/>
  <c r="J1259" i="1" a="1"/>
  <c r="J1259" i="1" s="1"/>
  <c r="H1316" i="1" a="1"/>
  <c r="H1316" i="1" s="1"/>
  <c r="F1315" i="1" a="1"/>
  <c r="F1315" i="1" s="1"/>
  <c r="H1260" i="1" a="1"/>
  <c r="H1260" i="1" s="1"/>
  <c r="J1258" i="1" a="1"/>
  <c r="J1258" i="1" s="1"/>
  <c r="K1315" i="1" a="1"/>
  <c r="K1315" i="1" s="1"/>
  <c r="H1259" i="1" a="1"/>
  <c r="H1259" i="1" s="1"/>
  <c r="K1258" i="1" a="1"/>
  <c r="K1258" i="1" s="1"/>
  <c r="I1260" i="1" a="1"/>
  <c r="I1260" i="1" s="1"/>
  <c r="G1258" i="1" a="1"/>
  <c r="G1258" i="1" s="1"/>
  <c r="I1315" i="1" a="1"/>
  <c r="I1315" i="1" s="1"/>
  <c r="G1315" i="1" a="1"/>
  <c r="G1315" i="1" s="1"/>
  <c r="K1257" i="1" a="1"/>
  <c r="K1257" i="1" s="1"/>
  <c r="J1260" i="1" a="1"/>
  <c r="J1260" i="1" s="1"/>
  <c r="K1259" i="1" a="1"/>
  <c r="K1259" i="1" s="1"/>
  <c r="G1259" i="1" a="1"/>
  <c r="G1259" i="1" s="1"/>
  <c r="F1261" i="1" a="1"/>
  <c r="F1261" i="1" s="1"/>
  <c r="F1258" i="1" a="1"/>
  <c r="F1258" i="1" s="1"/>
  <c r="K1317" i="1" a="1"/>
  <c r="K1317" i="1" s="1"/>
  <c r="H1258" i="1" a="1"/>
  <c r="H1258" i="1"/>
  <c r="F1316" i="1" a="1"/>
  <c r="F1316" i="1" s="1"/>
  <c r="K1260" i="1" a="1"/>
  <c r="K1260" i="1"/>
  <c r="J1315" i="1" a="1"/>
  <c r="J1315" i="1" s="1"/>
  <c r="J1317" i="1" a="1"/>
  <c r="J1317" i="1" s="1"/>
  <c r="G1317" i="1" a="1"/>
  <c r="G1317" i="1" s="1"/>
  <c r="I1250" i="1" a="1"/>
  <c r="I1250" i="1" s="1"/>
  <c r="F1250" i="1" a="1"/>
  <c r="F1250" i="1" s="1"/>
  <c r="I1249" i="1" a="1"/>
  <c r="I1249" i="1" s="1"/>
  <c r="F1249" i="1" a="1"/>
  <c r="F1249" i="1" s="1"/>
  <c r="F1248" i="1" a="1"/>
  <c r="F1248" i="1" s="1"/>
  <c r="J1247" i="1" a="1"/>
  <c r="J1247" i="1" s="1"/>
  <c r="I1247" i="1" a="1"/>
  <c r="I1247" i="1" s="1"/>
  <c r="G1254" i="1" a="1"/>
  <c r="G1254" i="1" s="1"/>
  <c r="K1253" i="1" a="1"/>
  <c r="K1253" i="1" s="1"/>
  <c r="I1252" i="1" a="1"/>
  <c r="I1252" i="1" s="1"/>
  <c r="I1251" i="1" a="1"/>
  <c r="I1251" i="1" s="1"/>
  <c r="G1249" i="1" a="1"/>
  <c r="G1249" i="1" s="1"/>
  <c r="G1250" i="1" a="1"/>
  <c r="G1250" i="1" s="1"/>
  <c r="G1253" i="1" a="1"/>
  <c r="G1253" i="1" s="1"/>
  <c r="J1257" i="1" a="1"/>
  <c r="J1257" i="1" s="1"/>
  <c r="J1251" i="1" a="1"/>
  <c r="J1251" i="1"/>
  <c r="I1257" i="1" a="1"/>
  <c r="I1257" i="1"/>
  <c r="H1257" i="1" a="1"/>
  <c r="H1257" i="1" s="1"/>
  <c r="F1256" i="1" a="1"/>
  <c r="F1256" i="1" s="1"/>
  <c r="H1250" i="1" a="1"/>
  <c r="H1250" i="1" s="1"/>
  <c r="F1254" i="1" a="1"/>
  <c r="F1254" i="1"/>
  <c r="H1247" i="1" a="1"/>
  <c r="H1247" i="1" s="1"/>
  <c r="G1257" i="1" a="1"/>
  <c r="G1257" i="1" s="1"/>
  <c r="J1248" i="1" a="1"/>
  <c r="J1248" i="1" s="1"/>
  <c r="F1257" i="1" a="1"/>
  <c r="F1257" i="1"/>
  <c r="J1254" i="1" a="1"/>
  <c r="J1254" i="1" s="1"/>
  <c r="H1248" i="1" a="1"/>
  <c r="H1248" i="1" s="1"/>
  <c r="K1256" i="1" a="1"/>
  <c r="K1256" i="1" s="1"/>
  <c r="J1256" i="1" a="1"/>
  <c r="J1256" i="1" s="1"/>
  <c r="I1256" i="1" a="1"/>
  <c r="I1256" i="1" s="1"/>
  <c r="H1256" i="1" a="1"/>
  <c r="H1256" i="1"/>
  <c r="I1255" i="1" a="1"/>
  <c r="I1255" i="1" s="1"/>
  <c r="G1251" i="1" a="1"/>
  <c r="G1251" i="1" s="1"/>
  <c r="G1256" i="1" a="1"/>
  <c r="G1256" i="1" s="1"/>
  <c r="J1255" i="1" a="1"/>
  <c r="J1255" i="1" s="1"/>
  <c r="H1249" i="1" a="1"/>
  <c r="H1249" i="1" s="1"/>
  <c r="I1248" i="1" a="1"/>
  <c r="I1248" i="1"/>
  <c r="G1248" i="1" a="1"/>
  <c r="G1248" i="1"/>
  <c r="K1247" i="1" a="1"/>
  <c r="K1247" i="1"/>
  <c r="K1254" i="1" a="1"/>
  <c r="K1254" i="1" s="1"/>
  <c r="G1252" i="1" a="1"/>
  <c r="G1252" i="1" s="1"/>
  <c r="K1252" i="1" a="1"/>
  <c r="K1252" i="1" s="1"/>
  <c r="F1251" i="1" a="1"/>
  <c r="F1251" i="1" s="1"/>
  <c r="K1255" i="1" a="1"/>
  <c r="K1255" i="1" s="1"/>
  <c r="H1255" i="1" a="1"/>
  <c r="H1255" i="1" s="1"/>
  <c r="G1255" i="1" a="1"/>
  <c r="G1255" i="1" s="1"/>
  <c r="K1248" i="1" a="1"/>
  <c r="K1248" i="1" s="1"/>
  <c r="H1254" i="1" a="1"/>
  <c r="H1254" i="1" s="1"/>
  <c r="F1253" i="1" a="1"/>
  <c r="F1253" i="1" s="1"/>
  <c r="I1253" i="1" a="1"/>
  <c r="I1253" i="1" s="1"/>
  <c r="K1249" i="1" a="1"/>
  <c r="K1249" i="1" s="1"/>
  <c r="J1253" i="1" a="1"/>
  <c r="J1253" i="1" s="1"/>
  <c r="H1252" i="1" a="1"/>
  <c r="H1252" i="1" s="1"/>
  <c r="J1249" i="1" a="1"/>
  <c r="J1249" i="1"/>
  <c r="F1255" i="1" a="1"/>
  <c r="F1255" i="1" s="1"/>
  <c r="J1250" i="1" a="1"/>
  <c r="J1250" i="1" s="1"/>
  <c r="H1251" i="1" a="1"/>
  <c r="H1251" i="1" s="1"/>
  <c r="G1247" i="1" a="1"/>
  <c r="G1247" i="1" s="1"/>
  <c r="I1254" i="1" a="1"/>
  <c r="I1254" i="1" s="1"/>
  <c r="H1253" i="1" a="1"/>
  <c r="H1253" i="1" s="1"/>
  <c r="F1252" i="1" a="1"/>
  <c r="F1252" i="1" s="1"/>
  <c r="J1252" i="1" a="1"/>
  <c r="J1252" i="1" s="1"/>
  <c r="K1250" i="1" a="1"/>
  <c r="K1250" i="1" s="1"/>
  <c r="K1251" i="1" a="1"/>
  <c r="K1251" i="1" s="1"/>
  <c r="I1239" i="1" a="1"/>
  <c r="I1239" i="1" s="1"/>
  <c r="F1238" i="1" a="1"/>
  <c r="F1238" i="1" s="1"/>
  <c r="G1237" i="1" a="1"/>
  <c r="G1237" i="1" s="1"/>
  <c r="J1236" i="1" a="1"/>
  <c r="J1236" i="1" s="1"/>
  <c r="I1237" i="1" a="1"/>
  <c r="I1237" i="1" s="1"/>
  <c r="I1236" i="1" a="1"/>
  <c r="I1236" i="1" s="1"/>
  <c r="K1245" i="1" a="1"/>
  <c r="K1245" i="1" s="1"/>
  <c r="H1243" i="1" a="1"/>
  <c r="H1243" i="1" s="1"/>
  <c r="H1245" i="1" a="1"/>
  <c r="H1245" i="1" s="1"/>
  <c r="F1242" i="1" a="1"/>
  <c r="F1242" i="1" s="1"/>
  <c r="F1245" i="1" a="1"/>
  <c r="F1245" i="1" s="1"/>
  <c r="K1244" i="1" a="1"/>
  <c r="K1244" i="1" s="1"/>
  <c r="J1244" i="1" a="1"/>
  <c r="J1244" i="1" s="1"/>
  <c r="H1242" i="1" a="1"/>
  <c r="H1242" i="1" s="1"/>
  <c r="I1244" i="1" a="1"/>
  <c r="I1244" i="1"/>
  <c r="H1244" i="1" a="1"/>
  <c r="H1244" i="1"/>
  <c r="G1244" i="1" a="1"/>
  <c r="G1244" i="1"/>
  <c r="G1243" i="1" a="1"/>
  <c r="G1243" i="1" s="1"/>
  <c r="K1240" i="1" a="1"/>
  <c r="K1240" i="1" s="1"/>
  <c r="H1238" i="1" a="1"/>
  <c r="H1238" i="1" s="1"/>
  <c r="F1243" i="1" a="1"/>
  <c r="F1243" i="1" s="1"/>
  <c r="F1244" i="1" a="1"/>
  <c r="F1244" i="1" s="1"/>
  <c r="J1243" i="1" a="1"/>
  <c r="J1243" i="1" s="1"/>
  <c r="K1241" i="1" a="1"/>
  <c r="K1241" i="1" s="1"/>
  <c r="F1240" i="1" a="1"/>
  <c r="F1240" i="1" s="1"/>
  <c r="I1240" i="1" a="1"/>
  <c r="I1240" i="1" s="1"/>
  <c r="K1239" i="1" a="1"/>
  <c r="K1239" i="1" s="1"/>
  <c r="F1239" i="1" a="1"/>
  <c r="F1239" i="1" s="1"/>
  <c r="I1242" i="1" a="1"/>
  <c r="I1242" i="1" s="1"/>
  <c r="I1243" i="1" a="1"/>
  <c r="I1243" i="1" s="1"/>
  <c r="J1241" i="1" a="1"/>
  <c r="J1241" i="1" s="1"/>
  <c r="K1242" i="1" a="1"/>
  <c r="K1242" i="1" s="1"/>
  <c r="H1240" i="1" a="1"/>
  <c r="H1240" i="1" s="1"/>
  <c r="G1239" i="1" a="1"/>
  <c r="G1239" i="1" s="1"/>
  <c r="G1241" i="1" a="1"/>
  <c r="G1241" i="1" s="1"/>
  <c r="K1236" i="1" a="1"/>
  <c r="K1236" i="1"/>
  <c r="I1241" i="1" a="1"/>
  <c r="I1241" i="1"/>
  <c r="H1237" i="1" a="1"/>
  <c r="H1237" i="1" s="1"/>
  <c r="J1239" i="1" a="1"/>
  <c r="J1239" i="1" s="1"/>
  <c r="J1240" i="1" a="1"/>
  <c r="J1240" i="1" s="1"/>
  <c r="K1243" i="1" a="1"/>
  <c r="K1243" i="1"/>
  <c r="J1242" i="1" a="1"/>
  <c r="J1242" i="1" s="1"/>
  <c r="G1238" i="1" a="1"/>
  <c r="G1238" i="1" s="1"/>
  <c r="G1242" i="1" a="1"/>
  <c r="G1242" i="1"/>
  <c r="H1241" i="1" a="1"/>
  <c r="H1241" i="1" s="1"/>
  <c r="G1240" i="1" a="1"/>
  <c r="G1240" i="1" s="1"/>
  <c r="K1238" i="1" a="1"/>
  <c r="K1238" i="1" s="1"/>
  <c r="H1239" i="1" a="1"/>
  <c r="H1239" i="1" s="1"/>
  <c r="I1238" i="1" a="1"/>
  <c r="I1238" i="1" s="1"/>
  <c r="I1245" i="1" a="1"/>
  <c r="I1245" i="1" s="1"/>
  <c r="K1237" i="1" a="1"/>
  <c r="K1237" i="1" s="1"/>
  <c r="G1245" i="1" a="1"/>
  <c r="G1245" i="1" s="1"/>
  <c r="J1237" i="1" a="1"/>
  <c r="J1237" i="1" s="1"/>
  <c r="F1237" i="1" a="1"/>
  <c r="F1237" i="1" s="1"/>
  <c r="J1238" i="1" a="1"/>
  <c r="J1238" i="1" s="1"/>
  <c r="F1247" i="1" a="1"/>
  <c r="F1247" i="1" s="1"/>
  <c r="K1246" i="1" a="1"/>
  <c r="K1246" i="1" s="1"/>
  <c r="J1246" i="1" a="1"/>
  <c r="J1246" i="1" s="1"/>
  <c r="I1246" i="1" a="1"/>
  <c r="I1246" i="1" s="1"/>
  <c r="H1246" i="1" a="1"/>
  <c r="H1246" i="1" s="1"/>
  <c r="G1246" i="1" a="1"/>
  <c r="G1246" i="1" s="1"/>
  <c r="F1246" i="1" a="1"/>
  <c r="F1246" i="1" s="1"/>
  <c r="J1245" i="1" a="1"/>
  <c r="J1245" i="1" s="1"/>
  <c r="F1241" i="1" a="1"/>
  <c r="F1241" i="1" s="1"/>
  <c r="H1234" i="1" a="1"/>
  <c r="H1234" i="1" s="1"/>
  <c r="G1234" i="1" a="1"/>
  <c r="G1234" i="1" s="1"/>
  <c r="F1231" i="1" a="1"/>
  <c r="F1231" i="1" s="1"/>
  <c r="K1226" i="1" a="1"/>
  <c r="K1226" i="1" s="1"/>
  <c r="K1227" i="1" a="1"/>
  <c r="K1227" i="1" s="1"/>
  <c r="H1227" i="1" a="1"/>
  <c r="H1227" i="1" s="1"/>
  <c r="F1227" i="1" a="1"/>
  <c r="F1227" i="1" s="1"/>
  <c r="H1226" i="1" a="1"/>
  <c r="H1226" i="1" s="1"/>
  <c r="K1230" i="1" a="1"/>
  <c r="K1230" i="1" s="1"/>
  <c r="F1236" i="1" a="1"/>
  <c r="F1236" i="1" s="1"/>
  <c r="J1232" i="1" a="1"/>
  <c r="J1232" i="1" s="1"/>
  <c r="I1230" i="1" a="1"/>
  <c r="I1230" i="1" s="1"/>
  <c r="G1226" i="1" a="1"/>
  <c r="G1226" i="1" s="1"/>
  <c r="J1235" i="1" a="1"/>
  <c r="J1235" i="1" s="1"/>
  <c r="H1232" i="1" a="1"/>
  <c r="H1232" i="1" s="1"/>
  <c r="J1230" i="1" a="1"/>
  <c r="J1230" i="1" s="1"/>
  <c r="I1235" i="1" a="1"/>
  <c r="I1235" i="1" s="1"/>
  <c r="H1235" i="1" a="1"/>
  <c r="H1235" i="1"/>
  <c r="I1232" i="1" a="1"/>
  <c r="I1232" i="1"/>
  <c r="K1234" i="1" a="1"/>
  <c r="K1234" i="1" s="1"/>
  <c r="I1234" i="1" a="1"/>
  <c r="I1234" i="1" s="1"/>
  <c r="F1234" i="1" a="1"/>
  <c r="F1234" i="1" s="1"/>
  <c r="J1233" i="1" a="1"/>
  <c r="J1233" i="1"/>
  <c r="G1230" i="1" a="1"/>
  <c r="G1230" i="1" s="1"/>
  <c r="I1233" i="1" a="1"/>
  <c r="I1233" i="1" s="1"/>
  <c r="G1232" i="1" a="1"/>
  <c r="G1232" i="1" s="1"/>
  <c r="I1227" i="1" a="1"/>
  <c r="I1227" i="1" s="1"/>
  <c r="I1226" i="1" a="1"/>
  <c r="I1226" i="1" s="1"/>
  <c r="I1231" i="1" a="1"/>
  <c r="I1231" i="1" s="1"/>
  <c r="G1229" i="1" a="1"/>
  <c r="G1229" i="1" s="1"/>
  <c r="H1228" i="1" a="1"/>
  <c r="H1228" i="1" s="1"/>
  <c r="H1233" i="1" a="1"/>
  <c r="H1233" i="1" s="1"/>
  <c r="G1233" i="1" a="1"/>
  <c r="G1233" i="1" s="1"/>
  <c r="J1226" i="1" a="1"/>
  <c r="J1226" i="1" s="1"/>
  <c r="H1230" i="1" a="1"/>
  <c r="H1230" i="1" s="1"/>
  <c r="K1229" i="1" a="1"/>
  <c r="K1229" i="1" s="1"/>
  <c r="H1231" i="1" a="1"/>
  <c r="H1231" i="1" s="1"/>
  <c r="F1235" i="1" a="1"/>
  <c r="F1235" i="1" s="1"/>
  <c r="F1233" i="1" a="1"/>
  <c r="F1233" i="1" s="1"/>
  <c r="F1232" i="1" a="1"/>
  <c r="F1232" i="1"/>
  <c r="K1228" i="1" a="1"/>
  <c r="K1228" i="1" s="1"/>
  <c r="J1234" i="1" a="1"/>
  <c r="J1234" i="1" s="1"/>
  <c r="G1231" i="1" a="1"/>
  <c r="G1231" i="1"/>
  <c r="F1229" i="1" a="1"/>
  <c r="F1229" i="1" s="1"/>
  <c r="G1228" i="1" a="1"/>
  <c r="G1228" i="1" s="1"/>
  <c r="F1226" i="1" a="1"/>
  <c r="F1226" i="1"/>
  <c r="J1231" i="1" a="1"/>
  <c r="J1231" i="1"/>
  <c r="F1230" i="1" a="1"/>
  <c r="F1230" i="1"/>
  <c r="K1233" i="1" a="1"/>
  <c r="K1233" i="1" s="1"/>
  <c r="K1232" i="1" a="1"/>
  <c r="K1232" i="1" s="1"/>
  <c r="G1227" i="1" a="1"/>
  <c r="G1227" i="1"/>
  <c r="J1229" i="1" a="1"/>
  <c r="J1229" i="1"/>
  <c r="I1229" i="1" a="1"/>
  <c r="I1229" i="1" s="1"/>
  <c r="H1229" i="1" a="1"/>
  <c r="H1229" i="1" s="1"/>
  <c r="J1228" i="1" a="1"/>
  <c r="J1228" i="1" s="1"/>
  <c r="I1228" i="1" a="1"/>
  <c r="I1228" i="1" s="1"/>
  <c r="G1235" i="1" a="1"/>
  <c r="G1235" i="1" s="1"/>
  <c r="K1231" i="1" a="1"/>
  <c r="K1231" i="1" s="1"/>
  <c r="F1228" i="1" a="1"/>
  <c r="F1228" i="1" s="1"/>
  <c r="K1225" i="1" a="1"/>
  <c r="K1225" i="1"/>
  <c r="H1236" i="1" a="1"/>
  <c r="H1236" i="1" s="1"/>
  <c r="J1227" i="1" a="1"/>
  <c r="J1227" i="1" s="1"/>
  <c r="G1236" i="1" a="1"/>
  <c r="G1236" i="1" s="1"/>
  <c r="K1235" i="1" a="1"/>
  <c r="K1235" i="1" s="1"/>
  <c r="F1222" i="1" a="1"/>
  <c r="F1222" i="1" s="1"/>
  <c r="J1216" i="1" a="1"/>
  <c r="J1216" i="1" s="1"/>
  <c r="J1220" i="1" a="1"/>
  <c r="J1220" i="1" s="1"/>
  <c r="J1224" i="1" a="1"/>
  <c r="J1224" i="1" s="1"/>
  <c r="G1220" i="1" a="1"/>
  <c r="G1220" i="1" s="1"/>
  <c r="G1218" i="1" a="1"/>
  <c r="G1218" i="1" s="1"/>
  <c r="K1223" i="1" a="1"/>
  <c r="K1223" i="1" s="1"/>
  <c r="J1223" i="1" a="1"/>
  <c r="J1223" i="1" s="1"/>
  <c r="I1220" i="1" a="1"/>
  <c r="I1220" i="1" s="1"/>
  <c r="F1219" i="1" a="1"/>
  <c r="F1219" i="1" s="1"/>
  <c r="J1221" i="1" a="1"/>
  <c r="J1221" i="1"/>
  <c r="J1222" i="1" a="1"/>
  <c r="J1222" i="1"/>
  <c r="K1220" i="1" a="1"/>
  <c r="K1220" i="1" s="1"/>
  <c r="I1223" i="1" a="1"/>
  <c r="I1223" i="1" s="1"/>
  <c r="H1220" i="1" a="1"/>
  <c r="H1220" i="1" s="1"/>
  <c r="J1217" i="1" a="1"/>
  <c r="J1217" i="1" s="1"/>
  <c r="F1223" i="1" a="1"/>
  <c r="F1223" i="1"/>
  <c r="I1221" i="1" a="1"/>
  <c r="I1221" i="1"/>
  <c r="H1223" i="1" a="1"/>
  <c r="H1223" i="1" s="1"/>
  <c r="K1222" i="1" a="1"/>
  <c r="K1222" i="1" s="1"/>
  <c r="G1221" i="1" a="1"/>
  <c r="G1221" i="1" s="1"/>
  <c r="H1219" i="1" a="1"/>
  <c r="H1219" i="1" s="1"/>
  <c r="G1217" i="1" a="1"/>
  <c r="G1217" i="1" s="1"/>
  <c r="K1218" i="1" a="1"/>
  <c r="K1218" i="1" s="1"/>
  <c r="F1221" i="1" a="1"/>
  <c r="F1221" i="1" s="1"/>
  <c r="G1219" i="1" a="1"/>
  <c r="G1219" i="1" s="1"/>
  <c r="I1218" i="1" a="1"/>
  <c r="I1218" i="1" s="1"/>
  <c r="I1217" i="1" a="1"/>
  <c r="I1217" i="1" s="1"/>
  <c r="H1217" i="1" a="1"/>
  <c r="H1217" i="1"/>
  <c r="F1216" i="1" a="1"/>
  <c r="F1216" i="1" s="1"/>
  <c r="K1215" i="1" a="1"/>
  <c r="K1215" i="1" s="1"/>
  <c r="K1221" i="1" a="1"/>
  <c r="K1221" i="1"/>
  <c r="H1216" i="1" a="1"/>
  <c r="H1216" i="1"/>
  <c r="F1218" i="1" a="1"/>
  <c r="F1218" i="1" s="1"/>
  <c r="I1216" i="1" a="1"/>
  <c r="I1216" i="1" s="1"/>
  <c r="J1218" i="1" a="1"/>
  <c r="J1218" i="1" s="1"/>
  <c r="H1218" i="1" a="1"/>
  <c r="H1218" i="1" s="1"/>
  <c r="J1215" i="1" a="1"/>
  <c r="J1215" i="1"/>
  <c r="I1215" i="1" a="1"/>
  <c r="I1215" i="1"/>
  <c r="G1223" i="1" a="1"/>
  <c r="G1223" i="1" s="1"/>
  <c r="I1222" i="1" a="1"/>
  <c r="I1222" i="1" s="1"/>
  <c r="G1216" i="1" a="1"/>
  <c r="G1216" i="1" s="1"/>
  <c r="K1219" i="1" a="1"/>
  <c r="K1219" i="1" s="1"/>
  <c r="H1222" i="1" a="1"/>
  <c r="H1222" i="1" s="1"/>
  <c r="F1220" i="1" a="1"/>
  <c r="F1220" i="1"/>
  <c r="J1225" i="1" a="1"/>
  <c r="J1225" i="1"/>
  <c r="I1225" i="1" a="1"/>
  <c r="I1225" i="1" s="1"/>
  <c r="K1216" i="1" a="1"/>
  <c r="K1216" i="1"/>
  <c r="H1225" i="1" a="1"/>
  <c r="H1225" i="1" s="1"/>
  <c r="G1225" i="1" a="1"/>
  <c r="G1225" i="1" s="1"/>
  <c r="H1221" i="1" a="1"/>
  <c r="H1221" i="1" s="1"/>
  <c r="J1219" i="1" a="1"/>
  <c r="J1219" i="1" s="1"/>
  <c r="I1219" i="1" a="1"/>
  <c r="I1219" i="1" s="1"/>
  <c r="F1217" i="1" a="1"/>
  <c r="F1217" i="1"/>
  <c r="K1217" i="1" a="1"/>
  <c r="K1217" i="1" s="1"/>
  <c r="F1225" i="1" a="1"/>
  <c r="F1225" i="1" s="1"/>
  <c r="F1224" i="1" a="1"/>
  <c r="F1224" i="1" s="1"/>
  <c r="G1224" i="1" a="1"/>
  <c r="G1224" i="1" s="1"/>
  <c r="I1224" i="1" a="1"/>
  <c r="I1224" i="1" s="1"/>
  <c r="G1222" i="1" a="1"/>
  <c r="G1222" i="1" s="1"/>
  <c r="K1224" i="1" a="1"/>
  <c r="K1224" i="1" s="1"/>
  <c r="H1224" i="1" a="1"/>
  <c r="H1224" i="1" s="1"/>
  <c r="H1213" i="1" a="1"/>
  <c r="H1213" i="1" s="1"/>
  <c r="J1209" i="1" a="1"/>
  <c r="J1209" i="1" s="1"/>
  <c r="J1208" i="1" a="1"/>
  <c r="J1208" i="1" s="1"/>
  <c r="I1212" i="1" a="1"/>
  <c r="I1212" i="1"/>
  <c r="G1210" i="1" a="1"/>
  <c r="G1210" i="1"/>
  <c r="K1209" i="1" a="1"/>
  <c r="K1209" i="1"/>
  <c r="K1208" i="1" a="1"/>
  <c r="K1208" i="1" s="1"/>
  <c r="I1208" i="1" a="1"/>
  <c r="I1208" i="1" s="1"/>
  <c r="H1208" i="1" a="1"/>
  <c r="H1208" i="1" s="1"/>
  <c r="G1207" i="1" a="1"/>
  <c r="G1207" i="1" s="1"/>
  <c r="G1208" i="1" a="1"/>
  <c r="G1208" i="1" s="1"/>
  <c r="K1214" i="1" a="1"/>
  <c r="K1214" i="1" s="1"/>
  <c r="I1214" i="1" a="1"/>
  <c r="I1214" i="1" s="1"/>
  <c r="H1214" i="1" a="1"/>
  <c r="H1214" i="1" s="1"/>
  <c r="G1212" i="1" a="1"/>
  <c r="G1212" i="1" s="1"/>
  <c r="J1210" i="1" a="1"/>
  <c r="J1210" i="1" s="1"/>
  <c r="G1214" i="1" a="1"/>
  <c r="G1214" i="1" s="1"/>
  <c r="J1212" i="1" a="1"/>
  <c r="J1212" i="1" s="1"/>
  <c r="F1214" i="1" a="1"/>
  <c r="F1214" i="1" s="1"/>
  <c r="G1206" i="1" a="1"/>
  <c r="G1206" i="1" s="1"/>
  <c r="J1213" i="1" a="1"/>
  <c r="J1213" i="1" s="1"/>
  <c r="F1210" i="1" a="1"/>
  <c r="F1210" i="1" s="1"/>
  <c r="H1209" i="1" a="1"/>
  <c r="H1209" i="1" s="1"/>
  <c r="I1209" i="1" a="1"/>
  <c r="I1209" i="1" s="1"/>
  <c r="K1210" i="1" a="1"/>
  <c r="K1210" i="1" s="1"/>
  <c r="F1206" i="1" a="1"/>
  <c r="F1206" i="1"/>
  <c r="H1212" i="1" a="1"/>
  <c r="H1212" i="1"/>
  <c r="I1207" i="1" a="1"/>
  <c r="I1207" i="1" s="1"/>
  <c r="J1206" i="1" a="1"/>
  <c r="J1206" i="1" s="1"/>
  <c r="G1209" i="1" a="1"/>
  <c r="G1209" i="1" s="1"/>
  <c r="I1210" i="1" a="1"/>
  <c r="I1210" i="1" s="1"/>
  <c r="H1210" i="1" a="1"/>
  <c r="H1210" i="1" s="1"/>
  <c r="K1207" i="1" a="1"/>
  <c r="K1207" i="1" s="1"/>
  <c r="H1207" i="1" a="1"/>
  <c r="H1207" i="1" s="1"/>
  <c r="F1207" i="1" a="1"/>
  <c r="F1207" i="1" s="1"/>
  <c r="H1206" i="1" a="1"/>
  <c r="H1206" i="1" s="1"/>
  <c r="F1212" i="1" a="1"/>
  <c r="F1212" i="1" s="1"/>
  <c r="H1215" i="1" a="1"/>
  <c r="H1215" i="1" s="1"/>
  <c r="G1215" i="1" a="1"/>
  <c r="G1215" i="1" s="1"/>
  <c r="J1214" i="1" a="1"/>
  <c r="J1214" i="1" s="1"/>
  <c r="I1213" i="1" a="1"/>
  <c r="I1213" i="1" s="1"/>
  <c r="G1213" i="1" a="1"/>
  <c r="G1213" i="1"/>
  <c r="F1213" i="1" a="1"/>
  <c r="F1213" i="1" s="1"/>
  <c r="K1212" i="1" a="1"/>
  <c r="K1212" i="1" s="1"/>
  <c r="F1208" i="1" a="1"/>
  <c r="F1208" i="1" s="1"/>
  <c r="K1206" i="1" a="1"/>
  <c r="K1206" i="1" s="1"/>
  <c r="I1206" i="1" a="1"/>
  <c r="I1206" i="1" s="1"/>
  <c r="J1207" i="1" a="1"/>
  <c r="J1207" i="1" s="1"/>
  <c r="F1209" i="1" a="1"/>
  <c r="F1209" i="1" s="1"/>
  <c r="F1215" i="1" a="1"/>
  <c r="F1215" i="1" s="1"/>
  <c r="K1213" i="1" a="1"/>
  <c r="K1213" i="1" s="1"/>
  <c r="K1190" i="1" a="1"/>
  <c r="K1190" i="1" s="1"/>
  <c r="I1197" i="1" a="1"/>
  <c r="I1197" i="1" s="1"/>
  <c r="K1193" i="1" a="1"/>
  <c r="K1193" i="1" s="1"/>
  <c r="H1193" i="1" a="1"/>
  <c r="H1193" i="1" s="1"/>
  <c r="I1194" i="1" a="1"/>
  <c r="I1194" i="1" s="1"/>
  <c r="K1191" i="1" a="1"/>
  <c r="K1191" i="1" s="1"/>
  <c r="J1191" i="1" a="1"/>
  <c r="J1191" i="1" s="1"/>
  <c r="H1199" i="1" a="1"/>
  <c r="H1199" i="1"/>
  <c r="K1197" i="1" a="1"/>
  <c r="K1197" i="1"/>
  <c r="G1197" i="1" a="1"/>
  <c r="G1197" i="1" s="1"/>
  <c r="F1195" i="1" a="1"/>
  <c r="F1195" i="1" s="1"/>
  <c r="I1198" i="1" a="1"/>
  <c r="I1198" i="1" s="1"/>
  <c r="H1198" i="1" a="1"/>
  <c r="H1198" i="1" s="1"/>
  <c r="K1194" i="1" a="1"/>
  <c r="K1194" i="1" s="1"/>
  <c r="H1194" i="1" a="1"/>
  <c r="H1194" i="1" s="1"/>
  <c r="G1194" i="1" a="1"/>
  <c r="G1194" i="1"/>
  <c r="J1193" i="1" a="1"/>
  <c r="J1193" i="1" s="1"/>
  <c r="G1193" i="1" a="1"/>
  <c r="G1193" i="1" s="1"/>
  <c r="I1193" i="1" a="1"/>
  <c r="I1193" i="1" s="1"/>
  <c r="F1193" i="1" a="1"/>
  <c r="F1193" i="1" s="1"/>
  <c r="F1192" i="1" a="1"/>
  <c r="F1192" i="1" s="1"/>
  <c r="I1191" i="1" a="1"/>
  <c r="I1191" i="1" s="1"/>
  <c r="K1200" i="1" a="1"/>
  <c r="K1200" i="1" s="1"/>
  <c r="I1195" i="1" a="1"/>
  <c r="I1195" i="1" s="1"/>
  <c r="H1200" i="1" a="1"/>
  <c r="H1200" i="1" s="1"/>
  <c r="G1200" i="1" a="1"/>
  <c r="G1200" i="1" s="1"/>
  <c r="G1191" i="1" a="1"/>
  <c r="G1191" i="1" s="1"/>
  <c r="K1199" i="1" a="1"/>
  <c r="K1199" i="1" s="1"/>
  <c r="F1197" i="1" a="1"/>
  <c r="F1197" i="1" s="1"/>
  <c r="H1195" i="1" a="1"/>
  <c r="H1195" i="1" s="1"/>
  <c r="I1196" i="1" a="1"/>
  <c r="I1196" i="1" s="1"/>
  <c r="G1195" i="1" a="1"/>
  <c r="G1195" i="1"/>
  <c r="J1196" i="1" a="1"/>
  <c r="J1196" i="1" s="1"/>
  <c r="K1192" i="1" a="1"/>
  <c r="K1192" i="1" s="1"/>
  <c r="H1196" i="1" a="1"/>
  <c r="H1196" i="1" s="1"/>
  <c r="K1196" i="1" a="1"/>
  <c r="K1196" i="1" s="1"/>
  <c r="F1196" i="1" a="1"/>
  <c r="F1196" i="1" s="1"/>
  <c r="J1200" i="1" a="1"/>
  <c r="J1200" i="1" s="1"/>
  <c r="I1200" i="1" a="1"/>
  <c r="I1200" i="1" s="1"/>
  <c r="F1200" i="1" a="1"/>
  <c r="F1200" i="1" s="1"/>
  <c r="K1195" i="1" a="1"/>
  <c r="K1195" i="1" s="1"/>
  <c r="F1191" i="1" a="1"/>
  <c r="F1191" i="1"/>
  <c r="J1199" i="1" a="1"/>
  <c r="J1199" i="1" s="1"/>
  <c r="G1192" i="1" a="1"/>
  <c r="G1192" i="1" s="1"/>
  <c r="J1194" i="1" a="1"/>
  <c r="J1194" i="1"/>
  <c r="F1199" i="1" a="1"/>
  <c r="F1199" i="1" s="1"/>
  <c r="K1198" i="1" a="1"/>
  <c r="K1198" i="1" s="1"/>
  <c r="J1197" i="1" a="1"/>
  <c r="J1197" i="1" s="1"/>
  <c r="F1198" i="1" a="1"/>
  <c r="F1198" i="1" s="1"/>
  <c r="J1192" i="1" a="1"/>
  <c r="J1192" i="1" s="1"/>
  <c r="H1197" i="1" a="1"/>
  <c r="H1197" i="1" s="1"/>
  <c r="J1195" i="1" a="1"/>
  <c r="J1195" i="1" s="1"/>
  <c r="I1192" i="1" a="1"/>
  <c r="I1192" i="1" s="1"/>
  <c r="H1192" i="1" a="1"/>
  <c r="H1192" i="1" s="1"/>
  <c r="G1196" i="1" a="1"/>
  <c r="G1196" i="1" s="1"/>
  <c r="H1191" i="1" a="1"/>
  <c r="H1191" i="1" s="1"/>
  <c r="F1194" i="1" a="1"/>
  <c r="F1194" i="1" s="1"/>
  <c r="J1190" i="1" a="1"/>
  <c r="J1190" i="1" s="1"/>
  <c r="I1199" i="1" a="1"/>
  <c r="I1199" i="1" s="1"/>
  <c r="G1199" i="1" a="1"/>
  <c r="G1199" i="1"/>
  <c r="J1198" i="1" a="1"/>
  <c r="J1198" i="1" s="1"/>
  <c r="G1198" i="1" a="1"/>
  <c r="G1198" i="1" s="1"/>
  <c r="G1187" i="1" a="1"/>
  <c r="G1187" i="1" s="1"/>
  <c r="K1185" i="1" a="1"/>
  <c r="K1185" i="1" s="1"/>
  <c r="J1184" i="1" a="1"/>
  <c r="J1184" i="1"/>
  <c r="K1183" i="1" a="1"/>
  <c r="K1183" i="1"/>
  <c r="J1183" i="1" a="1"/>
  <c r="J1183" i="1" s="1"/>
  <c r="J1186" i="1" a="1"/>
  <c r="J1186" i="1" s="1"/>
  <c r="I1184" i="1" a="1"/>
  <c r="I1184" i="1" s="1"/>
  <c r="G1186" i="1" a="1"/>
  <c r="G1186" i="1" s="1"/>
  <c r="I1190" i="1" a="1"/>
  <c r="I1190" i="1" s="1"/>
  <c r="F1183" i="1" a="1"/>
  <c r="F1183" i="1" s="1"/>
  <c r="H1190" i="1" a="1"/>
  <c r="H1190" i="1" s="1"/>
  <c r="G1188" i="1" a="1"/>
  <c r="G1188" i="1" s="1"/>
  <c r="F1188" i="1" a="1"/>
  <c r="F1188" i="1" s="1"/>
  <c r="F1187" i="1" a="1"/>
  <c r="F1187" i="1" s="1"/>
  <c r="G1184" i="1" a="1"/>
  <c r="G1184" i="1" s="1"/>
  <c r="G1190" i="1" a="1"/>
  <c r="G1190" i="1" s="1"/>
  <c r="J1187" i="1" a="1"/>
  <c r="J1187" i="1"/>
  <c r="H1183" i="1" a="1"/>
  <c r="H1183" i="1" s="1"/>
  <c r="F1190" i="1" a="1"/>
  <c r="F1190" i="1" s="1"/>
  <c r="K1184" i="1" a="1"/>
  <c r="K1184" i="1" s="1"/>
  <c r="F1184" i="1" a="1"/>
  <c r="F1184" i="1" s="1"/>
  <c r="H1189" i="1" a="1"/>
  <c r="H1189" i="1"/>
  <c r="J1188" i="1" a="1"/>
  <c r="J1188" i="1"/>
  <c r="K1186" i="1" a="1"/>
  <c r="K1186" i="1" s="1"/>
  <c r="K1187" i="1" a="1"/>
  <c r="K1187" i="1" s="1"/>
  <c r="I1185" i="1" a="1"/>
  <c r="I1185" i="1" s="1"/>
  <c r="I1187" i="1" a="1"/>
  <c r="I1187" i="1" s="1"/>
  <c r="I1186" i="1" a="1"/>
  <c r="I1186" i="1"/>
  <c r="I1183" i="1" a="1"/>
  <c r="I1183" i="1"/>
  <c r="J1185" i="1" a="1"/>
  <c r="J1185" i="1" s="1"/>
  <c r="K1189" i="1" a="1"/>
  <c r="K1189" i="1" s="1"/>
  <c r="J1189" i="1" a="1"/>
  <c r="J1189" i="1" s="1"/>
  <c r="H1186" i="1" a="1"/>
  <c r="H1186" i="1" s="1"/>
  <c r="H1184" i="1" a="1"/>
  <c r="H1184" i="1" s="1"/>
  <c r="F1186" i="1" a="1"/>
  <c r="F1186" i="1" s="1"/>
  <c r="I1189" i="1" a="1"/>
  <c r="I1189" i="1" s="1"/>
  <c r="G1189" i="1" a="1"/>
  <c r="G1189" i="1" s="1"/>
  <c r="H1185" i="1" a="1"/>
  <c r="H1185" i="1" s="1"/>
  <c r="K1177" i="1" a="1"/>
  <c r="K1177" i="1" s="1"/>
  <c r="G1185" i="1" a="1"/>
  <c r="G1185" i="1"/>
  <c r="F1185" i="1" a="1"/>
  <c r="F1185" i="1"/>
  <c r="F1189" i="1" a="1"/>
  <c r="F1189" i="1" s="1"/>
  <c r="K1188" i="1" a="1"/>
  <c r="K1188" i="1" s="1"/>
  <c r="I1188" i="1" a="1"/>
  <c r="I1188" i="1" s="1"/>
  <c r="H1188" i="1" a="1"/>
  <c r="H1188" i="1" s="1"/>
  <c r="G1183" i="1" a="1"/>
  <c r="G1183" i="1" s="1"/>
  <c r="J1177" i="1" a="1"/>
  <c r="J1177" i="1" s="1"/>
  <c r="H1187" i="1" a="1"/>
  <c r="H1187" i="1" s="1"/>
  <c r="F1167" i="1" a="1"/>
  <c r="F1167" i="1" s="1"/>
  <c r="I1171" i="1" a="1"/>
  <c r="I1171" i="1" s="1"/>
  <c r="G1171" i="1" a="1"/>
  <c r="G1171" i="1" s="1"/>
  <c r="J1170" i="1" a="1"/>
  <c r="J1170" i="1" s="1"/>
  <c r="H1170" i="1" a="1"/>
  <c r="H1170" i="1" s="1"/>
  <c r="K1169" i="1" a="1"/>
  <c r="K1169" i="1"/>
  <c r="I1168" i="1" a="1"/>
  <c r="I1168" i="1" s="1"/>
  <c r="H1168" i="1" a="1"/>
  <c r="H1168" i="1" s="1"/>
  <c r="F1168" i="1" a="1"/>
  <c r="F1168" i="1"/>
  <c r="I1167" i="1" a="1"/>
  <c r="I1167" i="1"/>
  <c r="J1175" i="1" a="1"/>
  <c r="J1175" i="1" s="1"/>
  <c r="J1169" i="1" a="1"/>
  <c r="J1169" i="1" s="1"/>
  <c r="K1168" i="1" a="1"/>
  <c r="K1168" i="1" s="1"/>
  <c r="I1177" i="1" a="1"/>
  <c r="I1177" i="1" s="1"/>
  <c r="H1177" i="1" a="1"/>
  <c r="H1177" i="1" s="1"/>
  <c r="G1177" i="1" a="1"/>
  <c r="G1177" i="1" s="1"/>
  <c r="J1168" i="1" a="1"/>
  <c r="J1168" i="1" s="1"/>
  <c r="G1173" i="1" a="1"/>
  <c r="G1173" i="1" s="1"/>
  <c r="J1176" i="1" a="1"/>
  <c r="J1176" i="1" s="1"/>
  <c r="K1175" i="1" a="1"/>
  <c r="K1175" i="1" s="1"/>
  <c r="F1177" i="1" a="1"/>
  <c r="F1177" i="1" s="1"/>
  <c r="K1176" i="1" a="1"/>
  <c r="K1176" i="1" s="1"/>
  <c r="I1176" i="1" a="1"/>
  <c r="I1176" i="1" s="1"/>
  <c r="F1176" i="1" a="1"/>
  <c r="F1176" i="1" s="1"/>
  <c r="H1174" i="1" a="1"/>
  <c r="H1174" i="1"/>
  <c r="K1170" i="1" a="1"/>
  <c r="K1170" i="1" s="1"/>
  <c r="J1167" i="1" a="1"/>
  <c r="J1167" i="1" s="1"/>
  <c r="H1176" i="1" a="1"/>
  <c r="H1176" i="1" s="1"/>
  <c r="G1176" i="1" a="1"/>
  <c r="G1176" i="1" s="1"/>
  <c r="H1172" i="1" a="1"/>
  <c r="H1172" i="1" s="1"/>
  <c r="G1172" i="1" a="1"/>
  <c r="G1172" i="1" s="1"/>
  <c r="I1175" i="1" a="1"/>
  <c r="I1175" i="1" s="1"/>
  <c r="I1174" i="1" a="1"/>
  <c r="I1174" i="1" s="1"/>
  <c r="F1173" i="1" a="1"/>
  <c r="F1173" i="1" s="1"/>
  <c r="F1174" i="1" a="1"/>
  <c r="F1174" i="1" s="1"/>
  <c r="I1170" i="1" a="1"/>
  <c r="I1170" i="1" s="1"/>
  <c r="K1171" i="1" a="1"/>
  <c r="K1171" i="1" s="1"/>
  <c r="F1169" i="1" a="1"/>
  <c r="F1169" i="1" s="1"/>
  <c r="F1171" i="1" a="1"/>
  <c r="F1171" i="1" s="1"/>
  <c r="H1175" i="1" a="1"/>
  <c r="H1175" i="1" s="1"/>
  <c r="K1174" i="1" a="1"/>
  <c r="K1174" i="1" s="1"/>
  <c r="G1174" i="1" a="1"/>
  <c r="G1174" i="1" s="1"/>
  <c r="I1172" i="1" a="1"/>
  <c r="I1172" i="1" s="1"/>
  <c r="G1170" i="1" a="1"/>
  <c r="G1170" i="1" s="1"/>
  <c r="I1169" i="1" a="1"/>
  <c r="I1169" i="1"/>
  <c r="H1167" i="1" a="1"/>
  <c r="H1167" i="1"/>
  <c r="K1172" i="1" a="1"/>
  <c r="K1172" i="1" s="1"/>
  <c r="H1173" i="1" a="1"/>
  <c r="H1173" i="1" s="1"/>
  <c r="H1171" i="1" a="1"/>
  <c r="H1171" i="1" s="1"/>
  <c r="G1168" i="1" a="1"/>
  <c r="G1168" i="1" s="1"/>
  <c r="K1167" i="1" a="1"/>
  <c r="K1167" i="1" s="1"/>
  <c r="G1175" i="1" a="1"/>
  <c r="G1175" i="1" s="1"/>
  <c r="F1175" i="1" a="1"/>
  <c r="F1175" i="1" s="1"/>
  <c r="J1173" i="1" a="1"/>
  <c r="J1173" i="1" s="1"/>
  <c r="H1169" i="1" a="1"/>
  <c r="H1169" i="1"/>
  <c r="J1174" i="1" a="1"/>
  <c r="J1174" i="1" s="1"/>
  <c r="J1171" i="1" a="1"/>
  <c r="J1171" i="1" s="1"/>
  <c r="K1173" i="1" a="1"/>
  <c r="K1173" i="1" s="1"/>
  <c r="F1172" i="1" a="1"/>
  <c r="F1172" i="1" s="1"/>
  <c r="G1169" i="1" a="1"/>
  <c r="G1169" i="1"/>
  <c r="F1170" i="1" a="1"/>
  <c r="F1170" i="1"/>
  <c r="G1167" i="1" a="1"/>
  <c r="G1167" i="1" s="1"/>
  <c r="I1173" i="1" a="1"/>
  <c r="I1173" i="1" s="1"/>
  <c r="J1172" i="1" a="1"/>
  <c r="J1172" i="1" s="1"/>
  <c r="G1163" i="1" a="1"/>
  <c r="G1163" i="1" s="1"/>
  <c r="F1163" i="1" a="1"/>
  <c r="F1163" i="1"/>
  <c r="J1162" i="1" a="1"/>
  <c r="J1162" i="1" s="1"/>
  <c r="K1161" i="1" a="1"/>
  <c r="K1161" i="1" s="1"/>
  <c r="G1161" i="1" a="1"/>
  <c r="G1161" i="1" s="1"/>
  <c r="K1154" i="1" a="1"/>
  <c r="K1154" i="1" s="1"/>
  <c r="K1153" i="1" a="1"/>
  <c r="K1153" i="1" s="1"/>
  <c r="I1165" i="1" a="1"/>
  <c r="I1165" i="1" s="1"/>
  <c r="G1165" i="1" a="1"/>
  <c r="G1165" i="1" s="1"/>
  <c r="H1160" i="1" a="1"/>
  <c r="H1160" i="1" s="1"/>
  <c r="K1166" i="1" a="1"/>
  <c r="K1166" i="1"/>
  <c r="J1165" i="1" a="1"/>
  <c r="J1165" i="1"/>
  <c r="J1166" i="1" a="1"/>
  <c r="J1166" i="1" s="1"/>
  <c r="I1166" i="1" a="1"/>
  <c r="I1166" i="1" s="1"/>
  <c r="F1166" i="1" a="1"/>
  <c r="F1166" i="1" s="1"/>
  <c r="J1164" i="1" a="1"/>
  <c r="J1164" i="1" s="1"/>
  <c r="H1162" i="1" a="1"/>
  <c r="H1162" i="1"/>
  <c r="K1160" i="1" a="1"/>
  <c r="K1160" i="1"/>
  <c r="H1154" i="1" a="1"/>
  <c r="H1154" i="1" s="1"/>
  <c r="G1154" i="1" a="1"/>
  <c r="G1154" i="1" s="1"/>
  <c r="F1165" i="1" a="1"/>
  <c r="F1165" i="1"/>
  <c r="J1163" i="1" a="1"/>
  <c r="J1163" i="1" s="1"/>
  <c r="J1154" i="1" a="1"/>
  <c r="J1154" i="1" s="1"/>
  <c r="J1153" i="1" a="1"/>
  <c r="J1153" i="1" s="1"/>
  <c r="F1161" i="1" a="1"/>
  <c r="F1161" i="1" s="1"/>
  <c r="F1160" i="1" a="1"/>
  <c r="F1160" i="1"/>
  <c r="G1160" i="1" a="1"/>
  <c r="G1160" i="1" s="1"/>
  <c r="G1164" i="1" a="1"/>
  <c r="G1164" i="1" s="1"/>
  <c r="H1165" i="1" a="1"/>
  <c r="H1165" i="1"/>
  <c r="I1164" i="1" a="1"/>
  <c r="I1164" i="1" s="1"/>
  <c r="H1164" i="1" a="1"/>
  <c r="H1164" i="1" s="1"/>
  <c r="G1162" i="1" a="1"/>
  <c r="G1162" i="1"/>
  <c r="H1161" i="1" a="1"/>
  <c r="H1161" i="1"/>
  <c r="J1161" i="1" a="1"/>
  <c r="J1161" i="1" s="1"/>
  <c r="I1160" i="1" a="1"/>
  <c r="I1160" i="1" s="1"/>
  <c r="I1154" i="1" a="1"/>
  <c r="I1154" i="1" s="1"/>
  <c r="J1160" i="1" a="1"/>
  <c r="J1160" i="1" s="1"/>
  <c r="F1154" i="1" a="1"/>
  <c r="F1154" i="1"/>
  <c r="I1162" i="1" a="1"/>
  <c r="I1162" i="1"/>
  <c r="K1163" i="1" a="1"/>
  <c r="K1163" i="1" s="1"/>
  <c r="H1166" i="1" a="1"/>
  <c r="H1166" i="1" s="1"/>
  <c r="H1163" i="1" a="1"/>
  <c r="H1163" i="1" s="1"/>
  <c r="F1162" i="1" a="1"/>
  <c r="F1162" i="1" s="1"/>
  <c r="G1166" i="1" a="1"/>
  <c r="G1166" i="1"/>
  <c r="K1165" i="1" a="1"/>
  <c r="K1165" i="1"/>
  <c r="K1162" i="1" a="1"/>
  <c r="K1162" i="1" s="1"/>
  <c r="I1161" i="1" a="1"/>
  <c r="I1161" i="1" s="1"/>
  <c r="K1164" i="1" a="1"/>
  <c r="K1164" i="1" s="1"/>
  <c r="F1164" i="1" a="1"/>
  <c r="F1164" i="1" s="1"/>
  <c r="I1163" i="1" a="1"/>
  <c r="I1163" i="1" s="1"/>
  <c r="I1145" i="1" a="1"/>
  <c r="I1145" i="1" s="1"/>
  <c r="J1152" i="1" a="1"/>
  <c r="J1152" i="1" s="1"/>
  <c r="I1141" i="1" a="1"/>
  <c r="I1141" i="1" s="1"/>
  <c r="G1143" i="1" a="1"/>
  <c r="G1143" i="1"/>
  <c r="H1142" i="1" a="1"/>
  <c r="H1142" i="1" s="1"/>
  <c r="G1152" i="1" a="1"/>
  <c r="G1152" i="1" s="1"/>
  <c r="F1145" i="1" a="1"/>
  <c r="F1145" i="1" s="1"/>
  <c r="J1151" i="1" a="1"/>
  <c r="J1151" i="1" s="1"/>
  <c r="G1147" i="1" a="1"/>
  <c r="G1147" i="1" s="1"/>
  <c r="J1144" i="1" a="1"/>
  <c r="J1144" i="1" s="1"/>
  <c r="J1148" i="1" a="1"/>
  <c r="J1148" i="1" s="1"/>
  <c r="G1146" i="1" a="1"/>
  <c r="G1146" i="1" s="1"/>
  <c r="G1145" i="1" a="1"/>
  <c r="G1145" i="1" s="1"/>
  <c r="K1143" i="1" a="1"/>
  <c r="K1143" i="1" s="1"/>
  <c r="F1151" i="1" a="1"/>
  <c r="F1151" i="1"/>
  <c r="I1148" i="1" a="1"/>
  <c r="I1148" i="1"/>
  <c r="H1147" i="1" a="1"/>
  <c r="H1147" i="1" s="1"/>
  <c r="J1146" i="1" a="1"/>
  <c r="J1146" i="1" s="1"/>
  <c r="K1141" i="1" a="1"/>
  <c r="K1141" i="1" s="1"/>
  <c r="H1145" i="1" a="1"/>
  <c r="H1145" i="1" s="1"/>
  <c r="J1142" i="1" a="1"/>
  <c r="J1142" i="1" s="1"/>
  <c r="F1153" i="1" a="1"/>
  <c r="F1153" i="1" s="1"/>
  <c r="K1152" i="1" a="1"/>
  <c r="K1152" i="1" s="1"/>
  <c r="I1152" i="1" a="1"/>
  <c r="I1152" i="1" s="1"/>
  <c r="J1143" i="1" a="1"/>
  <c r="J1143" i="1" s="1"/>
  <c r="H1152" i="1" a="1"/>
  <c r="H1152" i="1" s="1"/>
  <c r="J1141" i="1" a="1"/>
  <c r="J1141" i="1" s="1"/>
  <c r="F1144" i="1" a="1"/>
  <c r="F1144" i="1" s="1"/>
  <c r="H1146" i="1" a="1"/>
  <c r="H1146" i="1" s="1"/>
  <c r="F1152" i="1" a="1"/>
  <c r="F1152" i="1" s="1"/>
  <c r="K1148" i="1" a="1"/>
  <c r="K1148" i="1" s="1"/>
  <c r="G1144" i="1" a="1"/>
  <c r="G1144" i="1" s="1"/>
  <c r="K1142" i="1" a="1"/>
  <c r="K1142" i="1" s="1"/>
  <c r="H1148" i="1" a="1"/>
  <c r="H1148" i="1" s="1"/>
  <c r="F1146" i="1" a="1"/>
  <c r="F1146" i="1" s="1"/>
  <c r="G1148" i="1" a="1"/>
  <c r="G1148" i="1"/>
  <c r="K1147" i="1" a="1"/>
  <c r="K1147" i="1"/>
  <c r="F1147" i="1" a="1"/>
  <c r="F1147" i="1" s="1"/>
  <c r="K1151" i="1" a="1"/>
  <c r="K1151" i="1" s="1"/>
  <c r="I1146" i="1" a="1"/>
  <c r="I1146" i="1" s="1"/>
  <c r="I1143" i="1" a="1"/>
  <c r="I1143" i="1" s="1"/>
  <c r="F1143" i="1" a="1"/>
  <c r="F1143" i="1"/>
  <c r="I1151" i="1" a="1"/>
  <c r="I1151" i="1" s="1"/>
  <c r="G1142" i="1" a="1"/>
  <c r="G1142" i="1" s="1"/>
  <c r="G1151" i="1" a="1"/>
  <c r="G1151" i="1"/>
  <c r="K1146" i="1" a="1"/>
  <c r="K1146" i="1" s="1"/>
  <c r="I1144" i="1" a="1"/>
  <c r="I1144" i="1" s="1"/>
  <c r="H1151" i="1" a="1"/>
  <c r="H1151" i="1" s="1"/>
  <c r="F1148" i="1" a="1"/>
  <c r="F1148" i="1" s="1"/>
  <c r="I1147" i="1" a="1"/>
  <c r="I1147" i="1" s="1"/>
  <c r="K1144" i="1" a="1"/>
  <c r="K1144" i="1" s="1"/>
  <c r="H1143" i="1" a="1"/>
  <c r="H1143" i="1" s="1"/>
  <c r="J1145" i="1" a="1"/>
  <c r="J1145" i="1" s="1"/>
  <c r="J1147" i="1" a="1"/>
  <c r="J1147" i="1"/>
  <c r="H1144" i="1" a="1"/>
  <c r="H1144" i="1"/>
  <c r="I1142" i="1" a="1"/>
  <c r="I1142" i="1" s="1"/>
  <c r="F1142" i="1" a="1"/>
  <c r="F1142" i="1" s="1"/>
  <c r="I1153" i="1" a="1"/>
  <c r="I1153" i="1" s="1"/>
  <c r="G1153" i="1" a="1"/>
  <c r="G1153" i="1" s="1"/>
  <c r="K1145" i="1" a="1"/>
  <c r="K1145" i="1" s="1"/>
  <c r="H1153" i="1" a="1"/>
  <c r="H1153" i="1" s="1"/>
  <c r="G1137" i="1" a="1"/>
  <c r="G1137" i="1"/>
  <c r="J1140" i="1" a="1"/>
  <c r="J1140" i="1" s="1"/>
  <c r="J1136" i="1" a="1"/>
  <c r="J1136" i="1" s="1"/>
  <c r="J1137" i="1" a="1"/>
  <c r="J1137" i="1" s="1"/>
  <c r="I1138" i="1" a="1"/>
  <c r="I1138" i="1"/>
  <c r="G1138" i="1" a="1"/>
  <c r="G1138" i="1"/>
  <c r="K1137" i="1" a="1"/>
  <c r="K1137" i="1" s="1"/>
  <c r="F1140" i="1" a="1"/>
  <c r="F1140" i="1" s="1"/>
  <c r="K1138" i="1" a="1"/>
  <c r="K1138" i="1" s="1"/>
  <c r="F1136" i="1" a="1"/>
  <c r="F1136" i="1" s="1"/>
  <c r="J1138" i="1" a="1"/>
  <c r="J1138" i="1" s="1"/>
  <c r="F1137" i="1" a="1"/>
  <c r="F1137" i="1" s="1"/>
  <c r="K1139" i="1" a="1"/>
  <c r="K1139" i="1" s="1"/>
  <c r="K1136" i="1" a="1"/>
  <c r="K1136" i="1" s="1"/>
  <c r="G1139" i="1" a="1"/>
  <c r="G1139" i="1" s="1"/>
  <c r="J1139" i="1" a="1"/>
  <c r="J1139" i="1" s="1"/>
  <c r="I1139" i="1" a="1"/>
  <c r="I1139" i="1"/>
  <c r="H1136" i="1" a="1"/>
  <c r="H1136" i="1" s="1"/>
  <c r="G1140" i="1" a="1"/>
  <c r="G1140" i="1" s="1"/>
  <c r="H1141" i="1" a="1"/>
  <c r="H1141" i="1" s="1"/>
  <c r="G1141" i="1" a="1"/>
  <c r="G1141" i="1" s="1"/>
  <c r="F1141" i="1" a="1"/>
  <c r="F1141" i="1" s="1"/>
  <c r="G1136" i="1" a="1"/>
  <c r="G1136" i="1" s="1"/>
  <c r="I1140" i="1" a="1"/>
  <c r="I1140" i="1" s="1"/>
  <c r="F1139" i="1" a="1"/>
  <c r="F1139" i="1" s="1"/>
  <c r="H1140" i="1" a="1"/>
  <c r="H1140" i="1" s="1"/>
  <c r="H1138" i="1" a="1"/>
  <c r="H1138" i="1" s="1"/>
  <c r="F1138" i="1" a="1"/>
  <c r="F1138" i="1" s="1"/>
  <c r="I1136" i="1" a="1"/>
  <c r="I1136" i="1" s="1"/>
  <c r="H1137" i="1" a="1"/>
  <c r="H1137" i="1" s="1"/>
  <c r="K1140" i="1" a="1"/>
  <c r="K1140" i="1"/>
  <c r="I1137" i="1" a="1"/>
  <c r="I1137" i="1" s="1"/>
  <c r="H1139" i="1" a="1"/>
  <c r="H1139" i="1" s="1"/>
  <c r="I1521" i="1" a="1"/>
  <c r="I1521" i="1"/>
  <c r="H1519" i="1" a="1"/>
  <c r="H1519" i="1" s="1"/>
  <c r="G1525" i="1" a="1"/>
  <c r="G1525" i="1" s="1"/>
  <c r="F1525" i="1" a="1"/>
  <c r="F1525" i="1" s="1"/>
  <c r="K1524" i="1" a="1"/>
  <c r="K1524" i="1"/>
  <c r="F1523" i="1" a="1"/>
  <c r="F1523" i="1" s="1"/>
  <c r="I1524" i="1" a="1"/>
  <c r="I1524" i="1" s="1"/>
  <c r="G1524" i="1" a="1"/>
  <c r="G1524" i="1" s="1"/>
  <c r="F1524" i="1" a="1"/>
  <c r="F1524" i="1" s="1"/>
  <c r="K1517" i="1" a="1"/>
  <c r="K1517" i="1"/>
  <c r="I1523" i="1" a="1"/>
  <c r="I1523" i="1"/>
  <c r="F1522" i="1" a="1"/>
  <c r="F1522" i="1" s="1"/>
  <c r="H1517" i="1" a="1"/>
  <c r="H1517" i="1" s="1"/>
  <c r="J1515" i="1" a="1"/>
  <c r="J1515" i="1" s="1"/>
  <c r="H1522" i="1" a="1"/>
  <c r="H1522" i="1"/>
  <c r="J1519" i="1" a="1"/>
  <c r="J1519" i="1" s="1"/>
  <c r="J1523" i="1" a="1"/>
  <c r="J1523" i="1"/>
  <c r="G1523" i="1" a="1"/>
  <c r="G1523" i="1" s="1"/>
  <c r="K1521" i="1" a="1"/>
  <c r="K1521" i="1" s="1"/>
  <c r="H1521" i="1" a="1"/>
  <c r="H1521" i="1" s="1"/>
  <c r="G1521" i="1" a="1"/>
  <c r="G1521" i="1" s="1"/>
  <c r="J1517" i="1" a="1"/>
  <c r="J1517" i="1"/>
  <c r="F1521" i="1" a="1"/>
  <c r="F1521" i="1" s="1"/>
  <c r="I1520" i="1" a="1"/>
  <c r="I1520" i="1" s="1"/>
  <c r="F1520" i="1" a="1"/>
  <c r="F1520" i="1" s="1"/>
  <c r="J1518" i="1" a="1"/>
  <c r="J1518" i="1" s="1"/>
  <c r="F1519" i="1" a="1"/>
  <c r="F1519" i="1" s="1"/>
  <c r="K1518" i="1" a="1"/>
  <c r="K1518" i="1" s="1"/>
  <c r="I1518" i="1" a="1"/>
  <c r="I1518" i="1" s="1"/>
  <c r="F1517" i="1" a="1"/>
  <c r="F1517" i="1" s="1"/>
  <c r="I1519" i="1" a="1"/>
  <c r="I1519" i="1" s="1"/>
  <c r="H1523" i="1" a="1"/>
  <c r="H1523" i="1" s="1"/>
  <c r="H1520" i="1" a="1"/>
  <c r="H1520" i="1" s="1"/>
  <c r="K1519" i="1" a="1"/>
  <c r="K1519" i="1" s="1"/>
  <c r="F1518" i="1" a="1"/>
  <c r="F1518" i="1"/>
  <c r="J1522" i="1" a="1"/>
  <c r="J1522" i="1" s="1"/>
  <c r="G1522" i="1" a="1"/>
  <c r="G1522" i="1" s="1"/>
  <c r="J1520" i="1" a="1"/>
  <c r="J1520" i="1"/>
  <c r="G1519" i="1" a="1"/>
  <c r="G1519" i="1" s="1"/>
  <c r="G1518" i="1" a="1"/>
  <c r="G1518" i="1"/>
  <c r="I1517" i="1" a="1"/>
  <c r="I1517" i="1" s="1"/>
  <c r="G1517" i="1" a="1"/>
  <c r="G1517" i="1" s="1"/>
  <c r="J1526" i="1" a="1"/>
  <c r="J1526" i="1" s="1"/>
  <c r="J1524" i="1" a="1"/>
  <c r="J1524" i="1" s="1"/>
  <c r="I1526" i="1" a="1"/>
  <c r="I1526" i="1"/>
  <c r="H1526" i="1" a="1"/>
  <c r="H1526" i="1" s="1"/>
  <c r="G1526" i="1" a="1"/>
  <c r="G1526" i="1" s="1"/>
  <c r="F1526" i="1" a="1"/>
  <c r="F1526" i="1" s="1"/>
  <c r="K1515" i="1" a="1"/>
  <c r="K1515" i="1" s="1"/>
  <c r="H1518" i="1" a="1"/>
  <c r="H1518" i="1" s="1"/>
  <c r="G1520" i="1" a="1"/>
  <c r="G1520" i="1" s="1"/>
  <c r="K1525" i="1" a="1"/>
  <c r="K1525" i="1"/>
  <c r="J1525" i="1" a="1"/>
  <c r="J1525" i="1" s="1"/>
  <c r="I1525" i="1" a="1"/>
  <c r="I1525" i="1" s="1"/>
  <c r="K1523" i="1" a="1"/>
  <c r="K1523" i="1" s="1"/>
  <c r="K1520" i="1" a="1"/>
  <c r="K1520" i="1" s="1"/>
  <c r="K1522" i="1" a="1"/>
  <c r="K1522" i="1" s="1"/>
  <c r="I1522" i="1" a="1"/>
  <c r="I1522" i="1"/>
  <c r="J1521" i="1" a="1"/>
  <c r="J1521" i="1" s="1"/>
  <c r="H1525" i="1" a="1"/>
  <c r="H1525" i="1" s="1"/>
  <c r="H1524" i="1" a="1"/>
  <c r="H1524" i="1"/>
  <c r="I1102" i="1"/>
  <c r="F1100" i="1"/>
  <c r="K1098" i="1"/>
  <c r="I1098" i="1"/>
  <c r="I1092" i="1"/>
  <c r="G1092" i="1"/>
  <c r="F1092" i="1"/>
  <c r="I1088" i="1"/>
  <c r="K1087" i="1"/>
  <c r="I1085" i="1"/>
  <c r="H1085" i="1"/>
  <c r="G1085" i="1"/>
  <c r="F1083" i="1"/>
  <c r="K1082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G1105" i="1" s="1"/>
  <c r="F1079" i="1"/>
  <c r="F1105" i="1" s="1"/>
  <c r="K1078" i="1"/>
  <c r="K1104" i="1" s="1"/>
  <c r="J1078" i="1"/>
  <c r="J1104" i="1" s="1"/>
  <c r="I1078" i="1"/>
  <c r="I1104" i="1" s="1"/>
  <c r="H1078" i="1"/>
  <c r="H1104" i="1" s="1"/>
  <c r="G1078" i="1"/>
  <c r="G1104" i="1" s="1"/>
  <c r="F1078" i="1"/>
  <c r="F1104" i="1" s="1"/>
  <c r="K1076" i="1"/>
  <c r="K1102" i="1" s="1"/>
  <c r="J1076" i="1"/>
  <c r="J1102" i="1" s="1"/>
  <c r="I1076" i="1"/>
  <c r="H1076" i="1"/>
  <c r="H1102" i="1" s="1"/>
  <c r="G1076" i="1"/>
  <c r="G1102" i="1" s="1"/>
  <c r="F1076" i="1"/>
  <c r="F1102" i="1" s="1"/>
  <c r="K1074" i="1"/>
  <c r="K1100" i="1" s="1"/>
  <c r="J1074" i="1"/>
  <c r="J1100" i="1" s="1"/>
  <c r="I1074" i="1"/>
  <c r="I1100" i="1" s="1"/>
  <c r="H1074" i="1"/>
  <c r="H1100" i="1" s="1"/>
  <c r="G1074" i="1"/>
  <c r="G1100" i="1" s="1"/>
  <c r="F1074" i="1"/>
  <c r="K1072" i="1"/>
  <c r="J1072" i="1"/>
  <c r="J1098" i="1" s="1"/>
  <c r="I1072" i="1"/>
  <c r="H1072" i="1"/>
  <c r="H1098" i="1" s="1"/>
  <c r="G1072" i="1"/>
  <c r="G1098" i="1" s="1"/>
  <c r="F1072" i="1"/>
  <c r="F1098" i="1" s="1"/>
  <c r="K1066" i="1"/>
  <c r="K1092" i="1" s="1"/>
  <c r="J1066" i="1"/>
  <c r="J1092" i="1" s="1"/>
  <c r="I1066" i="1"/>
  <c r="H1066" i="1"/>
  <c r="H1092" i="1" s="1"/>
  <c r="G1066" i="1"/>
  <c r="F1066" i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H1062" i="1"/>
  <c r="H1088" i="1" s="1"/>
  <c r="G1062" i="1"/>
  <c r="G1088" i="1" s="1"/>
  <c r="F1062" i="1"/>
  <c r="F1088" i="1" s="1"/>
  <c r="K1061" i="1"/>
  <c r="J1061" i="1"/>
  <c r="J1087" i="1" s="1"/>
  <c r="I1061" i="1"/>
  <c r="I1087" i="1" s="1"/>
  <c r="H1061" i="1"/>
  <c r="H1087" i="1" s="1"/>
  <c r="G1061" i="1"/>
  <c r="G1087" i="1" s="1"/>
  <c r="F1061" i="1"/>
  <c r="F1087" i="1" s="1"/>
  <c r="K1059" i="1"/>
  <c r="K1085" i="1" s="1"/>
  <c r="J1059" i="1"/>
  <c r="J1085" i="1" s="1"/>
  <c r="I1059" i="1"/>
  <c r="H1059" i="1"/>
  <c r="G1059" i="1"/>
  <c r="F1059" i="1"/>
  <c r="F1085" i="1" s="1"/>
  <c r="K1057" i="1"/>
  <c r="K1083" i="1" s="1"/>
  <c r="J1057" i="1"/>
  <c r="J1083" i="1" s="1"/>
  <c r="I1057" i="1"/>
  <c r="I1083" i="1" s="1"/>
  <c r="H1057" i="1"/>
  <c r="H1083" i="1" s="1"/>
  <c r="G1057" i="1"/>
  <c r="G1083" i="1" s="1"/>
  <c r="F1057" i="1"/>
  <c r="K1056" i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J899" i="1" s="1"/>
  <c r="I902" i="1"/>
  <c r="I899" i="1" s="1"/>
  <c r="H902" i="1"/>
  <c r="H899" i="1" s="1"/>
  <c r="G902" i="1"/>
  <c r="F902" i="1"/>
  <c r="F899" i="1" s="1"/>
  <c r="G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G1039" i="1" a="1"/>
  <c r="G1039" i="1" s="1"/>
  <c r="I1039" i="1" a="1"/>
  <c r="I1039" i="1" s="1"/>
  <c r="G1037" i="1" a="1"/>
  <c r="G1037" i="1" s="1"/>
  <c r="K1037" i="1" a="1"/>
  <c r="K1037" i="1" s="1"/>
  <c r="I1037" i="1" a="1"/>
  <c r="I1037" i="1" s="1"/>
  <c r="H1037" i="1" a="1"/>
  <c r="H1037" i="1" s="1"/>
  <c r="H1039" i="1" a="1"/>
  <c r="H1039" i="1"/>
  <c r="J1037" i="1" a="1"/>
  <c r="J1037" i="1"/>
  <c r="F1039" i="1" a="1"/>
  <c r="F1039" i="1" s="1"/>
  <c r="F1037" i="1" a="1"/>
  <c r="F1037" i="1" s="1"/>
  <c r="K1039" i="1" a="1"/>
  <c r="K1039" i="1" s="1"/>
  <c r="J1039" i="1" a="1"/>
  <c r="J1039" i="1" s="1"/>
  <c r="J1027" i="1" a="1"/>
  <c r="J1027" i="1" s="1"/>
  <c r="F1030" i="1" a="1"/>
  <c r="F1030" i="1"/>
  <c r="K1022" i="1" a="1"/>
  <c r="K1022" i="1" s="1"/>
  <c r="K1006" i="1" a="1"/>
  <c r="K1006" i="1" s="1"/>
  <c r="K1052" i="1" s="1" a="1"/>
  <c r="K1052" i="1" s="1"/>
  <c r="J1006" i="1" a="1"/>
  <c r="J1006" i="1" s="1"/>
  <c r="J1052" i="1" s="1" a="1"/>
  <c r="J1052" i="1" s="1"/>
  <c r="K1030" i="1" a="1"/>
  <c r="K1030" i="1" s="1"/>
  <c r="H1030" i="1" a="1"/>
  <c r="H1030" i="1"/>
  <c r="F1022" i="1" a="1"/>
  <c r="F1022" i="1" s="1"/>
  <c r="G1006" i="1" a="1"/>
  <c r="G1006" i="1" s="1"/>
  <c r="G1052" i="1" s="1" a="1"/>
  <c r="G1052" i="1" s="1"/>
  <c r="F1006" i="1" a="1"/>
  <c r="F1006" i="1" s="1"/>
  <c r="F1052" i="1" s="1" a="1"/>
  <c r="F1052" i="1" s="1"/>
  <c r="F1025" i="1" a="1"/>
  <c r="F1025" i="1" s="1"/>
  <c r="G1022" i="1" a="1"/>
  <c r="G1022" i="1" s="1"/>
  <c r="G1030" i="1" a="1"/>
  <c r="G1030" i="1" s="1"/>
  <c r="K1025" i="1" a="1"/>
  <c r="K1025" i="1" s="1"/>
  <c r="H1025" i="1" a="1"/>
  <c r="H1025" i="1" s="1"/>
  <c r="H1022" i="1" a="1"/>
  <c r="H1022" i="1" s="1"/>
  <c r="H1006" i="1" a="1"/>
  <c r="H1006" i="1" s="1"/>
  <c r="H1052" i="1" s="1" a="1"/>
  <c r="H1052" i="1" s="1"/>
  <c r="I1006" i="1" a="1"/>
  <c r="I1006" i="1" s="1"/>
  <c r="I1052" i="1" s="1" a="1"/>
  <c r="I1052" i="1" s="1"/>
  <c r="J1030" i="1" a="1"/>
  <c r="J1030" i="1" s="1"/>
  <c r="F1027" i="1" a="1"/>
  <c r="F1027" i="1" s="1"/>
  <c r="I1027" i="1" a="1"/>
  <c r="I1027" i="1"/>
  <c r="H1027" i="1" a="1"/>
  <c r="H1027" i="1" s="1"/>
  <c r="G1027" i="1" a="1"/>
  <c r="G1027" i="1" s="1"/>
  <c r="G1025" i="1" a="1"/>
  <c r="G1025" i="1" s="1"/>
  <c r="I1025" i="1" a="1"/>
  <c r="I1025" i="1" s="1"/>
  <c r="I1022" i="1" a="1"/>
  <c r="I1022" i="1" s="1"/>
  <c r="J1022" i="1" a="1"/>
  <c r="J1022" i="1" s="1"/>
  <c r="K1027" i="1" a="1"/>
  <c r="K1027" i="1" s="1"/>
  <c r="I1030" i="1" a="1"/>
  <c r="I1030" i="1" s="1"/>
  <c r="J1025" i="1" a="1"/>
  <c r="J1025" i="1" s="1"/>
  <c r="J989" i="1" a="1"/>
  <c r="J989" i="1" s="1"/>
  <c r="G997" i="1" a="1"/>
  <c r="G997" i="1"/>
  <c r="G1049" i="1" s="1" a="1"/>
  <c r="G1049" i="1" s="1"/>
  <c r="J983" i="1" a="1"/>
  <c r="J983" i="1" s="1"/>
  <c r="I983" i="1" a="1"/>
  <c r="I983" i="1" s="1"/>
  <c r="F997" i="1" a="1"/>
  <c r="F997" i="1" s="1"/>
  <c r="F1049" i="1" s="1" a="1"/>
  <c r="F1049" i="1" s="1"/>
  <c r="K996" i="1" a="1"/>
  <c r="K996" i="1" s="1"/>
  <c r="J996" i="1" a="1"/>
  <c r="J996" i="1"/>
  <c r="I996" i="1" a="1"/>
  <c r="I996" i="1" s="1"/>
  <c r="J977" i="1" a="1"/>
  <c r="J977" i="1" s="1"/>
  <c r="J1051" i="1" s="1" a="1"/>
  <c r="J1051" i="1" s="1"/>
  <c r="H996" i="1" a="1"/>
  <c r="H996" i="1" s="1"/>
  <c r="G974" i="1" a="1"/>
  <c r="G974" i="1" s="1"/>
  <c r="F996" i="1" a="1"/>
  <c r="F996" i="1"/>
  <c r="H974" i="1" a="1"/>
  <c r="H974" i="1" s="1"/>
  <c r="K976" i="1" a="1"/>
  <c r="K976" i="1" s="1"/>
  <c r="G976" i="1" a="1"/>
  <c r="G976" i="1" s="1"/>
  <c r="K977" i="1" a="1"/>
  <c r="K977" i="1" s="1"/>
  <c r="K1051" i="1" s="1" a="1"/>
  <c r="K1051" i="1" s="1"/>
  <c r="J973" i="1" a="1"/>
  <c r="J973" i="1" s="1"/>
  <c r="G989" i="1" a="1"/>
  <c r="G989" i="1" s="1"/>
  <c r="I974" i="1" a="1"/>
  <c r="I974" i="1" s="1"/>
  <c r="F989" i="1" a="1"/>
  <c r="F989" i="1" s="1"/>
  <c r="K983" i="1" a="1"/>
  <c r="K983" i="1"/>
  <c r="F977" i="1" a="1"/>
  <c r="F977" i="1" s="1"/>
  <c r="F1051" i="1" s="1" a="1"/>
  <c r="F1051" i="1" s="1"/>
  <c r="H983" i="1" a="1"/>
  <c r="H983" i="1" s="1"/>
  <c r="F983" i="1" a="1"/>
  <c r="F983" i="1" s="1"/>
  <c r="I977" i="1" a="1"/>
  <c r="I977" i="1" s="1"/>
  <c r="I1051" i="1" s="1" a="1"/>
  <c r="I1051" i="1" s="1"/>
  <c r="H977" i="1" a="1"/>
  <c r="H977" i="1" s="1"/>
  <c r="H1051" i="1" s="1" a="1"/>
  <c r="H1051" i="1" s="1"/>
  <c r="H976" i="1" a="1"/>
  <c r="H976" i="1" s="1"/>
  <c r="K973" i="1" a="1"/>
  <c r="K973" i="1" s="1"/>
  <c r="F976" i="1" a="1"/>
  <c r="F976" i="1" s="1"/>
  <c r="H989" i="1" a="1"/>
  <c r="H989" i="1" s="1"/>
  <c r="J974" i="1" a="1"/>
  <c r="J974" i="1" s="1"/>
  <c r="J976" i="1" a="1"/>
  <c r="J976" i="1" s="1"/>
  <c r="K997" i="1" a="1"/>
  <c r="K997" i="1"/>
  <c r="K1049" i="1" s="1" a="1"/>
  <c r="K1049" i="1" s="1"/>
  <c r="J997" i="1" a="1"/>
  <c r="J997" i="1" s="1"/>
  <c r="J1049" i="1" s="1" a="1"/>
  <c r="J1049" i="1" s="1"/>
  <c r="G996" i="1" a="1"/>
  <c r="G996" i="1" s="1"/>
  <c r="K974" i="1" a="1"/>
  <c r="K974" i="1" s="1"/>
  <c r="I989" i="1" a="1"/>
  <c r="I989" i="1"/>
  <c r="G977" i="1" a="1"/>
  <c r="G977" i="1" s="1"/>
  <c r="G1051" i="1" s="1" a="1"/>
  <c r="G1051" i="1" s="1"/>
  <c r="I976" i="1" a="1"/>
  <c r="I976" i="1" s="1"/>
  <c r="I997" i="1" a="1"/>
  <c r="I997" i="1" s="1"/>
  <c r="I1049" i="1" s="1" a="1"/>
  <c r="I1049" i="1" s="1"/>
  <c r="F974" i="1" a="1"/>
  <c r="F974" i="1" s="1"/>
  <c r="G983" i="1" a="1"/>
  <c r="G983" i="1" s="1"/>
  <c r="K989" i="1" a="1"/>
  <c r="K989" i="1" s="1"/>
  <c r="I973" i="1" a="1"/>
  <c r="I973" i="1"/>
  <c r="H997" i="1" a="1"/>
  <c r="H997" i="1" s="1"/>
  <c r="H1049" i="1" s="1" a="1"/>
  <c r="H1049" i="1" s="1"/>
  <c r="G914" i="1" a="1"/>
  <c r="G914" i="1" s="1"/>
  <c r="H973" i="1" a="1"/>
  <c r="H973" i="1" s="1"/>
  <c r="G973" i="1" a="1"/>
  <c r="G973" i="1" s="1"/>
  <c r="F973" i="1" a="1"/>
  <c r="F973" i="1"/>
  <c r="J926" i="1" a="1"/>
  <c r="J926" i="1" s="1"/>
  <c r="F914" i="1" a="1"/>
  <c r="F914" i="1" s="1"/>
  <c r="G926" i="1" a="1"/>
  <c r="G926" i="1" s="1"/>
  <c r="J914" i="1" a="1"/>
  <c r="J914" i="1" s="1"/>
  <c r="K912" i="1" a="1"/>
  <c r="K912" i="1" s="1"/>
  <c r="G912" i="1" a="1"/>
  <c r="G912" i="1" s="1"/>
  <c r="I926" i="1" a="1"/>
  <c r="I926" i="1"/>
  <c r="H914" i="1" a="1"/>
  <c r="H914" i="1"/>
  <c r="F926" i="1" a="1"/>
  <c r="F926" i="1"/>
  <c r="J912" i="1" a="1"/>
  <c r="J912" i="1" s="1"/>
  <c r="K914" i="1" a="1"/>
  <c r="K914" i="1" s="1"/>
  <c r="H912" i="1" a="1"/>
  <c r="H912" i="1" s="1"/>
  <c r="I914" i="1" a="1"/>
  <c r="I914" i="1" s="1"/>
  <c r="I912" i="1" a="1"/>
  <c r="I912" i="1"/>
  <c r="F912" i="1" a="1"/>
  <c r="F912" i="1" s="1"/>
  <c r="K926" i="1" a="1"/>
  <c r="K926" i="1" s="1"/>
  <c r="H926" i="1" a="1"/>
  <c r="H926" i="1" s="1"/>
  <c r="G894" i="1" a="1"/>
  <c r="G894" i="1" s="1"/>
  <c r="G882" i="1" a="1"/>
  <c r="G882" i="1" s="1"/>
  <c r="F894" i="1" a="1"/>
  <c r="F894" i="1" s="1"/>
  <c r="J894" i="1" a="1"/>
  <c r="J894" i="1" s="1"/>
  <c r="J923" i="1" s="1"/>
  <c r="J922" i="1" s="1"/>
  <c r="I882" i="1" a="1"/>
  <c r="I882" i="1" s="1"/>
  <c r="F883" i="1" a="1"/>
  <c r="F883" i="1" s="1"/>
  <c r="J883" i="1" a="1"/>
  <c r="J883" i="1" s="1"/>
  <c r="K882" i="1" a="1"/>
  <c r="K882" i="1" s="1"/>
  <c r="H883" i="1" a="1"/>
  <c r="H883" i="1" s="1"/>
  <c r="I883" i="1" a="1"/>
  <c r="I883" i="1" s="1"/>
  <c r="H882" i="1" a="1"/>
  <c r="H882" i="1"/>
  <c r="F882" i="1" a="1"/>
  <c r="F882" i="1"/>
  <c r="I894" i="1" a="1"/>
  <c r="I894" i="1"/>
  <c r="K894" i="1" a="1"/>
  <c r="K894" i="1" s="1"/>
  <c r="K883" i="1" a="1"/>
  <c r="K883" i="1" s="1"/>
  <c r="H894" i="1" a="1"/>
  <c r="H894" i="1" s="1"/>
  <c r="J882" i="1" a="1"/>
  <c r="J882" i="1" s="1"/>
  <c r="G883" i="1" a="1"/>
  <c r="G883" i="1"/>
  <c r="F800" i="1" a="1"/>
  <c r="F800" i="1" s="1"/>
  <c r="J804" i="1" a="1"/>
  <c r="J804" i="1"/>
  <c r="K802" i="1" a="1"/>
  <c r="K802" i="1" s="1"/>
  <c r="G800" i="1" a="1"/>
  <c r="G800" i="1" s="1"/>
  <c r="I802" i="1" a="1"/>
  <c r="I802" i="1" s="1"/>
  <c r="F802" i="1" a="1"/>
  <c r="F802" i="1" s="1"/>
  <c r="K804" i="1" a="1"/>
  <c r="K804" i="1" s="1"/>
  <c r="G802" i="1" a="1"/>
  <c r="G802" i="1" s="1"/>
  <c r="H802" i="1" a="1"/>
  <c r="H802" i="1" s="1"/>
  <c r="H804" i="1" a="1"/>
  <c r="H804" i="1"/>
  <c r="I804" i="1" a="1"/>
  <c r="I804" i="1" s="1"/>
  <c r="G804" i="1" a="1"/>
  <c r="G804" i="1" s="1"/>
  <c r="F804" i="1" a="1"/>
  <c r="F804" i="1" s="1"/>
  <c r="J802" i="1" a="1"/>
  <c r="J802" i="1" s="1"/>
  <c r="J800" i="1" a="1"/>
  <c r="J800" i="1" s="1"/>
  <c r="I800" i="1" a="1"/>
  <c r="I800" i="1" s="1"/>
  <c r="H800" i="1" a="1"/>
  <c r="H800" i="1" s="1"/>
  <c r="K800" i="1" a="1"/>
  <c r="K800" i="1"/>
  <c r="I764" i="1" a="1"/>
  <c r="I764" i="1" s="1"/>
  <c r="I814" i="1" s="1" a="1"/>
  <c r="I814" i="1" s="1"/>
  <c r="H764" i="1" a="1"/>
  <c r="H764" i="1" s="1"/>
  <c r="H814" i="1" s="1" a="1"/>
  <c r="H814" i="1" s="1"/>
  <c r="G764" i="1" a="1"/>
  <c r="G764" i="1" s="1"/>
  <c r="G814" i="1" s="1" a="1"/>
  <c r="G814" i="1" s="1"/>
  <c r="F764" i="1" a="1"/>
  <c r="F764" i="1" s="1"/>
  <c r="F814" i="1" s="1" a="1"/>
  <c r="F814" i="1" s="1"/>
  <c r="K764" i="1" a="1"/>
  <c r="K764" i="1" s="1"/>
  <c r="K814" i="1" s="1" a="1"/>
  <c r="K814" i="1" s="1"/>
  <c r="J764" i="1" a="1"/>
  <c r="J764" i="1" s="1"/>
  <c r="J814" i="1" s="1" a="1"/>
  <c r="J814" i="1" s="1"/>
  <c r="F778" i="1" a="1"/>
  <c r="F778" i="1" s="1"/>
  <c r="F777" i="1" s="1"/>
  <c r="F784" i="1" s="1"/>
  <c r="F785" i="1" s="1"/>
  <c r="G778" i="1" a="1"/>
  <c r="G778" i="1" s="1"/>
  <c r="G777" i="1" s="1"/>
  <c r="K778" i="1" a="1"/>
  <c r="K778" i="1"/>
  <c r="J778" i="1" a="1"/>
  <c r="J778" i="1"/>
  <c r="J777" i="1" s="1"/>
  <c r="I778" i="1" a="1"/>
  <c r="I778" i="1" s="1"/>
  <c r="I777" i="1" s="1"/>
  <c r="I784" i="1" s="1"/>
  <c r="I785" i="1" s="1"/>
  <c r="H778" i="1" a="1"/>
  <c r="H778" i="1" s="1"/>
  <c r="H777" i="1" s="1"/>
  <c r="K854" i="1"/>
  <c r="K853" i="1" s="1"/>
  <c r="J854" i="1"/>
  <c r="I854" i="1"/>
  <c r="H854" i="1"/>
  <c r="H853" i="1" s="1"/>
  <c r="G854" i="1"/>
  <c r="G853" i="1" s="1"/>
  <c r="F854" i="1"/>
  <c r="F853" i="1" s="1"/>
  <c r="J853" i="1"/>
  <c r="I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K777" i="1"/>
  <c r="K784" i="1" s="1"/>
  <c r="K785" i="1" s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J673" i="1"/>
  <c r="I673" i="1"/>
  <c r="G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I667" i="1"/>
  <c r="H667" i="1"/>
  <c r="H673" i="1" s="1"/>
  <c r="G667" i="1"/>
  <c r="G673" i="1" s="1"/>
  <c r="F667" i="1"/>
  <c r="F673" i="1" s="1"/>
  <c r="K666" i="1"/>
  <c r="K672" i="1" s="1"/>
  <c r="J666" i="1"/>
  <c r="J672" i="1" s="1"/>
  <c r="I666" i="1"/>
  <c r="I672" i="1" s="1"/>
  <c r="H666" i="1"/>
  <c r="H672" i="1" s="1"/>
  <c r="G666" i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03" i="1"/>
  <c r="J503" i="1"/>
  <c r="I503" i="1"/>
  <c r="H503" i="1"/>
  <c r="G503" i="1"/>
  <c r="F50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J398" i="1"/>
  <c r="J518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79" i="1"/>
  <c r="J379" i="1"/>
  <c r="I379" i="1"/>
  <c r="H379" i="1"/>
  <c r="G379" i="1"/>
  <c r="F379" i="1"/>
  <c r="K358" i="1"/>
  <c r="J358" i="1"/>
  <c r="I358" i="1"/>
  <c r="H358" i="1"/>
  <c r="G358" i="1"/>
  <c r="F358" i="1"/>
  <c r="K357" i="1"/>
  <c r="J357" i="1"/>
  <c r="I357" i="1"/>
  <c r="H357" i="1"/>
  <c r="G357" i="1"/>
  <c r="F357" i="1"/>
  <c r="H320" i="1"/>
  <c r="H475" i="1" s="1"/>
  <c r="J318" i="1"/>
  <c r="J473" i="1" s="1"/>
  <c r="H317" i="1"/>
  <c r="H472" i="1" s="1"/>
  <c r="F312" i="1"/>
  <c r="F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H299" i="1"/>
  <c r="H463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J126" i="1"/>
  <c r="K124" i="1"/>
  <c r="G124" i="1"/>
  <c r="H122" i="1"/>
  <c r="F119" i="1"/>
  <c r="H118" i="1"/>
  <c r="F115" i="1"/>
  <c r="G114" i="1"/>
  <c r="F114" i="1"/>
  <c r="K393" i="1"/>
  <c r="J393" i="1"/>
  <c r="I393" i="1"/>
  <c r="H393" i="1"/>
  <c r="G393" i="1"/>
  <c r="F393" i="1"/>
  <c r="K288" i="1"/>
  <c r="K398" i="1" s="1"/>
  <c r="K518" i="1" s="1"/>
  <c r="J288" i="1"/>
  <c r="I288" i="1"/>
  <c r="H288" i="1"/>
  <c r="G288" i="1"/>
  <c r="F288" i="1"/>
  <c r="K287" i="1"/>
  <c r="J287" i="1"/>
  <c r="I287" i="1"/>
  <c r="H287" i="1"/>
  <c r="G287" i="1"/>
  <c r="F287" i="1"/>
  <c r="K285" i="1"/>
  <c r="K384" i="1" s="1"/>
  <c r="K515" i="1" s="1"/>
  <c r="J285" i="1"/>
  <c r="I285" i="1"/>
  <c r="H285" i="1"/>
  <c r="G285" i="1"/>
  <c r="F285" i="1"/>
  <c r="K284" i="1"/>
  <c r="J284" i="1"/>
  <c r="I284" i="1"/>
  <c r="H284" i="1"/>
  <c r="G284" i="1"/>
  <c r="F284" i="1"/>
  <c r="K283" i="1"/>
  <c r="J283" i="1"/>
  <c r="I283" i="1"/>
  <c r="H283" i="1"/>
  <c r="H382" i="1" s="1"/>
  <c r="H513" i="1" s="1"/>
  <c r="G283" i="1"/>
  <c r="F283" i="1"/>
  <c r="K248" i="1"/>
  <c r="J248" i="1"/>
  <c r="I248" i="1"/>
  <c r="H248" i="1"/>
  <c r="G248" i="1"/>
  <c r="F248" i="1"/>
  <c r="K247" i="1"/>
  <c r="J247" i="1"/>
  <c r="I247" i="1"/>
  <c r="H247" i="1"/>
  <c r="G247" i="1"/>
  <c r="F247" i="1"/>
  <c r="K246" i="1"/>
  <c r="J246" i="1"/>
  <c r="I246" i="1"/>
  <c r="H246" i="1"/>
  <c r="G246" i="1"/>
  <c r="F246" i="1"/>
  <c r="F321" i="1" s="1"/>
  <c r="F476" i="1" s="1"/>
  <c r="K245" i="1"/>
  <c r="J245" i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J317" i="1" s="1"/>
  <c r="J472" i="1" s="1"/>
  <c r="I242" i="1"/>
  <c r="H242" i="1"/>
  <c r="G242" i="1"/>
  <c r="F242" i="1"/>
  <c r="K241" i="1"/>
  <c r="J241" i="1"/>
  <c r="I241" i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K210" i="1" s="1"/>
  <c r="J214" i="1"/>
  <c r="J210" i="1" s="1"/>
  <c r="I214" i="1"/>
  <c r="H214" i="1"/>
  <c r="H210" i="1" s="1"/>
  <c r="G214" i="1"/>
  <c r="G210" i="1" s="1"/>
  <c r="F214" i="1"/>
  <c r="I210" i="1"/>
  <c r="F210" i="1"/>
  <c r="K207" i="1"/>
  <c r="J207" i="1"/>
  <c r="I207" i="1"/>
  <c r="H207" i="1"/>
  <c r="H396" i="1" s="1"/>
  <c r="H437" i="1" s="1"/>
  <c r="G207" i="1"/>
  <c r="F207" i="1"/>
  <c r="K205" i="1"/>
  <c r="J205" i="1"/>
  <c r="I205" i="1"/>
  <c r="H205" i="1"/>
  <c r="G205" i="1"/>
  <c r="F205" i="1"/>
  <c r="K188" i="1"/>
  <c r="J188" i="1"/>
  <c r="I188" i="1"/>
  <c r="I313" i="1" s="1"/>
  <c r="I418" i="1" s="1"/>
  <c r="H188" i="1"/>
  <c r="G188" i="1"/>
  <c r="F188" i="1"/>
  <c r="K187" i="1"/>
  <c r="J187" i="1"/>
  <c r="I187" i="1"/>
  <c r="H187" i="1"/>
  <c r="G187" i="1"/>
  <c r="F187" i="1"/>
  <c r="K183" i="1"/>
  <c r="J183" i="1"/>
  <c r="I183" i="1"/>
  <c r="H183" i="1"/>
  <c r="G183" i="1"/>
  <c r="F183" i="1"/>
  <c r="F298" i="1" s="1"/>
  <c r="F411" i="1" s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H170" i="1"/>
  <c r="H398" i="1" s="1"/>
  <c r="H518" i="1" s="1"/>
  <c r="G170" i="1"/>
  <c r="F170" i="1"/>
  <c r="F398" i="1" s="1"/>
  <c r="F518" i="1" s="1"/>
  <c r="K169" i="1"/>
  <c r="J169" i="1"/>
  <c r="I169" i="1"/>
  <c r="H169" i="1"/>
  <c r="G169" i="1"/>
  <c r="G397" i="1" s="1"/>
  <c r="G517" i="1" s="1"/>
  <c r="F169" i="1"/>
  <c r="K168" i="1"/>
  <c r="J168" i="1"/>
  <c r="J396" i="1" s="1"/>
  <c r="J437" i="1" s="1"/>
  <c r="I168" i="1"/>
  <c r="I396" i="1" s="1"/>
  <c r="I437" i="1" s="1"/>
  <c r="H168" i="1"/>
  <c r="G168" i="1"/>
  <c r="G396" i="1" s="1"/>
  <c r="G437" i="1" s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H156" i="1"/>
  <c r="G156" i="1"/>
  <c r="F156" i="1"/>
  <c r="F384" i="1" s="1"/>
  <c r="F515" i="1" s="1"/>
  <c r="K155" i="1"/>
  <c r="K383" i="1" s="1"/>
  <c r="K514" i="1" s="1"/>
  <c r="J155" i="1"/>
  <c r="I155" i="1"/>
  <c r="H155" i="1"/>
  <c r="H383" i="1" s="1"/>
  <c r="H514" i="1" s="1"/>
  <c r="G155" i="1"/>
  <c r="F155" i="1"/>
  <c r="F383" i="1" s="1"/>
  <c r="F514" i="1" s="1"/>
  <c r="K154" i="1"/>
  <c r="K382" i="1" s="1"/>
  <c r="K513" i="1" s="1"/>
  <c r="J154" i="1"/>
  <c r="J382" i="1" s="1"/>
  <c r="J513" i="1" s="1"/>
  <c r="I154" i="1"/>
  <c r="I382" i="1" s="1"/>
  <c r="I513" i="1" s="1"/>
  <c r="H154" i="1"/>
  <c r="G154" i="1"/>
  <c r="F154" i="1"/>
  <c r="F382" i="1" s="1"/>
  <c r="F513" i="1" s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K378" i="1" s="1"/>
  <c r="K435" i="1" s="1"/>
  <c r="J150" i="1"/>
  <c r="I150" i="1"/>
  <c r="I378" i="1" s="1"/>
  <c r="I435" i="1" s="1"/>
  <c r="H150" i="1"/>
  <c r="G150" i="1"/>
  <c r="F150" i="1"/>
  <c r="F378" i="1" s="1"/>
  <c r="F435" i="1" s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K137" i="1" s="1" a="1"/>
  <c r="K137" i="1" s="1"/>
  <c r="J130" i="1"/>
  <c r="I130" i="1"/>
  <c r="H130" i="1"/>
  <c r="G130" i="1"/>
  <c r="F130" i="1"/>
  <c r="K129" i="1"/>
  <c r="J129" i="1"/>
  <c r="I129" i="1"/>
  <c r="H129" i="1"/>
  <c r="G129" i="1"/>
  <c r="F129" i="1"/>
  <c r="K95" i="1"/>
  <c r="K127" i="1" s="1"/>
  <c r="J95" i="1"/>
  <c r="I95" i="1"/>
  <c r="I127" i="1" s="1"/>
  <c r="H95" i="1"/>
  <c r="H127" i="1" s="1"/>
  <c r="G95" i="1"/>
  <c r="G127" i="1" s="1"/>
  <c r="F95" i="1"/>
  <c r="K94" i="1"/>
  <c r="K126" i="1" s="1"/>
  <c r="J94" i="1"/>
  <c r="J322" i="1" s="1"/>
  <c r="J477" i="1" s="1"/>
  <c r="I94" i="1"/>
  <c r="I126" i="1" s="1"/>
  <c r="H94" i="1"/>
  <c r="G94" i="1"/>
  <c r="G126" i="1" s="1"/>
  <c r="F94" i="1"/>
  <c r="K93" i="1"/>
  <c r="K321" i="1" s="1"/>
  <c r="K476" i="1" s="1"/>
  <c r="J93" i="1"/>
  <c r="I93" i="1"/>
  <c r="H93" i="1"/>
  <c r="H321" i="1" s="1"/>
  <c r="H476" i="1" s="1"/>
  <c r="G93" i="1"/>
  <c r="G321" i="1" s="1"/>
  <c r="G476" i="1" s="1"/>
  <c r="F93" i="1"/>
  <c r="K92" i="1"/>
  <c r="J92" i="1"/>
  <c r="J124" i="1" s="1"/>
  <c r="I92" i="1"/>
  <c r="I320" i="1" s="1"/>
  <c r="I475" i="1" s="1"/>
  <c r="H92" i="1"/>
  <c r="H124" i="1" s="1"/>
  <c r="G92" i="1"/>
  <c r="F92" i="1"/>
  <c r="F320" i="1" s="1"/>
  <c r="F475" i="1" s="1"/>
  <c r="K91" i="1"/>
  <c r="K319" i="1" s="1"/>
  <c r="K474" i="1" s="1"/>
  <c r="J91" i="1"/>
  <c r="I91" i="1"/>
  <c r="H91" i="1"/>
  <c r="H123" i="1" s="1"/>
  <c r="G91" i="1"/>
  <c r="G319" i="1" s="1"/>
  <c r="G474" i="1" s="1"/>
  <c r="F91" i="1"/>
  <c r="F123" i="1" s="1"/>
  <c r="K90" i="1"/>
  <c r="K122" i="1" s="1"/>
  <c r="J90" i="1"/>
  <c r="J122" i="1" s="1"/>
  <c r="I90" i="1"/>
  <c r="H90" i="1"/>
  <c r="G90" i="1"/>
  <c r="F90" i="1"/>
  <c r="F318" i="1" s="1"/>
  <c r="F473" i="1" s="1"/>
  <c r="K89" i="1"/>
  <c r="K121" i="1" s="1"/>
  <c r="J89" i="1"/>
  <c r="J121" i="1" s="1"/>
  <c r="I89" i="1"/>
  <c r="H89" i="1"/>
  <c r="H121" i="1" s="1"/>
  <c r="G89" i="1"/>
  <c r="G121" i="1" s="1"/>
  <c r="F89" i="1"/>
  <c r="K88" i="1"/>
  <c r="K120" i="1" s="1"/>
  <c r="J88" i="1"/>
  <c r="J120" i="1" s="1"/>
  <c r="I88" i="1"/>
  <c r="I316" i="1" s="1"/>
  <c r="I471" i="1" s="1"/>
  <c r="H88" i="1"/>
  <c r="G88" i="1"/>
  <c r="F88" i="1"/>
  <c r="F316" i="1" s="1"/>
  <c r="F471" i="1" s="1"/>
  <c r="K87" i="1"/>
  <c r="K119" i="1" s="1"/>
  <c r="J87" i="1"/>
  <c r="I87" i="1"/>
  <c r="I119" i="1" s="1"/>
  <c r="H87" i="1"/>
  <c r="H119" i="1" s="1"/>
  <c r="G87" i="1"/>
  <c r="G315" i="1" s="1"/>
  <c r="G470" i="1" s="1"/>
  <c r="F87" i="1"/>
  <c r="K86" i="1"/>
  <c r="K118" i="1" s="1"/>
  <c r="J86" i="1"/>
  <c r="I86" i="1"/>
  <c r="I118" i="1" s="1"/>
  <c r="H86" i="1"/>
  <c r="G86" i="1"/>
  <c r="F86" i="1"/>
  <c r="F118" i="1" s="1"/>
  <c r="K85" i="1"/>
  <c r="K117" i="1" s="1"/>
  <c r="J85" i="1"/>
  <c r="I85" i="1"/>
  <c r="I117" i="1" s="1"/>
  <c r="H85" i="1"/>
  <c r="H117" i="1" s="1"/>
  <c r="G85" i="1"/>
  <c r="F85" i="1"/>
  <c r="K84" i="1"/>
  <c r="J84" i="1"/>
  <c r="J116" i="1" s="1"/>
  <c r="I84" i="1"/>
  <c r="I116" i="1" s="1"/>
  <c r="H84" i="1"/>
  <c r="G84" i="1"/>
  <c r="F84" i="1"/>
  <c r="F116" i="1" s="1"/>
  <c r="K83" i="1"/>
  <c r="K115" i="1" s="1"/>
  <c r="J83" i="1"/>
  <c r="J115" i="1" s="1"/>
  <c r="I83" i="1"/>
  <c r="I115" i="1" s="1"/>
  <c r="H83" i="1"/>
  <c r="H115" i="1" s="1"/>
  <c r="G83" i="1"/>
  <c r="G115" i="1" s="1"/>
  <c r="F83" i="1"/>
  <c r="K82" i="1"/>
  <c r="K114" i="1" s="1"/>
  <c r="J82" i="1"/>
  <c r="J114" i="1" s="1"/>
  <c r="I82" i="1"/>
  <c r="I114" i="1" s="1"/>
  <c r="H82" i="1"/>
  <c r="H114" i="1" s="1"/>
  <c r="G82" i="1"/>
  <c r="F82" i="1"/>
  <c r="K81" i="1"/>
  <c r="K113" i="1" s="1"/>
  <c r="J81" i="1"/>
  <c r="J113" i="1" s="1"/>
  <c r="I81" i="1"/>
  <c r="I113" i="1" s="1"/>
  <c r="H81" i="1"/>
  <c r="H113" i="1" s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K299" i="1" s="1"/>
  <c r="K463" i="1" s="1"/>
  <c r="J71" i="1"/>
  <c r="J299" i="1" s="1"/>
  <c r="J463" i="1" s="1"/>
  <c r="I71" i="1"/>
  <c r="I299" i="1" s="1"/>
  <c r="I463" i="1" s="1"/>
  <c r="H71" i="1"/>
  <c r="G71" i="1"/>
  <c r="G299" i="1" s="1"/>
  <c r="G463" i="1" s="1"/>
  <c r="F71" i="1"/>
  <c r="F299" i="1" s="1"/>
  <c r="F463" i="1" s="1"/>
  <c r="K70" i="1"/>
  <c r="K298" i="1" s="1"/>
  <c r="K411" i="1" s="1"/>
  <c r="J70" i="1"/>
  <c r="I70" i="1"/>
  <c r="H70" i="1"/>
  <c r="H298" i="1" s="1"/>
  <c r="H411" i="1" s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J1703" i="1" a="1"/>
  <c r="J1703" i="1" s="1"/>
  <c r="K1704" i="1" a="1"/>
  <c r="K1704" i="1" s="1"/>
  <c r="I1703" i="1" a="1"/>
  <c r="I1703" i="1"/>
  <c r="F1703" i="1" a="1"/>
  <c r="F1703" i="1" s="1"/>
  <c r="H1703" i="1" a="1"/>
  <c r="H1703" i="1"/>
  <c r="H1704" i="1" a="1"/>
  <c r="H1704" i="1" s="1"/>
  <c r="I1704" i="1" a="1"/>
  <c r="I1704" i="1" s="1"/>
  <c r="F1704" i="1" a="1"/>
  <c r="F1704" i="1"/>
  <c r="G1704" i="1" a="1"/>
  <c r="G1704" i="1" s="1"/>
  <c r="G1703" i="1" a="1"/>
  <c r="G1703" i="1" s="1"/>
  <c r="K1703" i="1" a="1"/>
  <c r="K1703" i="1"/>
  <c r="J1704" i="1" a="1"/>
  <c r="J1704" i="1"/>
  <c r="J741" i="1" a="1"/>
  <c r="J741" i="1"/>
  <c r="G741" i="1" a="1"/>
  <c r="G741" i="1"/>
  <c r="K741" i="1" a="1"/>
  <c r="K741" i="1" s="1"/>
  <c r="H741" i="1" a="1"/>
  <c r="H741" i="1" s="1"/>
  <c r="I741" i="1" a="1"/>
  <c r="I741" i="1"/>
  <c r="F741" i="1" a="1"/>
  <c r="F741" i="1"/>
  <c r="G722" i="1" a="1"/>
  <c r="G722" i="1" s="1"/>
  <c r="G738" i="1" a="1"/>
  <c r="G738" i="1"/>
  <c r="F738" i="1" a="1"/>
  <c r="F738" i="1" s="1"/>
  <c r="I722" i="1" a="1"/>
  <c r="I722" i="1" s="1"/>
  <c r="G725" i="1" a="1"/>
  <c r="G725" i="1"/>
  <c r="J718" i="1" a="1"/>
  <c r="J718" i="1" s="1"/>
  <c r="F725" i="1" a="1"/>
  <c r="F725" i="1"/>
  <c r="J722" i="1" a="1"/>
  <c r="J722" i="1" s="1"/>
  <c r="J725" i="1" a="1"/>
  <c r="J725" i="1" s="1"/>
  <c r="H725" i="1" a="1"/>
  <c r="H725" i="1" s="1"/>
  <c r="K722" i="1" a="1"/>
  <c r="K722" i="1" s="1"/>
  <c r="F722" i="1" a="1"/>
  <c r="F722" i="1" s="1"/>
  <c r="H722" i="1" a="1"/>
  <c r="H722" i="1" s="1"/>
  <c r="K725" i="1" a="1"/>
  <c r="K725" i="1"/>
  <c r="K718" i="1" a="1"/>
  <c r="K718" i="1" s="1"/>
  <c r="K738" i="1" a="1"/>
  <c r="K738" i="1" s="1"/>
  <c r="I725" i="1" a="1"/>
  <c r="I725" i="1" s="1"/>
  <c r="J738" i="1" a="1"/>
  <c r="J738" i="1" s="1"/>
  <c r="I738" i="1" a="1"/>
  <c r="I738" i="1" s="1"/>
  <c r="H738" i="1" a="1"/>
  <c r="H738" i="1"/>
  <c r="F694" i="1" a="1"/>
  <c r="F694" i="1" s="1"/>
  <c r="J717" i="1" a="1"/>
  <c r="J717" i="1"/>
  <c r="I716" i="1" a="1"/>
  <c r="I716" i="1" s="1"/>
  <c r="I724" i="1" s="1" a="1"/>
  <c r="I724" i="1" s="1"/>
  <c r="I726" i="1" s="1" a="1"/>
  <c r="I726" i="1" s="1"/>
  <c r="I694" i="1" a="1"/>
  <c r="I694" i="1" s="1"/>
  <c r="K707" i="1" a="1"/>
  <c r="K707" i="1" s="1"/>
  <c r="I718" i="1" a="1"/>
  <c r="I718" i="1"/>
  <c r="H718" i="1" a="1"/>
  <c r="H718" i="1"/>
  <c r="H724" i="1" s="1" a="1"/>
  <c r="H724" i="1" s="1"/>
  <c r="H726" i="1" s="1" a="1"/>
  <c r="H726" i="1" s="1"/>
  <c r="G694" i="1" a="1"/>
  <c r="G694" i="1" s="1"/>
  <c r="I707" i="1" a="1"/>
  <c r="I707" i="1" s="1"/>
  <c r="F695" i="1" a="1"/>
  <c r="F695" i="1" s="1"/>
  <c r="G718" i="1" a="1"/>
  <c r="G718" i="1" s="1"/>
  <c r="H707" i="1" a="1"/>
  <c r="H707" i="1"/>
  <c r="F718" i="1" a="1"/>
  <c r="F718" i="1"/>
  <c r="K717" i="1" a="1"/>
  <c r="K717" i="1"/>
  <c r="I714" i="1" a="1"/>
  <c r="I714" i="1" s="1"/>
  <c r="H695" i="1" a="1"/>
  <c r="H695" i="1" s="1"/>
  <c r="G695" i="1" a="1"/>
  <c r="G695" i="1"/>
  <c r="K709" i="1" a="1"/>
  <c r="K709" i="1"/>
  <c r="I709" i="1" a="1"/>
  <c r="I709" i="1"/>
  <c r="J695" i="1" a="1"/>
  <c r="J695" i="1" s="1"/>
  <c r="F716" i="1" a="1"/>
  <c r="F716" i="1"/>
  <c r="F707" i="1" a="1"/>
  <c r="F707" i="1" s="1"/>
  <c r="G714" i="1" a="1"/>
  <c r="G714" i="1"/>
  <c r="F714" i="1" a="1"/>
  <c r="F714" i="1" s="1"/>
  <c r="K694" i="1" a="1"/>
  <c r="K694" i="1" s="1"/>
  <c r="J694" i="1" a="1"/>
  <c r="J694" i="1" s="1"/>
  <c r="K695" i="1" a="1"/>
  <c r="K695" i="1"/>
  <c r="I717" i="1" a="1"/>
  <c r="I717" i="1" s="1"/>
  <c r="J709" i="1" a="1"/>
  <c r="J709" i="1" s="1"/>
  <c r="K716" i="1" a="1"/>
  <c r="K716" i="1" s="1"/>
  <c r="J707" i="1" a="1"/>
  <c r="J707" i="1" s="1"/>
  <c r="H709" i="1" a="1"/>
  <c r="H709" i="1" s="1"/>
  <c r="H716" i="1" a="1"/>
  <c r="H716" i="1"/>
  <c r="H717" i="1" a="1"/>
  <c r="H717" i="1" s="1"/>
  <c r="G717" i="1" a="1"/>
  <c r="G717" i="1" s="1"/>
  <c r="F717" i="1" a="1"/>
  <c r="F717" i="1" s="1"/>
  <c r="J716" i="1" a="1"/>
  <c r="J716" i="1" s="1"/>
  <c r="K714" i="1" a="1"/>
  <c r="K714" i="1"/>
  <c r="J714" i="1" a="1"/>
  <c r="J714" i="1"/>
  <c r="H714" i="1" a="1"/>
  <c r="H714" i="1"/>
  <c r="I695" i="1" a="1"/>
  <c r="I695" i="1" s="1"/>
  <c r="G707" i="1" a="1"/>
  <c r="G707" i="1" s="1"/>
  <c r="G709" i="1" a="1"/>
  <c r="G709" i="1" s="1"/>
  <c r="F709" i="1" a="1"/>
  <c r="F709" i="1"/>
  <c r="H694" i="1" a="1"/>
  <c r="H694" i="1" s="1"/>
  <c r="G716" i="1" a="1"/>
  <c r="G716" i="1"/>
  <c r="K680" i="1" a="1"/>
  <c r="K680" i="1" s="1"/>
  <c r="G679" i="1" a="1"/>
  <c r="G679" i="1"/>
  <c r="F686" i="1" a="1"/>
  <c r="F686" i="1"/>
  <c r="F681" i="1" a="1"/>
  <c r="F681" i="1" s="1"/>
  <c r="I680" i="1" a="1"/>
  <c r="I680" i="1" s="1"/>
  <c r="H681" i="1" a="1"/>
  <c r="H681" i="1" s="1"/>
  <c r="K686" i="1" a="1"/>
  <c r="K686" i="1" s="1"/>
  <c r="F683" i="1" a="1"/>
  <c r="F683" i="1"/>
  <c r="H679" i="1" a="1"/>
  <c r="H679" i="1" s="1"/>
  <c r="G680" i="1" a="1"/>
  <c r="G680" i="1" s="1"/>
  <c r="J686" i="1" a="1"/>
  <c r="J686" i="1"/>
  <c r="I686" i="1" a="1"/>
  <c r="I686" i="1" s="1"/>
  <c r="J681" i="1" a="1"/>
  <c r="J681" i="1" s="1"/>
  <c r="F679" i="1" a="1"/>
  <c r="F679" i="1"/>
  <c r="G683" i="1" a="1"/>
  <c r="G683" i="1" s="1"/>
  <c r="H686" i="1" a="1"/>
  <c r="H686" i="1" s="1"/>
  <c r="H680" i="1" a="1"/>
  <c r="H680" i="1"/>
  <c r="G686" i="1" a="1"/>
  <c r="G686" i="1" s="1"/>
  <c r="K683" i="1" a="1"/>
  <c r="K683" i="1" s="1"/>
  <c r="I685" i="1" a="1"/>
  <c r="I685" i="1"/>
  <c r="K685" i="1" a="1"/>
  <c r="K685" i="1"/>
  <c r="I679" i="1" a="1"/>
  <c r="I679" i="1" s="1"/>
  <c r="J683" i="1" a="1"/>
  <c r="J683" i="1" s="1"/>
  <c r="J679" i="1" a="1"/>
  <c r="J679" i="1"/>
  <c r="J685" i="1" a="1"/>
  <c r="J685" i="1" s="1"/>
  <c r="H685" i="1" a="1"/>
  <c r="H685" i="1" s="1"/>
  <c r="I681" i="1" a="1"/>
  <c r="I681" i="1" s="1"/>
  <c r="J680" i="1" a="1"/>
  <c r="J680" i="1" s="1"/>
  <c r="F680" i="1" a="1"/>
  <c r="F680" i="1" s="1"/>
  <c r="K679" i="1" a="1"/>
  <c r="K679" i="1"/>
  <c r="G685" i="1" a="1"/>
  <c r="G685" i="1" s="1"/>
  <c r="F685" i="1" a="1"/>
  <c r="F685" i="1" s="1"/>
  <c r="I683" i="1" a="1"/>
  <c r="I683" i="1" s="1"/>
  <c r="G681" i="1" a="1"/>
  <c r="G681" i="1"/>
  <c r="H683" i="1" a="1"/>
  <c r="H683" i="1"/>
  <c r="K681" i="1" a="1"/>
  <c r="K681" i="1"/>
  <c r="H650" i="1" a="1"/>
  <c r="H650" i="1" s="1"/>
  <c r="H662" i="1" a="1"/>
  <c r="H662" i="1"/>
  <c r="F648" i="1" a="1"/>
  <c r="F648" i="1" s="1"/>
  <c r="G662" i="1" a="1"/>
  <c r="G662" i="1" s="1"/>
  <c r="F651" i="1" a="1"/>
  <c r="F651" i="1"/>
  <c r="K650" i="1" a="1"/>
  <c r="K650" i="1"/>
  <c r="G647" i="1" a="1"/>
  <c r="G647" i="1" s="1"/>
  <c r="I648" i="1" a="1"/>
  <c r="I648" i="1" s="1"/>
  <c r="K647" i="1" a="1"/>
  <c r="K647" i="1"/>
  <c r="J664" i="1" a="1"/>
  <c r="J664" i="1" s="1"/>
  <c r="H647" i="1" a="1"/>
  <c r="H647" i="1"/>
  <c r="G650" i="1" a="1"/>
  <c r="G650" i="1" s="1"/>
  <c r="J647" i="1" a="1"/>
  <c r="J647" i="1" s="1"/>
  <c r="K664" i="1" a="1"/>
  <c r="K664" i="1" s="1"/>
  <c r="I664" i="1" a="1"/>
  <c r="I664" i="1" s="1"/>
  <c r="H663" i="1" a="1"/>
  <c r="H663" i="1" s="1"/>
  <c r="F662" i="1" a="1"/>
  <c r="F662" i="1" s="1"/>
  <c r="I647" i="1" a="1"/>
  <c r="I647" i="1" s="1"/>
  <c r="H664" i="1" a="1"/>
  <c r="H664" i="1"/>
  <c r="G664" i="1" a="1"/>
  <c r="G664" i="1" s="1"/>
  <c r="F664" i="1" a="1"/>
  <c r="F664" i="1"/>
  <c r="I662" i="1" a="1"/>
  <c r="I662" i="1" s="1"/>
  <c r="K663" i="1" a="1"/>
  <c r="K663" i="1" s="1"/>
  <c r="J663" i="1" a="1"/>
  <c r="J663" i="1" s="1"/>
  <c r="I663" i="1" a="1"/>
  <c r="I663" i="1" s="1"/>
  <c r="G663" i="1" a="1"/>
  <c r="G663" i="1" s="1"/>
  <c r="I650" i="1" a="1"/>
  <c r="I650" i="1"/>
  <c r="G648" i="1" a="1"/>
  <c r="G648" i="1" s="1"/>
  <c r="J662" i="1" a="1"/>
  <c r="J662" i="1"/>
  <c r="G651" i="1" a="1"/>
  <c r="G651" i="1" s="1"/>
  <c r="F663" i="1" a="1"/>
  <c r="F663" i="1" s="1"/>
  <c r="J650" i="1" a="1"/>
  <c r="J650" i="1" s="1"/>
  <c r="I651" i="1" a="1"/>
  <c r="I651" i="1" s="1"/>
  <c r="F650" i="1" a="1"/>
  <c r="F650" i="1"/>
  <c r="K648" i="1" a="1"/>
  <c r="K648" i="1"/>
  <c r="K662" i="1" a="1"/>
  <c r="K662" i="1"/>
  <c r="H651" i="1" a="1"/>
  <c r="H651" i="1" s="1"/>
  <c r="H648" i="1" a="1"/>
  <c r="H648" i="1" s="1"/>
  <c r="K651" i="1" a="1"/>
  <c r="K651" i="1" s="1"/>
  <c r="J648" i="1" a="1"/>
  <c r="J648" i="1"/>
  <c r="J651" i="1" a="1"/>
  <c r="J651" i="1" s="1"/>
  <c r="K637" i="1" a="1"/>
  <c r="K637" i="1" s="1"/>
  <c r="G646" i="1" a="1"/>
  <c r="G646" i="1" s="1"/>
  <c r="G645" i="1" a="1"/>
  <c r="G645" i="1" s="1"/>
  <c r="J643" i="1" a="1"/>
  <c r="J643" i="1" s="1"/>
  <c r="K640" i="1" a="1"/>
  <c r="K640" i="1"/>
  <c r="K643" i="1" a="1"/>
  <c r="K643" i="1" s="1"/>
  <c r="K641" i="1" a="1"/>
  <c r="K641" i="1" s="1"/>
  <c r="G637" i="1" a="1"/>
  <c r="G637" i="1" s="1"/>
  <c r="J638" i="1" a="1"/>
  <c r="J638" i="1"/>
  <c r="I645" i="1" a="1"/>
  <c r="I645" i="1" s="1"/>
  <c r="F646" i="1" a="1"/>
  <c r="F646" i="1" s="1"/>
  <c r="J637" i="1" a="1"/>
  <c r="J637" i="1" s="1"/>
  <c r="K645" i="1" a="1"/>
  <c r="K645" i="1" s="1"/>
  <c r="K638" i="1" a="1"/>
  <c r="K638" i="1"/>
  <c r="J645" i="1" a="1"/>
  <c r="J645" i="1" s="1"/>
  <c r="H641" i="1" a="1"/>
  <c r="H641" i="1" s="1"/>
  <c r="G640" i="1" a="1"/>
  <c r="G640" i="1" s="1"/>
  <c r="J640" i="1" a="1"/>
  <c r="J640" i="1"/>
  <c r="G638" i="1" a="1"/>
  <c r="G638" i="1" s="1"/>
  <c r="H636" i="1" a="1"/>
  <c r="H636" i="1" s="1"/>
  <c r="F638" i="1" a="1"/>
  <c r="F638" i="1" s="1"/>
  <c r="K636" i="1" a="1"/>
  <c r="K636" i="1" s="1"/>
  <c r="H638" i="1" a="1"/>
  <c r="H638" i="1" s="1"/>
  <c r="I643" i="1" a="1"/>
  <c r="I643" i="1" s="1"/>
  <c r="G643" i="1" a="1"/>
  <c r="G643" i="1" s="1"/>
  <c r="I637" i="1" a="1"/>
  <c r="I637" i="1" s="1"/>
  <c r="J641" i="1" a="1"/>
  <c r="J641" i="1" s="1"/>
  <c r="F641" i="1" a="1"/>
  <c r="F641" i="1"/>
  <c r="H640" i="1" a="1"/>
  <c r="H640" i="1" s="1"/>
  <c r="H645" i="1" a="1"/>
  <c r="H645" i="1"/>
  <c r="F645" i="1" a="1"/>
  <c r="F645" i="1"/>
  <c r="H637" i="1" a="1"/>
  <c r="H637" i="1" s="1"/>
  <c r="I640" i="1" a="1"/>
  <c r="I640" i="1" s="1"/>
  <c r="H643" i="1" a="1"/>
  <c r="H643" i="1"/>
  <c r="G641" i="1" a="1"/>
  <c r="G641" i="1" s="1"/>
  <c r="I638" i="1" a="1"/>
  <c r="I638" i="1" s="1"/>
  <c r="F636" i="1" a="1"/>
  <c r="F636" i="1" s="1"/>
  <c r="F637" i="1" a="1"/>
  <c r="F637" i="1" s="1"/>
  <c r="J636" i="1" a="1"/>
  <c r="J636" i="1"/>
  <c r="I636" i="1" a="1"/>
  <c r="I636" i="1" s="1"/>
  <c r="G636" i="1" a="1"/>
  <c r="G636" i="1" s="1"/>
  <c r="F643" i="1" a="1"/>
  <c r="F643" i="1" s="1"/>
  <c r="F640" i="1" a="1"/>
  <c r="F640" i="1" s="1"/>
  <c r="F647" i="1" a="1"/>
  <c r="F647" i="1"/>
  <c r="K646" i="1" a="1"/>
  <c r="K646" i="1" s="1"/>
  <c r="J646" i="1" a="1"/>
  <c r="J646" i="1" s="1"/>
  <c r="I641" i="1" a="1"/>
  <c r="I641" i="1" s="1"/>
  <c r="I646" i="1" a="1"/>
  <c r="I646" i="1" s="1"/>
  <c r="H646" i="1" a="1"/>
  <c r="H646" i="1"/>
  <c r="G627" i="1" a="1"/>
  <c r="G627" i="1" s="1"/>
  <c r="I635" i="1" a="1"/>
  <c r="I635" i="1" s="1"/>
  <c r="G635" i="1" a="1"/>
  <c r="G635" i="1" s="1"/>
  <c r="F635" i="1" a="1"/>
  <c r="F635" i="1" s="1"/>
  <c r="J628" i="1" a="1"/>
  <c r="J628" i="1"/>
  <c r="H625" i="1" a="1"/>
  <c r="H625" i="1"/>
  <c r="I625" i="1" a="1"/>
  <c r="I625" i="1"/>
  <c r="G628" i="1" a="1"/>
  <c r="G628" i="1" s="1"/>
  <c r="I623" i="1" a="1"/>
  <c r="I623" i="1"/>
  <c r="K626" i="1" a="1"/>
  <c r="K626" i="1" s="1"/>
  <c r="H627" i="1" a="1"/>
  <c r="H627" i="1" s="1"/>
  <c r="H631" i="1" a="1"/>
  <c r="H631" i="1" s="1"/>
  <c r="G631" i="1" a="1"/>
  <c r="G631" i="1" s="1"/>
  <c r="K633" i="1" a="1"/>
  <c r="K633" i="1" s="1"/>
  <c r="I631" i="1" a="1"/>
  <c r="I631" i="1" s="1"/>
  <c r="H626" i="1" a="1"/>
  <c r="H626" i="1" s="1"/>
  <c r="I628" i="1" a="1"/>
  <c r="I628" i="1" s="1"/>
  <c r="J633" i="1" a="1"/>
  <c r="J633" i="1" s="1"/>
  <c r="I633" i="1" a="1"/>
  <c r="I633" i="1" s="1"/>
  <c r="H633" i="1" a="1"/>
  <c r="H633" i="1" s="1"/>
  <c r="F631" i="1" a="1"/>
  <c r="F631" i="1"/>
  <c r="J630" i="1" a="1"/>
  <c r="J630" i="1" s="1"/>
  <c r="I630" i="1" a="1"/>
  <c r="I630" i="1" s="1"/>
  <c r="F627" i="1" a="1"/>
  <c r="F627" i="1"/>
  <c r="F626" i="1" a="1"/>
  <c r="F626" i="1" s="1"/>
  <c r="F630" i="1" a="1"/>
  <c r="F630" i="1"/>
  <c r="F625" i="1" a="1"/>
  <c r="F625" i="1" s="1"/>
  <c r="J627" i="1" a="1"/>
  <c r="J627" i="1" s="1"/>
  <c r="J626" i="1" a="1"/>
  <c r="J626" i="1" s="1"/>
  <c r="K628" i="1" a="1"/>
  <c r="K628" i="1"/>
  <c r="G633" i="1" a="1"/>
  <c r="G633" i="1" s="1"/>
  <c r="H623" i="1" a="1"/>
  <c r="H623" i="1" s="1"/>
  <c r="G626" i="1" a="1"/>
  <c r="G626" i="1" s="1"/>
  <c r="F633" i="1" a="1"/>
  <c r="F633" i="1"/>
  <c r="K623" i="1" a="1"/>
  <c r="K623" i="1" s="1"/>
  <c r="H630" i="1" a="1"/>
  <c r="H630" i="1" s="1"/>
  <c r="K627" i="1" a="1"/>
  <c r="K627" i="1" s="1"/>
  <c r="K630" i="1" a="1"/>
  <c r="K630" i="1" s="1"/>
  <c r="H628" i="1" a="1"/>
  <c r="H628" i="1" s="1"/>
  <c r="I627" i="1" a="1"/>
  <c r="I627" i="1"/>
  <c r="J625" i="1" a="1"/>
  <c r="J625" i="1" s="1"/>
  <c r="K635" i="1" a="1"/>
  <c r="K635" i="1"/>
  <c r="J635" i="1" a="1"/>
  <c r="J635" i="1" s="1"/>
  <c r="K631" i="1" a="1"/>
  <c r="K631" i="1" s="1"/>
  <c r="J631" i="1" a="1"/>
  <c r="J631" i="1"/>
  <c r="F628" i="1" a="1"/>
  <c r="F628" i="1" s="1"/>
  <c r="G625" i="1" a="1"/>
  <c r="G625" i="1"/>
  <c r="I626" i="1" a="1"/>
  <c r="I626" i="1" s="1"/>
  <c r="G630" i="1" a="1"/>
  <c r="G630" i="1" s="1"/>
  <c r="K625" i="1" a="1"/>
  <c r="K625" i="1" s="1"/>
  <c r="J623" i="1" a="1"/>
  <c r="J623" i="1"/>
  <c r="H635" i="1" a="1"/>
  <c r="H635" i="1" s="1"/>
  <c r="F617" i="1" a="1"/>
  <c r="F617" i="1" s="1"/>
  <c r="K621" i="1" a="1"/>
  <c r="K621" i="1" s="1"/>
  <c r="I617" i="1" a="1"/>
  <c r="I617" i="1"/>
  <c r="J620" i="1" a="1"/>
  <c r="J620" i="1" s="1"/>
  <c r="I620" i="1" a="1"/>
  <c r="I620" i="1" s="1"/>
  <c r="F616" i="1" a="1"/>
  <c r="F616" i="1" s="1"/>
  <c r="I608" i="1" a="1"/>
  <c r="I608" i="1" s="1"/>
  <c r="G616" i="1" a="1"/>
  <c r="G616" i="1" s="1"/>
  <c r="F620" i="1" a="1"/>
  <c r="F620" i="1" s="1"/>
  <c r="J607" i="1" a="1"/>
  <c r="J607" i="1" s="1"/>
  <c r="I607" i="1" a="1"/>
  <c r="I607" i="1" s="1"/>
  <c r="I616" i="1" a="1"/>
  <c r="I616" i="1" s="1"/>
  <c r="G618" i="1" a="1"/>
  <c r="G618" i="1" s="1"/>
  <c r="J621" i="1" a="1"/>
  <c r="J621" i="1"/>
  <c r="H617" i="1" a="1"/>
  <c r="H617" i="1" s="1"/>
  <c r="I621" i="1" a="1"/>
  <c r="I621" i="1"/>
  <c r="H621" i="1" a="1"/>
  <c r="H621" i="1"/>
  <c r="K618" i="1" a="1"/>
  <c r="K618" i="1"/>
  <c r="J618" i="1" a="1"/>
  <c r="J618" i="1" s="1"/>
  <c r="F621" i="1" a="1"/>
  <c r="F621" i="1"/>
  <c r="G607" i="1" a="1"/>
  <c r="G607" i="1" s="1"/>
  <c r="J616" i="1" a="1"/>
  <c r="J616" i="1" s="1"/>
  <c r="G608" i="1" a="1"/>
  <c r="G608" i="1" s="1"/>
  <c r="H620" i="1" a="1"/>
  <c r="H620" i="1"/>
  <c r="J617" i="1" a="1"/>
  <c r="J617" i="1" s="1"/>
  <c r="F618" i="1" a="1"/>
  <c r="F618" i="1" s="1"/>
  <c r="G617" i="1" a="1"/>
  <c r="G617" i="1" s="1"/>
  <c r="G615" i="1" a="1"/>
  <c r="G615" i="1" s="1"/>
  <c r="F607" i="1" a="1"/>
  <c r="F607" i="1" s="1"/>
  <c r="K608" i="1" a="1"/>
  <c r="K608" i="1"/>
  <c r="K615" i="1" a="1"/>
  <c r="K615" i="1" s="1"/>
  <c r="J615" i="1" a="1"/>
  <c r="J615" i="1" s="1"/>
  <c r="K620" i="1" a="1"/>
  <c r="K620" i="1" s="1"/>
  <c r="G620" i="1" a="1"/>
  <c r="G620" i="1" s="1"/>
  <c r="K617" i="1" a="1"/>
  <c r="K617" i="1" s="1"/>
  <c r="H616" i="1" a="1"/>
  <c r="H616" i="1"/>
  <c r="I615" i="1" a="1"/>
  <c r="I615" i="1"/>
  <c r="F615" i="1" a="1"/>
  <c r="F615" i="1" s="1"/>
  <c r="J608" i="1" a="1"/>
  <c r="J608" i="1" s="1"/>
  <c r="K607" i="1" a="1"/>
  <c r="K607" i="1"/>
  <c r="H608" i="1" a="1"/>
  <c r="H608" i="1" s="1"/>
  <c r="F608" i="1" a="1"/>
  <c r="F608" i="1" s="1"/>
  <c r="K616" i="1" a="1"/>
  <c r="K616" i="1" s="1"/>
  <c r="H607" i="1" a="1"/>
  <c r="H607" i="1" s="1"/>
  <c r="G621" i="1" a="1"/>
  <c r="G621" i="1" s="1"/>
  <c r="I618" i="1" a="1"/>
  <c r="I618" i="1"/>
  <c r="H615" i="1" a="1"/>
  <c r="H615" i="1"/>
  <c r="G623" i="1" a="1"/>
  <c r="G623" i="1" s="1"/>
  <c r="H618" i="1" a="1"/>
  <c r="H618" i="1" s="1"/>
  <c r="F623" i="1" a="1"/>
  <c r="F623" i="1" s="1"/>
  <c r="J600" i="1" a="1"/>
  <c r="J600" i="1"/>
  <c r="I604" i="1" a="1"/>
  <c r="I604" i="1" s="1"/>
  <c r="F591" i="1" a="1"/>
  <c r="F591" i="1" s="1"/>
  <c r="K587" i="1" a="1"/>
  <c r="K587" i="1" s="1"/>
  <c r="K601" i="1" a="1"/>
  <c r="K601" i="1" s="1"/>
  <c r="G593" i="1" a="1"/>
  <c r="G593" i="1"/>
  <c r="K591" i="1" a="1"/>
  <c r="K591" i="1" s="1"/>
  <c r="K600" i="1" a="1"/>
  <c r="K600" i="1" s="1"/>
  <c r="G600" i="1" a="1"/>
  <c r="G600" i="1"/>
  <c r="G594" i="1" a="1"/>
  <c r="G594" i="1" s="1"/>
  <c r="J594" i="1" a="1"/>
  <c r="J594" i="1"/>
  <c r="H594" i="1" a="1"/>
  <c r="H594" i="1" s="1"/>
  <c r="G591" i="1" a="1"/>
  <c r="G591" i="1" s="1"/>
  <c r="H604" i="1" a="1"/>
  <c r="H604" i="1" s="1"/>
  <c r="K590" i="1" a="1"/>
  <c r="K590" i="1"/>
  <c r="J605" i="1" a="1"/>
  <c r="J605" i="1" s="1"/>
  <c r="G601" i="1" a="1"/>
  <c r="G601" i="1"/>
  <c r="H600" i="1" a="1"/>
  <c r="H600" i="1" s="1"/>
  <c r="F594" i="1" a="1"/>
  <c r="F594" i="1" s="1"/>
  <c r="J590" i="1" a="1"/>
  <c r="J590" i="1" s="1"/>
  <c r="I590" i="1" a="1"/>
  <c r="I590" i="1" s="1"/>
  <c r="K594" i="1" a="1"/>
  <c r="K594" i="1" s="1"/>
  <c r="K605" i="1" a="1"/>
  <c r="K605" i="1" s="1"/>
  <c r="H605" i="1" a="1"/>
  <c r="H605" i="1" s="1"/>
  <c r="I587" i="1" a="1"/>
  <c r="I587" i="1" s="1"/>
  <c r="G604" i="1" a="1"/>
  <c r="G604" i="1" s="1"/>
  <c r="F593" i="1" a="1"/>
  <c r="F593" i="1"/>
  <c r="H590" i="1" a="1"/>
  <c r="H590" i="1" s="1"/>
  <c r="G590" i="1" a="1"/>
  <c r="G590" i="1"/>
  <c r="H591" i="1" a="1"/>
  <c r="H591" i="1" s="1"/>
  <c r="J601" i="1" a="1"/>
  <c r="J601" i="1" s="1"/>
  <c r="I601" i="1" a="1"/>
  <c r="I601" i="1" s="1"/>
  <c r="K593" i="1" a="1"/>
  <c r="K593" i="1" s="1"/>
  <c r="I600" i="1" a="1"/>
  <c r="I600" i="1" s="1"/>
  <c r="I594" i="1" a="1"/>
  <c r="I594" i="1"/>
  <c r="J593" i="1" a="1"/>
  <c r="J593" i="1"/>
  <c r="I591" i="1" a="1"/>
  <c r="I591" i="1" s="1"/>
  <c r="F590" i="1" a="1"/>
  <c r="F590" i="1" s="1"/>
  <c r="J587" i="1" a="1"/>
  <c r="J587" i="1" s="1"/>
  <c r="H593" i="1" a="1"/>
  <c r="H593" i="1" s="1"/>
  <c r="F600" i="1" a="1"/>
  <c r="F600" i="1"/>
  <c r="J591" i="1" a="1"/>
  <c r="J591" i="1" s="1"/>
  <c r="H587" i="1" a="1"/>
  <c r="H587" i="1"/>
  <c r="K604" i="1" a="1"/>
  <c r="K604" i="1" s="1"/>
  <c r="F601" i="1" a="1"/>
  <c r="F601" i="1"/>
  <c r="I605" i="1" a="1"/>
  <c r="I605" i="1"/>
  <c r="F605" i="1" a="1"/>
  <c r="F605" i="1" s="1"/>
  <c r="I593" i="1" a="1"/>
  <c r="I593" i="1" s="1"/>
  <c r="G605" i="1" a="1"/>
  <c r="G605" i="1" s="1"/>
  <c r="J604" i="1" a="1"/>
  <c r="J604" i="1" s="1"/>
  <c r="F604" i="1" a="1"/>
  <c r="F604" i="1"/>
  <c r="H601" i="1" a="1"/>
  <c r="H601" i="1" s="1"/>
  <c r="F583" i="1" a="1"/>
  <c r="F583" i="1"/>
  <c r="K582" i="1" a="1"/>
  <c r="K582" i="1" s="1"/>
  <c r="H582" i="1" a="1"/>
  <c r="H582" i="1"/>
  <c r="F586" i="1" a="1"/>
  <c r="F586" i="1"/>
  <c r="G587" i="1" a="1"/>
  <c r="G587" i="1" s="1"/>
  <c r="F587" i="1" a="1"/>
  <c r="F587" i="1" s="1"/>
  <c r="K586" i="1" a="1"/>
  <c r="K586" i="1" s="1"/>
  <c r="I582" i="1" a="1"/>
  <c r="I582" i="1" s="1"/>
  <c r="J586" i="1" a="1"/>
  <c r="J586" i="1"/>
  <c r="I586" i="1" a="1"/>
  <c r="I586" i="1" s="1"/>
  <c r="H586" i="1" a="1"/>
  <c r="H586" i="1" s="1"/>
  <c r="G586" i="1" a="1"/>
  <c r="G586" i="1" s="1"/>
  <c r="J582" i="1" a="1"/>
  <c r="J582" i="1" s="1"/>
  <c r="F582" i="1" a="1"/>
  <c r="F582" i="1" s="1"/>
  <c r="K583" i="1" a="1"/>
  <c r="K583" i="1" s="1"/>
  <c r="J583" i="1" a="1"/>
  <c r="J583" i="1" s="1"/>
  <c r="G582" i="1" a="1"/>
  <c r="G582" i="1"/>
  <c r="I583" i="1" a="1"/>
  <c r="I583" i="1" s="1"/>
  <c r="H583" i="1" a="1"/>
  <c r="H583" i="1" s="1"/>
  <c r="G583" i="1" a="1"/>
  <c r="G583" i="1" s="1"/>
  <c r="H31" i="1" a="1"/>
  <c r="H31" i="1" s="1"/>
  <c r="G30" i="1" a="1"/>
  <c r="G30" i="1" s="1"/>
  <c r="G31" i="1" a="1"/>
  <c r="G31" i="1" s="1"/>
  <c r="I30" i="1" a="1"/>
  <c r="I30" i="1" s="1"/>
  <c r="J31" i="1" a="1"/>
  <c r="J31" i="1" s="1"/>
  <c r="J30" i="1" a="1"/>
  <c r="J30" i="1"/>
  <c r="K31" i="1" a="1"/>
  <c r="K31" i="1" s="1"/>
  <c r="H30" i="1" a="1"/>
  <c r="H30" i="1" s="1"/>
  <c r="K30" i="1" a="1"/>
  <c r="K30" i="1"/>
  <c r="I31" i="1" a="1"/>
  <c r="I31" i="1" s="1"/>
  <c r="F30" i="1" a="1"/>
  <c r="F30" i="1" s="1"/>
  <c r="F31" i="1" a="1"/>
  <c r="F31" i="1" s="1"/>
  <c r="K19" i="1"/>
  <c r="K18" i="1" s="1"/>
  <c r="J19" i="1"/>
  <c r="I19" i="1"/>
  <c r="I18" i="1" s="1"/>
  <c r="H19" i="1"/>
  <c r="H18" i="1" s="1"/>
  <c r="G19" i="1"/>
  <c r="G18" i="1" s="1"/>
  <c r="F19" i="1"/>
  <c r="F18" i="1" s="1"/>
  <c r="J18" i="1"/>
  <c r="I282" i="1" a="1"/>
  <c r="I282" i="1" s="1"/>
  <c r="I281" i="1" s="1"/>
  <c r="G282" i="1" a="1"/>
  <c r="G282" i="1" s="1"/>
  <c r="G281" i="1" s="1"/>
  <c r="J282" i="1" a="1"/>
  <c r="J282" i="1" s="1"/>
  <c r="J281" i="1" s="1"/>
  <c r="J380" i="1" s="1"/>
  <c r="J511" i="1" s="1"/>
  <c r="G273" i="1" a="1"/>
  <c r="G273" i="1" s="1"/>
  <c r="G272" i="1" s="1"/>
  <c r="J273" i="1" a="1"/>
  <c r="J273" i="1" s="1"/>
  <c r="J272" i="1" s="1"/>
  <c r="J361" i="1" s="1"/>
  <c r="J502" i="1" s="1"/>
  <c r="I273" i="1" a="1"/>
  <c r="I273" i="1"/>
  <c r="I272" i="1" s="1"/>
  <c r="I361" i="1" s="1"/>
  <c r="I502" i="1" s="1"/>
  <c r="H282" i="1" a="1"/>
  <c r="H282" i="1" s="1"/>
  <c r="K282" i="1" a="1"/>
  <c r="K282" i="1"/>
  <c r="K273" i="1" a="1"/>
  <c r="K273" i="1"/>
  <c r="K272" i="1" s="1"/>
  <c r="H273" i="1" a="1"/>
  <c r="H273" i="1" s="1"/>
  <c r="H272" i="1" s="1"/>
  <c r="H361" i="1" s="1"/>
  <c r="H502" i="1" s="1"/>
  <c r="F273" i="1" a="1"/>
  <c r="F273" i="1"/>
  <c r="F272" i="1" s="1"/>
  <c r="F361" i="1" s="1"/>
  <c r="F502" i="1" s="1"/>
  <c r="F282" i="1" a="1"/>
  <c r="F282" i="1" s="1"/>
  <c r="F281" i="1" s="1"/>
  <c r="F380" i="1" s="1"/>
  <c r="F511" i="1" s="1"/>
  <c r="J240" i="1" a="1"/>
  <c r="J240" i="1" s="1"/>
  <c r="J239" i="1" s="1"/>
  <c r="K197" i="1" a="1"/>
  <c r="K197" i="1" s="1"/>
  <c r="K360" i="1" s="1"/>
  <c r="K427" i="1" s="1"/>
  <c r="G240" i="1" a="1"/>
  <c r="G240" i="1" s="1"/>
  <c r="G239" i="1" s="1"/>
  <c r="F197" i="1" a="1"/>
  <c r="F197" i="1"/>
  <c r="F196" i="1" s="1"/>
  <c r="F359" i="1" s="1"/>
  <c r="F426" i="1" s="1"/>
  <c r="K240" i="1" a="1"/>
  <c r="K240" i="1" s="1"/>
  <c r="I240" i="1" a="1"/>
  <c r="I240" i="1"/>
  <c r="I239" i="1" s="1"/>
  <c r="I314" i="1" s="1"/>
  <c r="I469" i="1" s="1"/>
  <c r="H240" i="1" a="1"/>
  <c r="H240" i="1" s="1"/>
  <c r="F240" i="1" a="1"/>
  <c r="F240" i="1" s="1"/>
  <c r="F239" i="1" s="1"/>
  <c r="F314" i="1" s="1"/>
  <c r="F469" i="1" s="1"/>
  <c r="H197" i="1" a="1"/>
  <c r="H197" i="1" s="1"/>
  <c r="J197" i="1" a="1"/>
  <c r="J197" i="1" s="1"/>
  <c r="I197" i="1" a="1"/>
  <c r="I197" i="1" s="1"/>
  <c r="I196" i="1" s="1"/>
  <c r="I359" i="1" s="1"/>
  <c r="I426" i="1" s="1"/>
  <c r="G197" i="1" a="1"/>
  <c r="G197" i="1" s="1"/>
  <c r="G196" i="1" s="1"/>
  <c r="F137" i="1" a="1"/>
  <c r="F137" i="1" s="1"/>
  <c r="J137" i="1" a="1"/>
  <c r="J137" i="1" s="1"/>
  <c r="F139" i="1" a="1"/>
  <c r="F139" i="1" s="1"/>
  <c r="I137" i="1" a="1"/>
  <c r="I137" i="1" s="1"/>
  <c r="I138" i="1" a="1"/>
  <c r="I138" i="1" s="1"/>
  <c r="K136" i="1" a="1"/>
  <c r="K136" i="1" s="1"/>
  <c r="H138" i="1" a="1"/>
  <c r="H138" i="1" s="1"/>
  <c r="H137" i="1" a="1"/>
  <c r="H137" i="1" s="1"/>
  <c r="J136" i="1" a="1"/>
  <c r="J136" i="1" s="1"/>
  <c r="F136" i="1" a="1"/>
  <c r="F136" i="1" s="1"/>
  <c r="H136" i="1" a="1"/>
  <c r="H136" i="1" s="1"/>
  <c r="I139" i="1" a="1"/>
  <c r="I139" i="1" s="1"/>
  <c r="K138" i="1" a="1"/>
  <c r="K138" i="1" s="1"/>
  <c r="J138" i="1" a="1"/>
  <c r="J138" i="1" s="1"/>
  <c r="G136" i="1" a="1"/>
  <c r="G136" i="1" s="1"/>
  <c r="J139" i="1" a="1"/>
  <c r="J139" i="1" s="1"/>
  <c r="G137" i="1" a="1"/>
  <c r="G137" i="1" s="1"/>
  <c r="I136" i="1" a="1"/>
  <c r="I136" i="1" s="1"/>
  <c r="K139" i="1" a="1"/>
  <c r="K139" i="1" s="1"/>
  <c r="H139" i="1" a="1"/>
  <c r="H139" i="1" s="1"/>
  <c r="F138" i="1" a="1"/>
  <c r="F138" i="1" s="1"/>
  <c r="G139" i="1" a="1"/>
  <c r="G139" i="1" s="1"/>
  <c r="G138" i="1" a="1"/>
  <c r="G138" i="1" s="1"/>
  <c r="H58" i="1" a="1"/>
  <c r="H58" i="1" s="1"/>
  <c r="F60" i="1" a="1"/>
  <c r="F60" i="1" s="1"/>
  <c r="G57" i="1" a="1"/>
  <c r="G57" i="1" s="1"/>
  <c r="J57" i="1" a="1"/>
  <c r="J57" i="1" s="1"/>
  <c r="G59" i="1" a="1"/>
  <c r="G59" i="1" s="1"/>
  <c r="F57" i="1" a="1"/>
  <c r="F57" i="1" s="1"/>
  <c r="F58" i="1" a="1"/>
  <c r="F58" i="1" s="1"/>
  <c r="H60" i="1" a="1"/>
  <c r="H60" i="1" s="1"/>
  <c r="K60" i="1" a="1"/>
  <c r="K60" i="1" s="1"/>
  <c r="J60" i="1" a="1"/>
  <c r="J60" i="1" s="1"/>
  <c r="K58" i="1" a="1"/>
  <c r="K58" i="1" s="1"/>
  <c r="I59" i="1" a="1"/>
  <c r="I59" i="1" s="1"/>
  <c r="J58" i="1" a="1"/>
  <c r="J58" i="1" s="1"/>
  <c r="H57" i="1" a="1"/>
  <c r="H57" i="1" s="1"/>
  <c r="I60" i="1" a="1"/>
  <c r="I60" i="1" s="1"/>
  <c r="I58" i="1" a="1"/>
  <c r="I58" i="1" s="1"/>
  <c r="K59" i="1" a="1"/>
  <c r="K59" i="1" s="1"/>
  <c r="J59" i="1" a="1"/>
  <c r="J59" i="1" s="1"/>
  <c r="G60" i="1" a="1"/>
  <c r="G60" i="1"/>
  <c r="F59" i="1" a="1"/>
  <c r="F59" i="1" s="1"/>
  <c r="K57" i="1" a="1"/>
  <c r="K57" i="1" s="1"/>
  <c r="I57" i="1" a="1"/>
  <c r="I57" i="1" s="1"/>
  <c r="G58" i="1" a="1"/>
  <c r="G58" i="1" s="1"/>
  <c r="H59" i="1" a="1"/>
  <c r="H59" i="1" s="1"/>
  <c r="G52" i="1" a="1"/>
  <c r="G52" i="1" s="1"/>
  <c r="K51" i="1" a="1"/>
  <c r="K51" i="1" s="1"/>
  <c r="I51" i="1" a="1"/>
  <c r="I51" i="1" s="1"/>
  <c r="H51" i="1" a="1"/>
  <c r="H51" i="1" s="1"/>
  <c r="F51" i="1" a="1"/>
  <c r="F51" i="1"/>
  <c r="K50" i="1" a="1"/>
  <c r="K50" i="1" s="1"/>
  <c r="I50" i="1" a="1"/>
  <c r="I50" i="1" s="1"/>
  <c r="H52" i="1" a="1"/>
  <c r="H52" i="1" s="1"/>
  <c r="F52" i="1" a="1"/>
  <c r="F52" i="1" s="1"/>
  <c r="J51" i="1" a="1"/>
  <c r="J51" i="1" s="1"/>
  <c r="K53" i="1" a="1"/>
  <c r="K53" i="1"/>
  <c r="J53" i="1" a="1"/>
  <c r="J53" i="1" s="1"/>
  <c r="I53" i="1" a="1"/>
  <c r="I53" i="1" s="1"/>
  <c r="G53" i="1" a="1"/>
  <c r="G53" i="1" s="1"/>
  <c r="I52" i="1" a="1"/>
  <c r="I52" i="1" s="1"/>
  <c r="F53" i="1" a="1"/>
  <c r="F53" i="1" s="1"/>
  <c r="F50" i="1" a="1"/>
  <c r="F50" i="1" s="1"/>
  <c r="G51" i="1" a="1"/>
  <c r="G51" i="1" s="1"/>
  <c r="H50" i="1" a="1"/>
  <c r="H50" i="1" s="1"/>
  <c r="J52" i="1" a="1"/>
  <c r="J52" i="1" s="1"/>
  <c r="H53" i="1" a="1"/>
  <c r="H53" i="1" s="1"/>
  <c r="G50" i="1" a="1"/>
  <c r="G50" i="1" s="1"/>
  <c r="J50" i="1" a="1"/>
  <c r="J50" i="1" s="1"/>
  <c r="K52" i="1" a="1"/>
  <c r="K52" i="1" s="1"/>
  <c r="G13" i="1" a="1"/>
  <c r="G13" i="1" s="1"/>
  <c r="F13" i="1" a="1"/>
  <c r="F13" i="1" s="1"/>
  <c r="J13" i="1" a="1"/>
  <c r="J13" i="1" s="1"/>
  <c r="K15" i="1" a="1"/>
  <c r="K15" i="1" s="1"/>
  <c r="J15" i="1" a="1"/>
  <c r="J15" i="1" s="1"/>
  <c r="I15" i="1" a="1"/>
  <c r="I15" i="1" s="1"/>
  <c r="H15" i="1" a="1"/>
  <c r="H15" i="1" s="1"/>
  <c r="G15" i="1" a="1"/>
  <c r="G15" i="1" s="1"/>
  <c r="F15" i="1" a="1"/>
  <c r="F15" i="1" s="1"/>
  <c r="K14" i="1" a="1"/>
  <c r="K14" i="1" s="1"/>
  <c r="F14" i="1" a="1"/>
  <c r="F14" i="1" s="1"/>
  <c r="G14" i="1" a="1"/>
  <c r="G14" i="1" s="1"/>
  <c r="J14" i="1" a="1"/>
  <c r="J14" i="1" s="1"/>
  <c r="I14" i="1" a="1"/>
  <c r="I14" i="1" s="1"/>
  <c r="H14" i="1" a="1"/>
  <c r="H14" i="1" s="1"/>
  <c r="K13" i="1" a="1"/>
  <c r="K13" i="1" s="1"/>
  <c r="I13" i="1" a="1"/>
  <c r="I13" i="1" s="1"/>
  <c r="H13" i="1" a="1"/>
  <c r="H13" i="1" s="1"/>
  <c r="I54" i="1" a="1"/>
  <c r="I54" i="1" s="1"/>
  <c r="K54" i="1" a="1"/>
  <c r="K54" i="1" s="1"/>
  <c r="J54" i="1" a="1"/>
  <c r="J54" i="1" s="1"/>
  <c r="H54" i="1" a="1"/>
  <c r="H54" i="1" s="1"/>
  <c r="G48" i="1" a="1"/>
  <c r="G48" i="1" s="1"/>
  <c r="I42" i="1" a="1"/>
  <c r="I42" i="1" s="1"/>
  <c r="H43" i="1" a="1"/>
  <c r="H43" i="1" s="1"/>
  <c r="F43" i="1" a="1"/>
  <c r="F43" i="1" s="1"/>
  <c r="K48" i="1" a="1"/>
  <c r="K48" i="1" s="1"/>
  <c r="J48" i="1" a="1"/>
  <c r="J48" i="1" s="1"/>
  <c r="G43" i="1" a="1"/>
  <c r="G43" i="1" s="1"/>
  <c r="F48" i="1" a="1"/>
  <c r="F48" i="1" s="1"/>
  <c r="I43" i="1" a="1"/>
  <c r="I43" i="1" s="1"/>
  <c r="H42" i="1" a="1"/>
  <c r="H42" i="1" s="1"/>
  <c r="K43" i="1" a="1"/>
  <c r="K43" i="1"/>
  <c r="J42" i="1" a="1"/>
  <c r="J42" i="1" s="1"/>
  <c r="G54" i="1" a="1"/>
  <c r="G54" i="1"/>
  <c r="F54" i="1" a="1"/>
  <c r="F54" i="1" s="1"/>
  <c r="I48" i="1" a="1"/>
  <c r="I48" i="1" s="1"/>
  <c r="J43" i="1" a="1"/>
  <c r="J43" i="1" s="1"/>
  <c r="K42" i="1" a="1"/>
  <c r="K42" i="1" s="1"/>
  <c r="H48" i="1" a="1"/>
  <c r="H48" i="1" s="1"/>
  <c r="H41" i="1" a="1"/>
  <c r="H41" i="1" s="1"/>
  <c r="G41" i="1" a="1"/>
  <c r="G41" i="1" s="1"/>
  <c r="K28" i="1" a="1"/>
  <c r="K28" i="1"/>
  <c r="H28" i="1" a="1"/>
  <c r="H28" i="1" s="1"/>
  <c r="F41" i="1" a="1"/>
  <c r="F41" i="1" s="1"/>
  <c r="K27" i="1" a="1"/>
  <c r="K27" i="1" s="1"/>
  <c r="J27" i="1" a="1"/>
  <c r="J27" i="1" s="1"/>
  <c r="I28" i="1" a="1"/>
  <c r="I28" i="1" s="1"/>
  <c r="G27" i="1" a="1"/>
  <c r="G27" i="1" s="1"/>
  <c r="K26" i="1" a="1"/>
  <c r="K26" i="1" s="1"/>
  <c r="J28" i="1" a="1"/>
  <c r="J28" i="1" s="1"/>
  <c r="F27" i="1" a="1"/>
  <c r="F27" i="1" s="1"/>
  <c r="F28" i="1" a="1"/>
  <c r="F28" i="1" s="1"/>
  <c r="G42" i="1" a="1"/>
  <c r="G42" i="1" s="1"/>
  <c r="F42" i="1" a="1"/>
  <c r="F42" i="1"/>
  <c r="H27" i="1" a="1"/>
  <c r="H27" i="1" s="1"/>
  <c r="G28" i="1" a="1"/>
  <c r="G28" i="1" s="1"/>
  <c r="K41" i="1" a="1"/>
  <c r="K41" i="1" s="1"/>
  <c r="J41" i="1" a="1"/>
  <c r="J41" i="1" s="1"/>
  <c r="I41" i="1" a="1"/>
  <c r="I41" i="1" s="1"/>
  <c r="I27" i="1" a="1"/>
  <c r="I27" i="1" s="1"/>
  <c r="G16" i="1" a="1"/>
  <c r="G16" i="1" s="1"/>
  <c r="H24" i="1" a="1"/>
  <c r="H24" i="1" s="1"/>
  <c r="J21" i="1" a="1"/>
  <c r="J21" i="1" s="1"/>
  <c r="K16" i="1" a="1"/>
  <c r="K16" i="1"/>
  <c r="F17" i="1" a="1"/>
  <c r="F17" i="1" s="1"/>
  <c r="F16" i="1" a="1"/>
  <c r="F16" i="1" s="1"/>
  <c r="F24" i="1" a="1"/>
  <c r="F24" i="1" s="1"/>
  <c r="J16" i="1" a="1"/>
  <c r="J16" i="1" s="1"/>
  <c r="H21" i="1" a="1"/>
  <c r="H21" i="1" s="1"/>
  <c r="G24" i="1" a="1"/>
  <c r="G24" i="1"/>
  <c r="G21" i="1" a="1"/>
  <c r="G21" i="1" s="1"/>
  <c r="J26" i="1" a="1"/>
  <c r="J26" i="1" s="1"/>
  <c r="I21" i="1" a="1"/>
  <c r="I21" i="1" s="1"/>
  <c r="J17" i="1" a="1"/>
  <c r="J17" i="1" s="1"/>
  <c r="I26" i="1" a="1"/>
  <c r="I26" i="1" s="1"/>
  <c r="H26" i="1" a="1"/>
  <c r="H26" i="1" s="1"/>
  <c r="J24" i="1" a="1"/>
  <c r="J24" i="1" s="1"/>
  <c r="I17" i="1" a="1"/>
  <c r="I17" i="1" s="1"/>
  <c r="G26" i="1" a="1"/>
  <c r="G26" i="1" s="1"/>
  <c r="H16" i="1" a="1"/>
  <c r="H16" i="1"/>
  <c r="K21" i="1" a="1"/>
  <c r="K21" i="1" s="1"/>
  <c r="F26" i="1" a="1"/>
  <c r="F26" i="1"/>
  <c r="K25" i="1" a="1"/>
  <c r="K25" i="1" s="1"/>
  <c r="J25" i="1" a="1"/>
  <c r="J25" i="1" s="1"/>
  <c r="I25" i="1" a="1"/>
  <c r="I25" i="1" s="1"/>
  <c r="I16" i="1" a="1"/>
  <c r="I16" i="1" s="1"/>
  <c r="K17" i="1" a="1"/>
  <c r="K17" i="1" s="1"/>
  <c r="G17" i="1" a="1"/>
  <c r="G17" i="1" s="1"/>
  <c r="H17" i="1" a="1"/>
  <c r="H17" i="1" s="1"/>
  <c r="I24" i="1" a="1"/>
  <c r="I24" i="1" s="1"/>
  <c r="H25" i="1" a="1"/>
  <c r="H25" i="1" s="1"/>
  <c r="G25" i="1" a="1"/>
  <c r="G25" i="1" s="1"/>
  <c r="F25" i="1" a="1"/>
  <c r="F25" i="1" s="1"/>
  <c r="K24" i="1" a="1"/>
  <c r="K24" i="1"/>
  <c r="F21" i="1" a="1"/>
  <c r="F21" i="1" s="1"/>
  <c r="I9" i="1" a="1"/>
  <c r="I9" i="1" s="1"/>
  <c r="H5" i="1" a="1"/>
  <c r="H5" i="1" s="1"/>
  <c r="I11" i="1" a="1"/>
  <c r="I11" i="1" s="1"/>
  <c r="K9" i="1" a="1"/>
  <c r="K9" i="1" s="1"/>
  <c r="J6" i="1" a="1"/>
  <c r="J6" i="1" s="1"/>
  <c r="H11" i="1" a="1"/>
  <c r="H11" i="1" s="1"/>
  <c r="F5" i="1" a="1"/>
  <c r="F5" i="1" s="1"/>
  <c r="J4" i="1" a="1"/>
  <c r="J4" i="1" s="1"/>
  <c r="F11" i="1" a="1"/>
  <c r="F11" i="1"/>
  <c r="J10" i="1" a="1"/>
  <c r="J10" i="1" s="1"/>
  <c r="I10" i="1" a="1"/>
  <c r="I10" i="1" s="1"/>
  <c r="F10" i="1" a="1"/>
  <c r="F10" i="1" s="1"/>
  <c r="K5" i="1" a="1"/>
  <c r="K5" i="1" s="1"/>
  <c r="I5" i="1" a="1"/>
  <c r="I5" i="1" s="1"/>
  <c r="K4" i="1" a="1"/>
  <c r="K4" i="1" s="1"/>
  <c r="K6" i="1" a="1"/>
  <c r="K6" i="1" s="1"/>
  <c r="G6" i="1" a="1"/>
  <c r="G6" i="1" s="1"/>
  <c r="G5" i="1" a="1"/>
  <c r="G5" i="1" s="1"/>
  <c r="I7" i="1" a="1"/>
  <c r="I7" i="1"/>
  <c r="H6" i="1" a="1"/>
  <c r="H6" i="1" s="1"/>
  <c r="G7" i="1" a="1"/>
  <c r="G7" i="1" s="1"/>
  <c r="F7" i="1" a="1"/>
  <c r="F7" i="1" s="1"/>
  <c r="K7" i="1" a="1"/>
  <c r="K7" i="1" s="1"/>
  <c r="H10" i="1" a="1"/>
  <c r="H10" i="1" s="1"/>
  <c r="H9" i="1" a="1"/>
  <c r="H9" i="1" s="1"/>
  <c r="I6" i="1" a="1"/>
  <c r="I6" i="1" s="1"/>
  <c r="F6" i="1" a="1"/>
  <c r="F6" i="1" s="1"/>
  <c r="J5" i="1" a="1"/>
  <c r="J5" i="1" s="1"/>
  <c r="K10" i="1" a="1"/>
  <c r="K10" i="1"/>
  <c r="G9" i="1" a="1"/>
  <c r="G9" i="1" s="1"/>
  <c r="J9" i="1" a="1"/>
  <c r="J9" i="1" s="1"/>
  <c r="H7" i="1" a="1"/>
  <c r="H7" i="1" s="1"/>
  <c r="J7" i="1" a="1"/>
  <c r="J7" i="1" s="1"/>
  <c r="F9" i="1" a="1"/>
  <c r="F9" i="1" s="1"/>
  <c r="G10" i="1" a="1"/>
  <c r="G10" i="1"/>
  <c r="K11" i="1" a="1"/>
  <c r="K11" i="1" s="1"/>
  <c r="G11" i="1" a="1"/>
  <c r="G11" i="1" s="1"/>
  <c r="J11" i="1" a="1"/>
  <c r="J11" i="1" s="1"/>
  <c r="I4" i="1" a="1"/>
  <c r="I4" i="1" s="1"/>
  <c r="H4" i="1" a="1"/>
  <c r="H4" i="1" s="1"/>
  <c r="G4" i="1" a="1"/>
  <c r="G4" i="1" s="1"/>
  <c r="F4" i="1" a="1"/>
  <c r="F4" i="1" s="1"/>
  <c r="F322" i="1" l="1"/>
  <c r="F477" i="1" s="1"/>
  <c r="F126" i="1"/>
  <c r="G119" i="1"/>
  <c r="F122" i="1"/>
  <c r="K317" i="1"/>
  <c r="K472" i="1" s="1"/>
  <c r="K312" i="1"/>
  <c r="K417" i="1" s="1"/>
  <c r="G318" i="1"/>
  <c r="G473" i="1" s="1"/>
  <c r="I319" i="1"/>
  <c r="I474" i="1" s="1"/>
  <c r="K320" i="1"/>
  <c r="K475" i="1" s="1"/>
  <c r="G382" i="1"/>
  <c r="G513" i="1" s="1"/>
  <c r="I383" i="1"/>
  <c r="I514" i="1" s="1"/>
  <c r="G398" i="1"/>
  <c r="G518" i="1" s="1"/>
  <c r="G298" i="1"/>
  <c r="G411" i="1" s="1"/>
  <c r="G317" i="1"/>
  <c r="G472" i="1" s="1"/>
  <c r="K323" i="1"/>
  <c r="K478" i="1" s="1"/>
  <c r="G383" i="1"/>
  <c r="G514" i="1" s="1"/>
  <c r="I384" i="1"/>
  <c r="I515" i="1" s="1"/>
  <c r="F313" i="1"/>
  <c r="F418" i="1" s="1"/>
  <c r="H318" i="1"/>
  <c r="H473" i="1" s="1"/>
  <c r="J319" i="1"/>
  <c r="J474" i="1" s="1"/>
  <c r="H322" i="1"/>
  <c r="H477" i="1" s="1"/>
  <c r="J323" i="1"/>
  <c r="J478" i="1" s="1"/>
  <c r="H378" i="1"/>
  <c r="H435" i="1" s="1"/>
  <c r="J383" i="1"/>
  <c r="J514" i="1" s="1"/>
  <c r="J312" i="1"/>
  <c r="J417" i="1" s="1"/>
  <c r="J384" i="1"/>
  <c r="J515" i="1" s="1"/>
  <c r="F120" i="1"/>
  <c r="H313" i="1"/>
  <c r="H418" i="1" s="1"/>
  <c r="H319" i="1"/>
  <c r="H474" i="1" s="1"/>
  <c r="I318" i="1"/>
  <c r="I473" i="1" s="1"/>
  <c r="I122" i="1"/>
  <c r="G362" i="1"/>
  <c r="I120" i="1"/>
  <c r="G123" i="1"/>
  <c r="K313" i="1"/>
  <c r="K418" i="1" s="1"/>
  <c r="H362" i="1"/>
  <c r="J378" i="1"/>
  <c r="J435" i="1" s="1"/>
  <c r="F396" i="1"/>
  <c r="F437" i="1" s="1"/>
  <c r="G378" i="1"/>
  <c r="G435" i="1" s="1"/>
  <c r="I298" i="1"/>
  <c r="I411" i="1" s="1"/>
  <c r="G312" i="1"/>
  <c r="G417" i="1" s="1"/>
  <c r="I121" i="1"/>
  <c r="I317" i="1"/>
  <c r="I472" i="1" s="1"/>
  <c r="G320" i="1"/>
  <c r="G475" i="1" s="1"/>
  <c r="I321" i="1"/>
  <c r="I476" i="1" s="1"/>
  <c r="I362" i="1"/>
  <c r="G384" i="1"/>
  <c r="G515" i="1" s="1"/>
  <c r="I397" i="1"/>
  <c r="I517" i="1" s="1"/>
  <c r="G323" i="1"/>
  <c r="G478" i="1" s="1"/>
  <c r="I398" i="1"/>
  <c r="I518" i="1" s="1"/>
  <c r="K123" i="1"/>
  <c r="I322" i="1"/>
  <c r="I477" i="1" s="1"/>
  <c r="J298" i="1"/>
  <c r="J411" i="1" s="1"/>
  <c r="H312" i="1"/>
  <c r="H417" i="1" s="1"/>
  <c r="J313" i="1"/>
  <c r="J418" i="1" s="1"/>
  <c r="J117" i="1"/>
  <c r="H316" i="1"/>
  <c r="H471" i="1" s="1"/>
  <c r="H120" i="1"/>
  <c r="J321" i="1"/>
  <c r="J476" i="1" s="1"/>
  <c r="F323" i="1"/>
  <c r="F478" i="1" s="1"/>
  <c r="F360" i="1"/>
  <c r="F427" i="1" s="1"/>
  <c r="J397" i="1"/>
  <c r="J517" i="1" s="1"/>
  <c r="K396" i="1"/>
  <c r="K437" i="1" s="1"/>
  <c r="J316" i="1"/>
  <c r="J471" i="1" s="1"/>
  <c r="H397" i="1"/>
  <c r="H517" i="1" s="1"/>
  <c r="F124" i="1"/>
  <c r="K316" i="1"/>
  <c r="K471" i="1" s="1"/>
  <c r="H323" i="1"/>
  <c r="H478" i="1" s="1"/>
  <c r="F397" i="1"/>
  <c r="F517" i="1" s="1"/>
  <c r="J897" i="1"/>
  <c r="I781" i="1"/>
  <c r="F781" i="1"/>
  <c r="G359" i="1"/>
  <c r="G426" i="1" s="1"/>
  <c r="K239" i="1"/>
  <c r="K315" i="1"/>
  <c r="K470" i="1" s="1"/>
  <c r="H784" i="1"/>
  <c r="H785" i="1" s="1"/>
  <c r="H781" i="1"/>
  <c r="H381" i="1"/>
  <c r="H512" i="1" s="1"/>
  <c r="H281" i="1"/>
  <c r="H196" i="1"/>
  <c r="H360" i="1"/>
  <c r="H427" i="1" s="1"/>
  <c r="K724" i="1" a="1"/>
  <c r="K724" i="1" s="1"/>
  <c r="K726" i="1" s="1" a="1"/>
  <c r="K726" i="1" s="1"/>
  <c r="K740" i="1" a="1"/>
  <c r="K740" i="1" s="1"/>
  <c r="K742" i="1" s="1" a="1"/>
  <c r="K742" i="1" s="1"/>
  <c r="H239" i="1"/>
  <c r="H314" i="1" s="1"/>
  <c r="H469" i="1" s="1"/>
  <c r="H315" i="1"/>
  <c r="H470" i="1" s="1"/>
  <c r="K196" i="1"/>
  <c r="K359" i="1" s="1"/>
  <c r="K426" i="1" s="1"/>
  <c r="G314" i="1"/>
  <c r="G469" i="1" s="1"/>
  <c r="G118" i="1"/>
  <c r="I360" i="1"/>
  <c r="I427" i="1" s="1"/>
  <c r="I315" i="1"/>
  <c r="I470" i="1" s="1"/>
  <c r="J784" i="1"/>
  <c r="J785" i="1" s="1"/>
  <c r="J781" i="1"/>
  <c r="G116" i="1"/>
  <c r="J314" i="1"/>
  <c r="J469" i="1" s="1"/>
  <c r="H116" i="1"/>
  <c r="J740" i="1" a="1"/>
  <c r="J740" i="1" s="1"/>
  <c r="J742" i="1" s="1" a="1"/>
  <c r="J742" i="1" s="1"/>
  <c r="J724" i="1" a="1"/>
  <c r="J724" i="1" s="1"/>
  <c r="J726" i="1" s="1" a="1"/>
  <c r="J726" i="1" s="1"/>
  <c r="K314" i="1"/>
  <c r="K469" i="1" s="1"/>
  <c r="G361" i="1"/>
  <c r="G502" i="1" s="1"/>
  <c r="F315" i="1"/>
  <c r="F470" i="1" s="1"/>
  <c r="K116" i="1"/>
  <c r="J196" i="1"/>
  <c r="J359" i="1" s="1"/>
  <c r="J426" i="1" s="1"/>
  <c r="J360" i="1"/>
  <c r="J427" i="1" s="1"/>
  <c r="K281" i="1"/>
  <c r="K380" i="1" s="1"/>
  <c r="K511" i="1" s="1"/>
  <c r="K381" i="1"/>
  <c r="K512" i="1" s="1"/>
  <c r="F724" i="1" a="1"/>
  <c r="F724" i="1" s="1"/>
  <c r="F726" i="1" s="1" a="1"/>
  <c r="F726" i="1" s="1"/>
  <c r="K361" i="1"/>
  <c r="K502" i="1" s="1"/>
  <c r="G380" i="1"/>
  <c r="G511" i="1" s="1"/>
  <c r="I123" i="1"/>
  <c r="G724" i="1" a="1"/>
  <c r="G724" i="1" s="1"/>
  <c r="G726" i="1" s="1" a="1"/>
  <c r="G726" i="1" s="1"/>
  <c r="G740" i="1" a="1"/>
  <c r="G740" i="1" s="1"/>
  <c r="G742" i="1" s="1" a="1"/>
  <c r="G742" i="1" s="1"/>
  <c r="J315" i="1"/>
  <c r="J470" i="1" s="1"/>
  <c r="F362" i="1"/>
  <c r="H380" i="1"/>
  <c r="H511" i="1" s="1"/>
  <c r="K318" i="1"/>
  <c r="K473" i="1" s="1"/>
  <c r="I312" i="1"/>
  <c r="I417" i="1" s="1"/>
  <c r="I380" i="1"/>
  <c r="I511" i="1" s="1"/>
  <c r="K397" i="1"/>
  <c r="K517" i="1" s="1"/>
  <c r="F319" i="1"/>
  <c r="F474" i="1" s="1"/>
  <c r="G381" i="1"/>
  <c r="G512" i="1" s="1"/>
  <c r="G120" i="1"/>
  <c r="G316" i="1"/>
  <c r="G471" i="1" s="1"/>
  <c r="I381" i="1"/>
  <c r="I512" i="1" s="1"/>
  <c r="F740" i="1" a="1"/>
  <c r="F740" i="1" s="1"/>
  <c r="F742" i="1" s="1" a="1"/>
  <c r="F742" i="1" s="1"/>
  <c r="J119" i="1"/>
  <c r="G313" i="1"/>
  <c r="G418" i="1" s="1"/>
  <c r="K362" i="1"/>
  <c r="H126" i="1"/>
  <c r="G322" i="1"/>
  <c r="G477" i="1" s="1"/>
  <c r="G784" i="1"/>
  <c r="G785" i="1" s="1"/>
  <c r="G781" i="1"/>
  <c r="F923" i="1"/>
  <c r="F922" i="1" s="1"/>
  <c r="F893" i="1"/>
  <c r="I740" i="1" a="1"/>
  <c r="I740" i="1" s="1"/>
  <c r="I742" i="1" s="1" a="1"/>
  <c r="I742" i="1" s="1"/>
  <c r="F317" i="1"/>
  <c r="F472" i="1" s="1"/>
  <c r="F121" i="1"/>
  <c r="J381" i="1"/>
  <c r="J512" i="1" s="1"/>
  <c r="J127" i="1"/>
  <c r="G360" i="1"/>
  <c r="G427" i="1" s="1"/>
  <c r="K322" i="1"/>
  <c r="K477" i="1" s="1"/>
  <c r="G117" i="1"/>
  <c r="I323" i="1"/>
  <c r="I478" i="1" s="1"/>
  <c r="I923" i="1"/>
  <c r="I922" i="1" s="1"/>
  <c r="I897" i="1"/>
  <c r="I901" i="1"/>
  <c r="H740" i="1" a="1"/>
  <c r="H740" i="1" s="1"/>
  <c r="H742" i="1" s="1" a="1"/>
  <c r="H742" i="1" s="1"/>
  <c r="I124" i="1"/>
  <c r="J320" i="1"/>
  <c r="J475" i="1" s="1"/>
  <c r="J118" i="1"/>
  <c r="G122" i="1"/>
  <c r="K781" i="1"/>
  <c r="G900" i="1"/>
  <c r="H900" i="1"/>
  <c r="F127" i="1"/>
  <c r="I900" i="1"/>
  <c r="K897" i="1"/>
  <c r="J123" i="1"/>
  <c r="H923" i="1"/>
  <c r="H922" i="1" s="1"/>
  <c r="H901" i="1"/>
  <c r="H359" i="1"/>
  <c r="H426" i="1" s="1"/>
  <c r="J362" i="1"/>
  <c r="F381" i="1"/>
  <c r="F512" i="1" s="1"/>
  <c r="H384" i="1"/>
  <c r="H515" i="1" s="1"/>
  <c r="F117" i="1"/>
  <c r="K923" i="1"/>
  <c r="K922" i="1" s="1"/>
  <c r="K901" i="1"/>
  <c r="K900" i="1"/>
  <c r="G923" i="1"/>
  <c r="G922" i="1" s="1"/>
  <c r="G901" i="1"/>
  <c r="J900" i="1"/>
  <c r="G897" i="1"/>
  <c r="J901" i="1"/>
  <c r="H897" i="1"/>
  <c r="F900" i="1" l="1"/>
  <c r="F897" i="1"/>
  <c r="F901" i="1"/>
  <c r="K1753" i="1" l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G1702" i="1" l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F1651" i="1" l="1"/>
  <c r="G1651" i="1"/>
  <c r="H1651" i="1"/>
  <c r="I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I1657" i="1" l="1"/>
  <c r="H1657" i="1"/>
  <c r="G1657" i="1"/>
  <c r="F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F1616" i="1" l="1"/>
  <c r="G1569" i="1"/>
  <c r="H1569" i="1"/>
  <c r="I1569" i="1"/>
  <c r="G1616" i="1"/>
  <c r="H1616" i="1"/>
  <c r="I1616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601" i="1" l="1"/>
  <c r="G1561" i="1"/>
  <c r="I1608" i="1"/>
  <c r="F1601" i="1"/>
  <c r="F1561" i="1"/>
  <c r="I1561" i="1"/>
  <c r="H1561" i="1"/>
  <c r="G1601" i="1"/>
  <c r="H1554" i="1"/>
  <c r="G1554" i="1"/>
  <c r="H1608" i="1"/>
  <c r="I1601" i="1"/>
  <c r="G1608" i="1"/>
  <c r="I1554" i="1"/>
  <c r="F1608" i="1"/>
  <c r="F1554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H1510" i="1" l="1"/>
  <c r="G1510" i="1"/>
  <c r="H1427" i="1"/>
  <c r="F1510" i="1"/>
  <c r="F1413" i="1"/>
  <c r="I1510" i="1"/>
  <c r="H1413" i="1"/>
  <c r="F1427" i="1"/>
  <c r="G1427" i="1"/>
  <c r="I1427" i="1"/>
  <c r="G1413" i="1"/>
  <c r="I1413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29" i="1" l="1"/>
  <c r="H1329" i="1"/>
  <c r="F1329" i="1"/>
  <c r="I1343" i="1"/>
  <c r="I1329" i="1"/>
  <c r="F1343" i="1"/>
  <c r="H1343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H1182" i="1" l="1"/>
  <c r="I1205" i="1"/>
  <c r="G1205" i="1"/>
  <c r="G1182" i="1"/>
  <c r="I1182" i="1"/>
  <c r="F1205" i="1"/>
  <c r="F1182" i="1"/>
  <c r="H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G1159" i="1"/>
  <c r="I1159" i="1"/>
  <c r="F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J1012" i="1" s="1"/>
  <c r="J1009" i="1" s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K1005" i="1" l="1"/>
  <c r="K1124" i="1" s="1"/>
  <c r="J1005" i="1"/>
  <c r="J1124" i="1" s="1"/>
  <c r="J1002" i="1"/>
  <c r="J999" i="1" s="1"/>
  <c r="K1012" i="1"/>
  <c r="K1009" i="1" s="1"/>
  <c r="J1003" i="1"/>
  <c r="J1000" i="1" s="1"/>
  <c r="G1005" i="1"/>
  <c r="G1124" i="1" s="1"/>
  <c r="K1002" i="1"/>
  <c r="K999" i="1" s="1"/>
  <c r="K998" i="1" s="1"/>
  <c r="I1002" i="1"/>
  <c r="I999" i="1" s="1"/>
  <c r="I998" i="1" s="1"/>
  <c r="J1050" i="1"/>
  <c r="J1047" i="1" s="1"/>
  <c r="J1048" i="1" s="1"/>
  <c r="G1050" i="1"/>
  <c r="G1047" i="1" s="1"/>
  <c r="G1048" i="1" s="1"/>
  <c r="H1050" i="1"/>
  <c r="H1047" i="1" s="1"/>
  <c r="H104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4" i="1" l="1"/>
  <c r="J1004" i="1"/>
  <c r="K1011" i="1"/>
  <c r="K1008" i="1" s="1"/>
  <c r="K1007" i="1" s="1"/>
  <c r="J1011" i="1"/>
  <c r="J1008" i="1" s="1"/>
  <c r="J1007" i="1" s="1"/>
  <c r="K1001" i="1"/>
  <c r="I1001" i="1"/>
  <c r="J998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10" i="1" l="1"/>
  <c r="K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B708" i="1"/>
  <c r="E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C702" i="1" l="1"/>
  <c r="C708" i="1" s="1"/>
  <c r="C707" i="1"/>
  <c r="F713" i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C703" i="1" l="1"/>
  <c r="C709" i="1" s="1"/>
  <c r="F712" i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K736" i="1" l="1" a="1"/>
  <c r="K736" i="1" s="1"/>
  <c r="K734" i="1" a="1"/>
  <c r="K734" i="1" s="1"/>
  <c r="J734" i="1" a="1"/>
  <c r="J734" i="1" s="1"/>
  <c r="J743" i="1" s="1"/>
  <c r="J736" i="1" a="1"/>
  <c r="J736" i="1" s="1"/>
  <c r="J75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632" i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507" i="1"/>
  <c r="B1508" i="1" s="1"/>
  <c r="B1509" i="1" s="1"/>
  <c r="B1510" i="1" s="1"/>
  <c r="K581" i="1" l="1"/>
  <c r="J581" i="1"/>
  <c r="I581" i="1"/>
  <c r="H581" i="1"/>
  <c r="G581" i="1"/>
  <c r="F581" i="1"/>
  <c r="G441" i="1" l="1"/>
  <c r="F441" i="1"/>
  <c r="H441" i="1"/>
  <c r="I441" i="1"/>
  <c r="J441" i="1"/>
  <c r="K441" i="1"/>
  <c r="F890" i="1" l="1"/>
  <c r="G890" i="1"/>
  <c r="H890" i="1"/>
  <c r="I890" i="1"/>
  <c r="J890" i="1"/>
  <c r="K890" i="1"/>
  <c r="G889" i="1" l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I885" i="1" l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K921" i="1" l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K1093" i="1" s="1"/>
  <c r="H1041" i="1"/>
  <c r="H1068" i="1" s="1"/>
  <c r="G1041" i="1"/>
  <c r="G1068" i="1" s="1"/>
  <c r="F1041" i="1"/>
  <c r="F1093" i="1" s="1"/>
  <c r="I1094" i="1"/>
  <c r="I1093" i="1"/>
  <c r="I1095" i="1"/>
  <c r="J1093" i="1"/>
  <c r="J1095" i="1"/>
  <c r="J1094" i="1"/>
  <c r="I1045" i="1"/>
  <c r="I1069" i="1"/>
  <c r="I1068" i="1"/>
  <c r="I1067" i="1"/>
  <c r="J1045" i="1"/>
  <c r="J1068" i="1"/>
  <c r="J1067" i="1"/>
  <c r="J1069" i="1"/>
  <c r="K1045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K1069" i="1" l="1"/>
  <c r="K1067" i="1"/>
  <c r="K1068" i="1"/>
  <c r="G1045" i="1"/>
  <c r="K1095" i="1"/>
  <c r="G1093" i="1"/>
  <c r="K1094" i="1"/>
  <c r="H1093" i="1"/>
  <c r="G1094" i="1"/>
  <c r="G1095" i="1"/>
  <c r="H1067" i="1"/>
  <c r="H1069" i="1"/>
  <c r="H1045" i="1"/>
  <c r="H1094" i="1"/>
  <c r="G1069" i="1"/>
  <c r="H1095" i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F1731" i="1" l="1"/>
  <c r="F1615" i="1"/>
  <c r="F1614" i="1" s="1"/>
  <c r="F1613" i="1" s="1"/>
  <c r="F1568" i="1"/>
  <c r="F1567" i="1" s="1"/>
  <c r="F1566" i="1" s="1"/>
  <c r="F1426" i="1"/>
  <c r="F1425" i="1" s="1"/>
  <c r="F1424" i="1" s="1"/>
  <c r="F1342" i="1"/>
  <c r="F1341" i="1" s="1"/>
  <c r="F1340" i="1" s="1"/>
  <c r="F1204" i="1"/>
  <c r="F1203" i="1" s="1"/>
  <c r="G1731" i="1"/>
  <c r="G1568" i="1"/>
  <c r="G1567" i="1" s="1"/>
  <c r="G1566" i="1" s="1"/>
  <c r="G1615" i="1"/>
  <c r="G1614" i="1" s="1"/>
  <c r="G1613" i="1" s="1"/>
  <c r="G1426" i="1"/>
  <c r="G1425" i="1" s="1"/>
  <c r="G1424" i="1" s="1"/>
  <c r="G1342" i="1"/>
  <c r="G1341" i="1" s="1"/>
  <c r="G1340" i="1" s="1"/>
  <c r="G1204" i="1"/>
  <c r="G1203" i="1" s="1"/>
  <c r="G1202" i="1" s="1"/>
  <c r="H1731" i="1"/>
  <c r="H1615" i="1"/>
  <c r="H1614" i="1" s="1"/>
  <c r="H1613" i="1" s="1"/>
  <c r="H1568" i="1"/>
  <c r="H1567" i="1" s="1"/>
  <c r="H1566" i="1" s="1"/>
  <c r="H1426" i="1"/>
  <c r="H1425" i="1" s="1"/>
  <c r="H1424" i="1" s="1"/>
  <c r="H1342" i="1"/>
  <c r="H1341" i="1" s="1"/>
  <c r="H1340" i="1" s="1"/>
  <c r="H1204" i="1"/>
  <c r="H1203" i="1" s="1"/>
  <c r="H1202" i="1" s="1"/>
  <c r="I1731" i="1"/>
  <c r="I1615" i="1"/>
  <c r="I1614" i="1" s="1"/>
  <c r="I1613" i="1" s="1"/>
  <c r="I1568" i="1"/>
  <c r="I1567" i="1" s="1"/>
  <c r="I1566" i="1" s="1"/>
  <c r="I1426" i="1"/>
  <c r="I1425" i="1" s="1"/>
  <c r="I1424" i="1" s="1"/>
  <c r="I1342" i="1"/>
  <c r="I1341" i="1" s="1"/>
  <c r="I1340" i="1" s="1"/>
  <c r="I1204" i="1"/>
  <c r="I1203" i="1" s="1"/>
  <c r="I1202" i="1" s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731" i="1" l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K1615" i="1" s="1"/>
  <c r="J47" i="1"/>
  <c r="J1568" i="1" s="1"/>
  <c r="J1204" i="1" l="1"/>
  <c r="J1342" i="1"/>
  <c r="J1426" i="1"/>
  <c r="J1615" i="1"/>
  <c r="K1342" i="1"/>
  <c r="K1427" i="1"/>
  <c r="K1343" i="1"/>
  <c r="K1616" i="1"/>
  <c r="K1614" i="1" s="1"/>
  <c r="K1613" i="1" s="1"/>
  <c r="K1205" i="1"/>
  <c r="K1569" i="1"/>
  <c r="K1733" i="1"/>
  <c r="K1204" i="1"/>
  <c r="K1426" i="1"/>
  <c r="K1568" i="1"/>
  <c r="J1205" i="1"/>
  <c r="J1569" i="1"/>
  <c r="J1567" i="1" s="1"/>
  <c r="J1566" i="1" s="1"/>
  <c r="J1616" i="1"/>
  <c r="J1427" i="1"/>
  <c r="J134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J1614" i="1" l="1"/>
  <c r="J1613" i="1" s="1"/>
  <c r="K1567" i="1"/>
  <c r="K1566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I8" i="1"/>
  <c r="I1742" i="1" s="1"/>
  <c r="H1720" i="1" l="1"/>
  <c r="H1650" i="1"/>
  <c r="H1649" i="1" s="1"/>
  <c r="H1600" i="1"/>
  <c r="H1599" i="1" s="1"/>
  <c r="H1598" i="1" s="1"/>
  <c r="H1553" i="1"/>
  <c r="H1552" i="1" s="1"/>
  <c r="H1551" i="1" s="1"/>
  <c r="H1509" i="1"/>
  <c r="H1158" i="1"/>
  <c r="H1157" i="1" s="1"/>
  <c r="H1156" i="1" s="1"/>
  <c r="I1720" i="1"/>
  <c r="I1650" i="1"/>
  <c r="I1649" i="1" s="1"/>
  <c r="I1600" i="1"/>
  <c r="I1599" i="1" s="1"/>
  <c r="I1598" i="1" s="1"/>
  <c r="I1553" i="1"/>
  <c r="I1552" i="1" s="1"/>
  <c r="I1551" i="1" s="1"/>
  <c r="I1509" i="1"/>
  <c r="I1508" i="1" s="1"/>
  <c r="I1507" i="1" s="1"/>
  <c r="I1158" i="1"/>
  <c r="I1157" i="1" s="1"/>
  <c r="I1156" i="1" s="1"/>
  <c r="F1720" i="1"/>
  <c r="F1650" i="1"/>
  <c r="F1649" i="1" s="1"/>
  <c r="F1600" i="1"/>
  <c r="F1599" i="1" s="1"/>
  <c r="F1598" i="1" s="1"/>
  <c r="F1553" i="1"/>
  <c r="F1552" i="1" s="1"/>
  <c r="F1551" i="1" s="1"/>
  <c r="F1509" i="1"/>
  <c r="F1508" i="1" s="1"/>
  <c r="F1507" i="1" s="1"/>
  <c r="F1158" i="1"/>
  <c r="F1157" i="1" s="1"/>
  <c r="F1156" i="1" s="1"/>
  <c r="H1719" i="1"/>
  <c r="H1656" i="1"/>
  <c r="H1607" i="1"/>
  <c r="H1606" i="1" s="1"/>
  <c r="H1605" i="1" s="1"/>
  <c r="H1560" i="1"/>
  <c r="H1559" i="1" s="1"/>
  <c r="H1558" i="1" s="1"/>
  <c r="H1412" i="1"/>
  <c r="H1411" i="1" s="1"/>
  <c r="H1410" i="1" s="1"/>
  <c r="H1328" i="1"/>
  <c r="H1327" i="1" s="1"/>
  <c r="H1326" i="1" s="1"/>
  <c r="H1181" i="1"/>
  <c r="H1180" i="1" s="1"/>
  <c r="H1179" i="1" s="1"/>
  <c r="G1720" i="1"/>
  <c r="G1650" i="1"/>
  <c r="G1649" i="1" s="1"/>
  <c r="G1600" i="1"/>
  <c r="G1599" i="1" s="1"/>
  <c r="G1598" i="1" s="1"/>
  <c r="G1553" i="1"/>
  <c r="G1552" i="1" s="1"/>
  <c r="G1551" i="1" s="1"/>
  <c r="G1509" i="1"/>
  <c r="G1508" i="1" s="1"/>
  <c r="G1507" i="1" s="1"/>
  <c r="G1158" i="1"/>
  <c r="G1157" i="1" s="1"/>
  <c r="G1156" i="1" s="1"/>
  <c r="F1719" i="1"/>
  <c r="F1656" i="1"/>
  <c r="F1560" i="1"/>
  <c r="F1559" i="1" s="1"/>
  <c r="F1558" i="1" s="1"/>
  <c r="F1607" i="1"/>
  <c r="F1606" i="1" s="1"/>
  <c r="F1605" i="1" s="1"/>
  <c r="F1412" i="1"/>
  <c r="F1411" i="1" s="1"/>
  <c r="F1410" i="1" s="1"/>
  <c r="F1328" i="1"/>
  <c r="F1327" i="1" s="1"/>
  <c r="F1326" i="1" s="1"/>
  <c r="F1181" i="1"/>
  <c r="F1180" i="1" s="1"/>
  <c r="F1179" i="1" s="1"/>
  <c r="G1719" i="1"/>
  <c r="G1656" i="1"/>
  <c r="G1560" i="1"/>
  <c r="G1559" i="1" s="1"/>
  <c r="G1558" i="1" s="1"/>
  <c r="G1607" i="1"/>
  <c r="G1606" i="1" s="1"/>
  <c r="G1605" i="1" s="1"/>
  <c r="G1412" i="1"/>
  <c r="G1411" i="1" s="1"/>
  <c r="G1410" i="1" s="1"/>
  <c r="G1328" i="1"/>
  <c r="G1327" i="1" s="1"/>
  <c r="G1326" i="1" s="1"/>
  <c r="G1181" i="1"/>
  <c r="G1180" i="1" s="1"/>
  <c r="G1179" i="1" s="1"/>
  <c r="I1719" i="1"/>
  <c r="I1656" i="1"/>
  <c r="I1560" i="1"/>
  <c r="I1559" i="1" s="1"/>
  <c r="I1558" i="1" s="1"/>
  <c r="I1607" i="1"/>
  <c r="I1606" i="1" s="1"/>
  <c r="I1605" i="1" s="1"/>
  <c r="I1412" i="1"/>
  <c r="I1411" i="1" s="1"/>
  <c r="I1410" i="1" s="1"/>
  <c r="I1328" i="1"/>
  <c r="I1327" i="1" s="1"/>
  <c r="I1326" i="1" s="1"/>
  <c r="I1181" i="1"/>
  <c r="I1180" i="1" s="1"/>
  <c r="I1179" i="1" s="1"/>
  <c r="H1508" i="1"/>
  <c r="H1507" i="1" s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39" i="1" l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600" i="1" s="1"/>
  <c r="K37" i="1"/>
  <c r="K1553" i="1" s="1"/>
  <c r="E518" i="1"/>
  <c r="E488" i="1"/>
  <c r="E404" i="1"/>
  <c r="E491" i="1"/>
  <c r="E460" i="1"/>
  <c r="E478" i="1" s="1"/>
  <c r="E458" i="1"/>
  <c r="E477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328" i="1" s="1"/>
  <c r="K36" i="1"/>
  <c r="K1181" i="1" s="1"/>
  <c r="K1509" i="1" l="1"/>
  <c r="J1181" i="1"/>
  <c r="J1412" i="1"/>
  <c r="K1328" i="1"/>
  <c r="K1412" i="1"/>
  <c r="J1607" i="1"/>
  <c r="K1607" i="1"/>
  <c r="J1560" i="1"/>
  <c r="K1560" i="1"/>
  <c r="J1656" i="1"/>
  <c r="K1656" i="1"/>
  <c r="K1600" i="1"/>
  <c r="K1601" i="1"/>
  <c r="K1651" i="1"/>
  <c r="K1554" i="1"/>
  <c r="K1552" i="1" s="1"/>
  <c r="K1551" i="1" s="1"/>
  <c r="K1510" i="1"/>
  <c r="K1159" i="1"/>
  <c r="K1723" i="1"/>
  <c r="H20" i="1"/>
  <c r="E15" i="4" s="1"/>
  <c r="H1708" i="1"/>
  <c r="I20" i="1"/>
  <c r="F15" i="4" s="1"/>
  <c r="I1708" i="1"/>
  <c r="J20" i="1"/>
  <c r="G15" i="4" s="1"/>
  <c r="J1708" i="1"/>
  <c r="K1650" i="1"/>
  <c r="F20" i="1"/>
  <c r="C15" i="4" s="1"/>
  <c r="F1708" i="1"/>
  <c r="K20" i="1"/>
  <c r="H15" i="4" s="1"/>
  <c r="K1708" i="1"/>
  <c r="J1510" i="1"/>
  <c r="J1159" i="1"/>
  <c r="J1157" i="1" s="1"/>
  <c r="J1156" i="1" s="1"/>
  <c r="J1554" i="1"/>
  <c r="J1601" i="1"/>
  <c r="J1651" i="1"/>
  <c r="J1723" i="1"/>
  <c r="J1158" i="1"/>
  <c r="G20" i="1"/>
  <c r="D15" i="4" s="1"/>
  <c r="G1708" i="1"/>
  <c r="J1650" i="1"/>
  <c r="J1608" i="1"/>
  <c r="J1657" i="1"/>
  <c r="J1413" i="1"/>
  <c r="J1329" i="1"/>
  <c r="J1182" i="1"/>
  <c r="J1561" i="1"/>
  <c r="J1722" i="1"/>
  <c r="J1509" i="1"/>
  <c r="J1553" i="1"/>
  <c r="K1182" i="1"/>
  <c r="K1561" i="1"/>
  <c r="K1329" i="1"/>
  <c r="K1608" i="1"/>
  <c r="K1413" i="1"/>
  <c r="K1657" i="1"/>
  <c r="K1722" i="1"/>
  <c r="K1158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C43" i="1"/>
  <c r="C44" i="1" s="1"/>
  <c r="C45" i="1" s="1"/>
  <c r="C47" i="1" s="1"/>
  <c r="B43" i="1"/>
  <c r="J1599" i="1" l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76" i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F792" i="1"/>
  <c r="F238" i="1" l="1"/>
  <c r="G238" i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F372" i="1" s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F790" i="1"/>
  <c r="F832" i="1" s="1"/>
  <c r="F865" i="1" s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2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F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F261" i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F836" i="1"/>
  <c r="F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F840" i="1"/>
  <c r="F873" i="1" s="1"/>
  <c r="F838" i="1"/>
  <c r="F871" i="1" s="1"/>
  <c r="F837" i="1"/>
  <c r="F870" i="1" s="1"/>
  <c r="F834" i="1"/>
  <c r="F867" i="1" s="1"/>
  <c r="F839" i="1"/>
  <c r="F872" i="1" s="1"/>
  <c r="F835" i="1"/>
  <c r="F868" i="1" s="1"/>
  <c r="F833" i="1"/>
  <c r="F866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F179" i="1" s="1"/>
  <c r="I208" i="1"/>
  <c r="I180" i="1" s="1"/>
  <c r="I179" i="1" s="1"/>
  <c r="J530" i="1"/>
  <c r="F468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F289" i="1" s="1"/>
  <c r="K340" i="1"/>
  <c r="K324" i="1" s="1"/>
  <c r="I340" i="1"/>
  <c r="I324" i="1" s="1"/>
  <c r="G340" i="1"/>
  <c r="G324" i="1" s="1"/>
  <c r="F250" i="1"/>
  <c r="F249" i="1" s="1"/>
  <c r="F260" i="1"/>
  <c r="F102" i="1"/>
  <c r="F330" i="1" s="1"/>
  <c r="F346" i="1" s="1"/>
  <c r="F491" i="1" s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F461" i="1"/>
  <c r="F407" i="1" s="1"/>
  <c r="C9" i="4" s="1"/>
  <c r="C8" i="4" s="1"/>
  <c r="K407" i="1"/>
  <c r="H9" i="4" s="1"/>
  <c r="H8" i="4" s="1"/>
  <c r="F480" i="1"/>
  <c r="F479" i="1" s="1"/>
  <c r="F490" i="1"/>
  <c r="F340" i="1"/>
  <c r="F324" i="1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<sst xmlns="http://schemas.openxmlformats.org/spreadsheetml/2006/main" count="5862" uniqueCount="1867">
  <si>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</si>
  <si>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</si>
  <si>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</si>
  <si>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</si>
  <si>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</si>
  <si>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</si>
  <si>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</si>
  <si>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</si>
  <si>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</si>
  <si>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</si>
  <si>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</si>
  <si>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</si>
  <si>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</si>
  <si>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</si>
  <si>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</si>
  <si>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</si>
  <si>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</si>
  <si>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</si>
  <si>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</si>
  <si>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</si>
  <si>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</si>
  <si>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</si>
  <si>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</si>
  <si>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</si>
  <si>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</si>
  <si>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</si>
  <si>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</si>
  <si>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</si>
  <si>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</si>
  <si>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</si>
  <si>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</si>
  <si>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</si>
  <si>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</si>
  <si>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</si>
  <si>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</si>
  <si>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</si>
  <si>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</si>
  <si>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</si>
  <si>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</si>
  <si>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</si>
  <si>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</si>
  <si>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</si>
  <si>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</si>
  <si>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</si>
  <si>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</si>
  <si>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</si>
  <si>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</si>
  <si>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</si>
  <si>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</si>
  <si>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</si>
  <si>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</si>
  <si>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</si>
  <si>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</si>
  <si>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</si>
  <si>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</si>
  <si>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</si>
  <si>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</si>
  <si>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</si>
  <si>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</si>
  <si>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</si>
  <si>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</si>
  <si>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</si>
  <si>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</si>
  <si>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</si>
  <si>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</si>
  <si>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</si>
  <si>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</si>
  <si>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</si>
  <si>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</si>
  <si>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</si>
  <si>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</si>
  <si>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</si>
  <si>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</si>
  <si>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</si>
  <si>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</si>
  <si>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</si>
  <si>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</si>
  <si>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</si>
  <si>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</si>
  <si>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</si>
  <si>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</si>
  <si>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</si>
  <si>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</si>
  <si>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residentiial single family houses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</si>
  <si>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</si>
  <si>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</si>
  <si>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</si>
  <si>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</si>
  <si>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</si>
  <si>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</si>
  <si>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</si>
  <si>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</si>
  <si>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</si>
  <si>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</si>
  <si>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</si>
  <si>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</si>
  <si>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</si>
  <si>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</si>
  <si>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</si>
  <si>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</si>
  <si>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</si>
  <si>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</si>
  <si>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</si>
  <si>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</si>
  <si>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</si>
  <si>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</si>
  <si>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</si>
  <si>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</si>
  <si>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</si>
  <si>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</si>
  <si>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</si>
  <si>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</si>
  <si>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</si>
  <si>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</si>
  <si>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</si>
  <si>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</si>
  <si>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</si>
  <si>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</si>
  <si>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</si>
  <si>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</si>
  <si>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</si>
  <si>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</si>
  <si>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</si>
  <si>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</si>
  <si>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</si>
  <si>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</si>
  <si>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</si>
  <si>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</si>
  <si>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</si>
  <si>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</si>
  <si>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</si>
  <si>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</si>
  <si>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</si>
  <si>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</si>
  <si>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</si>
  <si>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</si>
  <si>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</si>
  <si>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</si>
  <si>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</si>
  <si>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</si>
  <si>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</si>
  <si>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</si>
  <si>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</si>
  <si>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</si>
  <si>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</si>
  <si>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</si>
  <si>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</si>
  <si>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</si>
  <si>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</si>
  <si>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</si>
  <si>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</si>
  <si>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residentiial single family houses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</si>
  <si>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</si>
  <si>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</si>
  <si>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</si>
  <si>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</si>
  <si>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</si>
  <si>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</si>
  <si>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</si>
  <si>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</si>
  <si>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</si>
  <si>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</si>
  <si>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</si>
  <si>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</si>
  <si>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</si>
  <si>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</si>
  <si>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</si>
  <si>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</si>
  <si>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</si>
  <si>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</si>
  <si>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</si>
  <si>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</si>
  <si>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</si>
  <si>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</si>
  <si>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</si>
  <si>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</si>
  <si>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</si>
  <si>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</si>
  <si>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</si>
  <si>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</si>
  <si>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</si>
  <si>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</si>
  <si>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</si>
  <si>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</si>
  <si>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</si>
  <si>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</si>
  <si>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</si>
  <si>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</si>
  <si>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</si>
  <si>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</si>
  <si>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</si>
  <si>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</si>
  <si>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</si>
  <si>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</si>
  <si>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</si>
  <si>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</si>
  <si>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</si>
  <si>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</si>
  <si>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</si>
  <si>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</si>
  <si>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</si>
  <si>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</si>
  <si>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</si>
  <si>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</si>
  <si>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</si>
  <si>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</si>
  <si>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</si>
  <si>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</si>
  <si>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</si>
  <si>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</si>
  <si>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</si>
  <si>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</si>
  <si>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</si>
  <si>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</si>
  <si>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</si>
  <si>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</si>
  <si>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</si>
  <si>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</si>
  <si>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</si>
  <si>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</si>
  <si>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</si>
  <si>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</si>
  <si>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</si>
  <si>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</si>
  <si>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</si>
  <si>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</si>
  <si>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</si>
  <si>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</si>
  <si>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</si>
  <si>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</si>
  <si>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</si>
  <si>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</si>
  <si>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</si>
  <si>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</si>
  <si>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</si>
  <si>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</si>
  <si>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</si>
  <si>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</si>
  <si>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</si>
  <si>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</si>
  <si>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</si>
  <si>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</si>
  <si>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</si>
  <si>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</si>
  <si>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</si>
  <si>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</si>
  <si>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</si>
  <si>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</si>
  <si>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</si>
  <si>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</si>
  <si>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</si>
  <si>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</si>
  <si>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</si>
  <si>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</si>
  <si>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</si>
  <si>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</si>
  <si>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</si>
  <si>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</si>
  <si>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</si>
  <si>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</si>
  <si>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</si>
  <si>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</si>
  <si>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</si>
  <si>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</si>
  <si>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</si>
  <si>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</si>
  <si>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</si>
  <si>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</si>
  <si>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</si>
  <si>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</si>
  <si>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</si>
  <si>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</si>
  <si>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</si>
  <si>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</si>
  <si>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</si>
  <si>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</si>
  <si>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</si>
  <si>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</si>
  <si>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</si>
  <si>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</si>
  <si>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</si>
  <si>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</si>
  <si>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</si>
  <si>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</si>
  <si>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</si>
  <si>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</si>
  <si>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</si>
  <si>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</si>
  <si>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</si>
  <si>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</si>
  <si>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</si>
  <si>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</si>
  <si>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residentiial single family houses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</si>
  <si>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</si>
  <si>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</si>
  <si>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</si>
  <si>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</si>
  <si>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</si>
  <si>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</si>
  <si>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</si>
  <si>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</si>
  <si>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</si>
  <si>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</si>
  <si>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</si>
  <si>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</si>
  <si>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</si>
  <si>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</si>
  <si>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</si>
  <si>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</si>
  <si>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</si>
  <si>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</si>
  <si>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</si>
  <si>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</si>
  <si>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</si>
  <si>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Heat from domestic biodiesel production|Wood|Ethanol reactor</t>
  </si>
  <si>
    <t>Heat from domestic biodiesel production|Wood|Ethanol reactor with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</si>
  <si>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</si>
  <si>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</si>
  <si>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</si>
  <si>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</si>
  <si>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</si>
  <si>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</si>
  <si>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</si>
  <si>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</si>
  <si>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</si>
  <si>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</si>
  <si>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</si>
  <si>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</si>
  <si>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</si>
  <si>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</si>
  <si>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</si>
  <si>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</si>
  <si>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</si>
  <si>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</si>
  <si>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</si>
  <si>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</si>
  <si>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</si>
  <si>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</si>
  <si>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</si>
  <si>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</si>
  <si>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</si>
  <si>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</si>
  <si>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</si>
  <si>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</si>
  <si>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</si>
  <si>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</si>
  <si>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</si>
  <si>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</si>
  <si>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</si>
  <si>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</si>
  <si>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</si>
  <si>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</si>
  <si>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</si>
  <si>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</si>
  <si>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</si>
  <si>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</si>
  <si>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</si>
  <si>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</si>
  <si>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</si>
  <si>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</si>
  <si>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</si>
  <si>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</si>
  <si>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</si>
  <si>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</si>
  <si>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</si>
  <si>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</si>
  <si>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</si>
  <si>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</si>
  <si>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</si>
  <si>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</si>
  <si>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</si>
  <si>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</si>
  <si>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</si>
  <si>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</si>
  <si>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</si>
  <si>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</si>
  <si>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</si>
  <si>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</si>
  <si>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</si>
  <si>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</si>
  <si>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</si>
  <si>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</si>
  <si>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</si>
  <si>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</si>
  <si>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</si>
  <si>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</si>
  <si>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</si>
  <si>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</si>
  <si>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</si>
  <si>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</si>
  <si>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</si>
  <si>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</si>
  <si>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</si>
  <si>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</si>
  <si>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</si>
  <si>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</si>
  <si>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</si>
  <si>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</si>
  <si>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</si>
  <si>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</si>
  <si>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</si>
  <si>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</si>
  <si>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</si>
  <si>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</si>
  <si>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</si>
  <si>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</si>
  <si>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</si>
  <si>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</si>
  <si>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</si>
  <si>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</si>
  <si>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</si>
  <si>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</si>
  <si>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</si>
  <si>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</si>
  <si>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</si>
  <si>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</si>
  <si>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</si>
  <si>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</si>
  <si>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</si>
  <si>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</si>
  <si>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</si>
  <si>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</si>
  <si>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</si>
  <si>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</si>
  <si>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</si>
  <si>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</si>
  <si>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</si>
  <si>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</si>
  <si>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</si>
  <si>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</si>
  <si>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</si>
  <si>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</si>
  <si>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</si>
  <si>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</si>
  <si>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</si>
  <si>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</si>
  <si>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</si>
  <si>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</si>
  <si>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</si>
  <si>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</si>
  <si>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</si>
  <si>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</si>
  <si>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</si>
  <si>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</si>
  <si>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</si>
  <si>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</si>
  <si>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</si>
  <si>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</si>
  <si>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</si>
  <si>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</si>
  <si>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</si>
  <si>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</si>
  <si>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</si>
  <si>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</si>
  <si>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</si>
  <si>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</si>
  <si>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</si>
  <si>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</si>
  <si>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</si>
  <si>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</si>
  <si>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</si>
  <si>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</si>
  <si>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</si>
  <si>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</si>
  <si>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</si>
  <si>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</si>
  <si>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</si>
  <si>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</si>
  <si>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</si>
  <si>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</si>
  <si>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</si>
  <si>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</si>
  <si>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</si>
  <si>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</si>
  <si>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</si>
  <si>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</si>
  <si>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</si>
  <si>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</si>
  <si>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</si>
  <si>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</si>
  <si>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</si>
  <si>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</si>
  <si>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</si>
  <si>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</si>
  <si>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</si>
  <si>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</si>
  <si>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</si>
  <si>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</si>
  <si>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</si>
  <si>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</si>
  <si>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</si>
  <si>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</si>
  <si>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</si>
  <si>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</si>
  <si>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</si>
  <si>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</si>
  <si>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</si>
  <si>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</si>
  <si>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</si>
  <si>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</si>
  <si>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</si>
  <si>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</si>
  <si>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</si>
  <si>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</si>
  <si>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</si>
  <si>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</si>
  <si>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</si>
  <si>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</si>
  <si>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</si>
  <si>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</si>
  <si>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</si>
  <si>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</si>
  <si>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</si>
  <si>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</si>
  <si>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</si>
  <si>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</si>
  <si>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</si>
  <si>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</si>
  <si>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</si>
  <si>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</si>
  <si>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</si>
  <si>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</si>
  <si>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</si>
  <si>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</si>
  <si>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</si>
  <si>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</si>
  <si>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</si>
  <si>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</si>
  <si>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</si>
  <si>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</si>
  <si>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</si>
  <si>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</si>
  <si>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</si>
  <si>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</si>
  <si>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</si>
  <si>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</si>
  <si>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</si>
  <si>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</si>
  <si>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</si>
  <si>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</si>
  <si>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</si>
  <si>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</si>
  <si>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</si>
  <si>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</si>
  <si>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</si>
  <si>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</si>
  <si>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</si>
  <si>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</si>
  <si>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</si>
  <si>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</si>
  <si>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</si>
  <si>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</si>
  <si>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</si>
  <si>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</si>
  <si>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</si>
  <si>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</si>
  <si>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</si>
  <si>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</si>
  <si>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</si>
  <si>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</si>
  <si>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</si>
  <si>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</si>
  <si>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</si>
  <si>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</si>
  <si>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</si>
  <si>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</si>
  <si>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</si>
  <si>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</si>
  <si>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</si>
  <si>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</si>
  <si>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</si>
  <si>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</si>
  <si>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</si>
  <si>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</si>
  <si>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</si>
  <si>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</si>
  <si>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</si>
  <si>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</si>
  <si>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</si>
  <si>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</si>
  <si>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</si>
  <si>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</si>
  <si>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</si>
  <si>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</si>
  <si>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</si>
  <si>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</si>
  <si>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</si>
  <si>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</si>
  <si>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</si>
  <si>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</si>
  <si>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</si>
  <si>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</si>
  <si>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</si>
  <si>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</si>
  <si>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</si>
  <si>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</si>
  <si>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</si>
  <si>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</si>
  <si>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</si>
  <si>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</si>
  <si>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</si>
  <si>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</si>
  <si>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</si>
  <si>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</si>
  <si>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</si>
  <si>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</si>
  <si>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</si>
  <si>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</si>
  <si>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</si>
  <si>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</si>
  <si>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</si>
  <si>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</si>
  <si>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</si>
  <si>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</si>
  <si>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</si>
  <si>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</si>
  <si>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</si>
  <si>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</si>
  <si>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</si>
  <si>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</si>
  <si>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</si>
  <si>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</si>
  <si>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</si>
  <si>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</si>
  <si>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</si>
  <si>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</si>
  <si>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</si>
  <si>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</si>
  <si>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</si>
  <si>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</si>
  <si>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</si>
  <si>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</si>
  <si>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</si>
  <si>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</si>
  <si>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</si>
  <si>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</si>
  <si>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</si>
  <si>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</si>
  <si>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</si>
  <si>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</si>
  <si>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</si>
  <si>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</si>
  <si>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</si>
  <si>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</si>
  <si>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</si>
  <si>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</si>
  <si>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</si>
  <si>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</si>
  <si>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</si>
  <si>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</si>
  <si>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</si>
  <si>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</si>
  <si>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</si>
  <si>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</si>
  <si>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</si>
  <si>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</si>
  <si>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</si>
  <si>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</si>
  <si>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</si>
  <si>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</si>
  <si>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</si>
  <si>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</si>
  <si>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</si>
  <si>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</si>
  <si>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</si>
  <si>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</si>
  <si>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</si>
  <si>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</si>
  <si>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</si>
  <si>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</si>
  <si>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</si>
  <si>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</si>
  <si>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</si>
  <si>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</si>
  <si>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</si>
  <si>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</si>
  <si>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</si>
  <si>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</si>
  <si>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</si>
  <si>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</si>
  <si>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</si>
  <si>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</si>
  <si>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</si>
  <si>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</si>
  <si>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</si>
  <si>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</si>
  <si>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</si>
  <si>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</si>
  <si>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</si>
  <si>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 in industry sectors|Electricity|Other electric processes</t>
  </si>
  <si>
    <t>Process and space heating production  in industry sectors|Heat|On-site CHPs|Industrial CHPs oil</t>
  </si>
  <si>
    <t>Process and space heating production  in industry sectors|Heat|On-site CHPs|Industrial CHPs gas</t>
  </si>
  <si>
    <t>Process and space heating production  in industry sectors|Heat|On-site CHPs|Industrial CHPs gas (CCS)</t>
  </si>
  <si>
    <t>Process and space heating production  in industry sectors|Heat|On-site CHPs|Industrial CHPs fuel cells (gas reformer)</t>
  </si>
  <si>
    <t>Process and space heating production  in industry sectors|Heat|On-site CHPs|Industrial CHPs wastes</t>
  </si>
  <si>
    <t>Process and space heating production  in industry sectors|Heat|On-site CHPs|Industrial CHPs wastes CCS</t>
  </si>
  <si>
    <t>Process and space heating production  in industry sectors|Heat|On-site CHPs|Industrial CHPs wood</t>
  </si>
  <si>
    <t>Process and space heating production  in industry sectors|Heat|On-site CHPs|Industrial CHPs wood (CCS)</t>
  </si>
  <si>
    <t>Process and space heating production  in industry sectors|Heat|On-site CHPs|Industrial CHPs fuel cells (hydrogen)</t>
  </si>
  <si>
    <t>Process and space heating production  in industry sectors|Energy savings|Measures in electric specific uses</t>
  </si>
  <si>
    <t>Process and space heating production  in industry sectors|Energy savings|Measuers in process and space heating</t>
  </si>
  <si>
    <t>Process and space heating production in industry sectors</t>
  </si>
  <si>
    <t>Energy service demand provided in the form of process and space heating in industry</t>
  </si>
  <si>
    <t>Efficiency  in industry sectors|Electricity|Other electric processes</t>
  </si>
  <si>
    <t>Efficiency  in industry sectors|Heat|On-site CHPs|Industrial CHPs oil</t>
  </si>
  <si>
    <t>Efficiency  in industry sectors|Heat|On-site CHPs|Industrial CHPs gas</t>
  </si>
  <si>
    <t>Efficiency  in industry sectors|Heat|On-site CHPs|Industrial CHPs gas (CCS)</t>
  </si>
  <si>
    <t>Efficiency  in industry sectors|Heat|On-site CHPs|Industrial CHPs fuel cells (gas reformer)</t>
  </si>
  <si>
    <t>Efficiency  in industry sectors|Heat|On-site CHPs|Industrial CHPs wastes</t>
  </si>
  <si>
    <t>Efficiency  in industry sectors|Heat|On-site CHPs|Industrial CHPs wastes CCS</t>
  </si>
  <si>
    <t>Efficiency  in industry sectors|Heat|On-site CHPs|Industrial CHPs wood</t>
  </si>
  <si>
    <t>Efficiency  in industry sectors|Heat|On-site CHPs|Industrial CHPs wood (CCS)</t>
  </si>
  <si>
    <t>Efficiency  in industry sectors|Heat|On-site CHPs|Industrial CHPs fuel cells (hydrogen)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</si>
  <si>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</si>
  <si>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</si>
  <si>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</si>
  <si>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</si>
  <si>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</si>
  <si>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</si>
  <si>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</si>
  <si>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</si>
  <si>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</si>
  <si>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</si>
  <si>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</si>
  <si>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</si>
  <si>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</si>
  <si>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</si>
  <si>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</si>
  <si>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</si>
  <si>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</si>
  <si>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</si>
  <si>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</si>
  <si>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</si>
  <si>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</si>
  <si>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</si>
  <si>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</si>
  <si>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</si>
  <si>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</si>
  <si>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</si>
  <si>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</si>
  <si>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</si>
  <si>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</si>
  <si>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</si>
  <si>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</si>
  <si>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</si>
  <si>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</si>
  <si>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</si>
  <si>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</si>
  <si>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</si>
  <si>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</si>
  <si>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</si>
  <si>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</si>
  <si>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Process and space heating production  in industry sectors|Electricity|Heat pump electric</t>
  </si>
  <si>
    <t>Efficiency  in industry sectors|Electricity|Heat pump electric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</si>
  <si>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</si>
  <si>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</si>
  <si>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</si>
  <si>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</si>
  <si>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</si>
  <si>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</si>
  <si>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</si>
  <si>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</si>
  <si>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</si>
  <si>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</si>
  <si>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</si>
  <si>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</si>
  <si>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</si>
  <si>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</si>
  <si>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</si>
  <si>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</si>
  <si>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</si>
  <si>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</si>
  <si>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</si>
  <si>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</si>
  <si>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</si>
  <si>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</si>
  <si>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</si>
  <si>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</si>
  <si>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</si>
  <si>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</si>
  <si>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</si>
  <si>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</si>
  <si>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</si>
  <si>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</si>
  <si>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</si>
  <si>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</si>
  <si>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</si>
  <si>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</si>
  <si>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Process and space heating production  in industry sectors|Electricity|Electric boiler</t>
  </si>
  <si>
    <t>Efficiency 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</si>
  <si>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</si>
  <si>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</si>
  <si>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</si>
  <si>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</si>
  <si>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</si>
  <si>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</si>
  <si>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</si>
  <si>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</si>
  <si>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</si>
  <si>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</si>
  <si>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</si>
  <si>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</si>
  <si>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</si>
  <si>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</si>
  <si>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</si>
  <si>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</si>
  <si>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</si>
  <si>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</si>
  <si>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</si>
  <si>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</si>
  <si>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</si>
  <si>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</si>
  <si>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</si>
  <si>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</si>
  <si>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</si>
  <si>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</si>
  <si>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</si>
  <si>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</si>
  <si>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</si>
  <si>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</si>
  <si>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</si>
  <si>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</si>
  <si>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</si>
  <si>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</si>
  <si>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</si>
  <si>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</si>
  <si>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</si>
  <si>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</si>
  <si>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</si>
  <si>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</si>
  <si>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</si>
  <si>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</si>
  <si>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</si>
  <si>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</si>
  <si>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</si>
  <si>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</si>
  <si>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</si>
  <si>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</si>
  <si>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</si>
  <si>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</si>
  <si>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</si>
  <si>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</si>
  <si>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</si>
  <si>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</si>
  <si>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</si>
  <si>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</si>
  <si>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</si>
  <si>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</si>
  <si>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</si>
  <si>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</si>
  <si>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</si>
  <si>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</si>
  <si>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</si>
  <si>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</si>
  <si>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</si>
  <si>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</si>
  <si>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</si>
  <si>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</si>
  <si>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</si>
  <si>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</si>
  <si>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</si>
  <si>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</si>
  <si>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</si>
  <si>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</si>
  <si>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</si>
  <si>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</si>
  <si>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</si>
  <si>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</si>
  <si>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</si>
  <si>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</si>
  <si>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</si>
  <si>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</si>
  <si>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</si>
  <si>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</si>
  <si>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</si>
  <si>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</si>
  <si>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</si>
  <si>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</si>
  <si>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</si>
  <si>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</si>
  <si>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</si>
  <si>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</si>
  <si>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</si>
  <si>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</si>
  <si>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</si>
  <si>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</si>
  <si>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</si>
  <si>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</si>
  <si>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</si>
  <si>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</si>
  <si>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</si>
  <si>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</si>
  <si>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</si>
  <si>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</si>
  <si>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</si>
  <si>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</si>
  <si>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</si>
  <si>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</si>
  <si>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</si>
  <si>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</si>
  <si>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</si>
  <si>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</si>
  <si>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</si>
  <si>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</si>
  <si>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</si>
  <si>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</si>
  <si>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</si>
  <si>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</si>
  <si>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</si>
  <si>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</si>
  <si>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</si>
  <si>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</si>
  <si>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</si>
  <si>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</si>
  <si>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</si>
  <si>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</si>
  <si>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</si>
  <si>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</si>
  <si>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</si>
  <si>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</si>
  <si>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</si>
  <si>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</si>
  <si>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</si>
  <si>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</si>
  <si>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</si>
  <si>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</si>
  <si>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</si>
  <si>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</si>
  <si>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</si>
  <si>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</si>
  <si>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</si>
  <si>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</si>
  <si>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</si>
  <si>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</si>
  <si>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</si>
  <si>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</si>
  <si>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</si>
  <si>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</si>
  <si>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</si>
  <si>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</si>
  <si>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</si>
  <si>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</si>
  <si>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</si>
  <si>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</si>
  <si>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</si>
  <si>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</si>
  <si>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</si>
  <si>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</si>
  <si>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</si>
  <si>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</si>
  <si>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</si>
  <si>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</si>
  <si>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</si>
  <si>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</si>
  <si>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</si>
  <si>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</si>
  <si>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</si>
  <si>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</si>
  <si>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</si>
  <si>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</si>
  <si>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</si>
  <si>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</si>
  <si>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</si>
  <si>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</si>
  <si>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</si>
  <si>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</si>
  <si>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</si>
  <si>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</si>
  <si>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</si>
  <si>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</si>
  <si>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</si>
  <si>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</si>
  <si>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</si>
  <si>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</si>
  <si>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</si>
  <si>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</si>
  <si>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</si>
  <si>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</si>
  <si>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</si>
  <si>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</si>
  <si>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</si>
  <si>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</si>
  <si>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</si>
  <si>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</si>
  <si>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</si>
  <si>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</si>
  <si>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</si>
  <si>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</si>
  <si>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</si>
  <si>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</si>
  <si>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</si>
  <si>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</si>
  <si>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</si>
  <si>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</si>
  <si>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Process and space heating production  in industry sectors|Electricity</t>
  </si>
  <si>
    <t>Process and space heating production  in industry sectors|Oil</t>
  </si>
  <si>
    <t>Process and space heating production  in industry sectors|Oil|Light fuel boiler</t>
  </si>
  <si>
    <t>Process and space heating production  in industry sectors|Oil|Heavy fuel boiler</t>
  </si>
  <si>
    <t>Process and space heating production  in industry sectors|Gas</t>
  </si>
  <si>
    <t>Process and space heating production  in industry sectors|Gas|Gas boiler</t>
  </si>
  <si>
    <t>Process and space heating production  in industry sectors|Gas|Heat pump gas</t>
  </si>
  <si>
    <t>Process and space heating production  in industry sectors|Gas|Biogas boiler</t>
  </si>
  <si>
    <t>Process and space heating production  in industry sectors|Coal</t>
  </si>
  <si>
    <t>Process and space heating production  in industry sectors|Coal|Coal boiler</t>
  </si>
  <si>
    <t>Process and space heating production  in industry sectors|Heat</t>
  </si>
  <si>
    <t>Process and space heating production  in industry sectors|Heat|On-site CHPs</t>
  </si>
  <si>
    <t>Process and space heating production  in industry sectors|Heat|District heating</t>
  </si>
  <si>
    <t>Process and space heating production  in industry sectors|Wood</t>
  </si>
  <si>
    <t>Process and space heating production  in industry sectors|Wood|Wood boiler</t>
  </si>
  <si>
    <t>Process and space heating production  in industry sectors|Pellets</t>
  </si>
  <si>
    <t>Process and space heating production  in industry sectors|Pellets|Pellet boiler</t>
  </si>
  <si>
    <t>Process and space heating production  in industry sectors|Wastes</t>
  </si>
  <si>
    <t>Process and space heating production  in industry sectors|Wastes|Wastes boiler</t>
  </si>
  <si>
    <t>Process and space heating production  in industry sectors|Solar</t>
  </si>
  <si>
    <t>Process and space heating production  in industry sectors|Solar|Solar thermal</t>
  </si>
  <si>
    <t>Process and space heating production  in industry sectors|Hydrogen</t>
  </si>
  <si>
    <t>Process and space heating production  in industry sectors|Hydrogen|Hydrogen boiler</t>
  </si>
  <si>
    <t>Process and space heating production  in industry sectors|Energy savings</t>
  </si>
  <si>
    <t>Efficiency  in industry sectors|Oil|Light fuel boiler</t>
  </si>
  <si>
    <t>Efficiency  in industry sectors|Oil|Heavy fuel boiler</t>
  </si>
  <si>
    <t>Efficiency  in industry sectors|Gas|Gas boiler</t>
  </si>
  <si>
    <t>Efficiency  in industry sectors|Gas|Heat pump gas</t>
  </si>
  <si>
    <t>Efficiency  in industry sectors|Gas|Biogas boiler</t>
  </si>
  <si>
    <t>Efficiency  in industry sectors|Coal|Coal boiler</t>
  </si>
  <si>
    <t>Efficiency  in industry sectors|Heat|District heating</t>
  </si>
  <si>
    <t>Efficiency  in industry sectors|Wood|Wood boiler</t>
  </si>
  <si>
    <t>Efficiency  in industry sectors|Pellets|Pellet boiler</t>
  </si>
  <si>
    <t>Efficiency  in industry sectors|Wastes|Wastes boiler</t>
  </si>
  <si>
    <t>Efficiency  in industry sectors|Solar|Solar thermal</t>
  </si>
  <si>
    <t>Efficiency  in industry sectors|Hydrogen|Hydrogen boiler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</si>
  <si>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</si>
  <si>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</si>
  <si>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</si>
  <si>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</si>
  <si>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</si>
  <si>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</si>
  <si>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</si>
  <si>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</si>
  <si>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</si>
  <si>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</si>
  <si>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</si>
  <si>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</si>
  <si>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</si>
  <si>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</si>
  <si>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</si>
  <si>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</si>
  <si>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</si>
  <si>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</si>
  <si>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</si>
  <si>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</si>
  <si>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</si>
  <si>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</si>
  <si>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</si>
  <si>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</si>
  <si>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</si>
  <si>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</si>
  <si>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</si>
  <si>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</si>
  <si>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</si>
  <si>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</si>
  <si>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</si>
  <si>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</si>
  <si>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</si>
  <si>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</si>
  <si>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</si>
  <si>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</si>
  <si>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</si>
  <si>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</si>
  <si>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</si>
  <si>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</si>
  <si>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</si>
  <si>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</si>
  <si>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</si>
  <si>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</si>
  <si>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</si>
  <si>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</si>
  <si>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</si>
  <si>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</si>
  <si>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</si>
  <si>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</si>
  <si>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</si>
  <si>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</si>
  <si>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</si>
  <si>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</si>
  <si>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</si>
  <si>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</si>
  <si>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</si>
  <si>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</si>
  <si>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</si>
  <si>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</si>
  <si>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</si>
  <si>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</si>
  <si>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</si>
  <si>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</si>
  <si>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</si>
  <si>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</si>
  <si>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</si>
  <si>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</si>
  <si>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</si>
  <si>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</si>
  <si>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</si>
  <si>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</si>
  <si>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</si>
  <si>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</si>
  <si>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</si>
  <si>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</si>
  <si>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</si>
  <si>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</si>
  <si>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</si>
  <si>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</si>
  <si>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</si>
  <si>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</si>
  <si>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</si>
  <si>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</si>
  <si>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</si>
  <si>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</si>
  <si>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</si>
  <si>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</si>
  <si>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</si>
  <si>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</si>
  <si>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</si>
  <si>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</si>
  <si>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</si>
  <si>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</si>
  <si>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</si>
  <si>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</si>
  <si>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</si>
  <si>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</si>
  <si>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</si>
  <si>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</si>
  <si>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</si>
  <si>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</si>
  <si>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</si>
  <si>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</si>
  <si>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</si>
  <si>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</si>
  <si>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</si>
  <si>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</si>
  <si>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</si>
  <si>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</si>
  <si>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</si>
  <si>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</si>
  <si>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</si>
  <si>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</si>
  <si>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</si>
  <si>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</si>
  <si>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</si>
  <si>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</si>
  <si>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</si>
  <si>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</si>
  <si>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</si>
  <si>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</si>
  <si>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</si>
  <si>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</si>
  <si>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</si>
  <si>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</si>
  <si>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</si>
  <si>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</si>
  <si>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</si>
  <si>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</si>
  <si>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</si>
  <si>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</si>
  <si>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</si>
  <si>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</si>
  <si>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</si>
  <si>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</si>
  <si>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</si>
  <si>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</si>
  <si>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</si>
  <si>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</si>
  <si>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</si>
  <si>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</si>
  <si>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</si>
  <si>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</si>
  <si>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</si>
  <si>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</si>
  <si>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</si>
  <si>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</si>
  <si>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</si>
  <si>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</si>
  <si>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</si>
  <si>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</si>
  <si>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</si>
  <si>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</si>
  <si>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</si>
  <si>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</si>
  <si>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</si>
  <si>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</si>
  <si>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</si>
  <si>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</si>
  <si>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</si>
  <si>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</si>
  <si>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</si>
  <si>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</si>
  <si>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</si>
  <si>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</si>
  <si>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</si>
  <si>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</si>
  <si>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</si>
  <si>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</si>
  <si>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</si>
  <si>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</si>
  <si>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</si>
  <si>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</si>
  <si>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</si>
  <si>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</si>
  <si>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</si>
  <si>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</si>
  <si>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</si>
  <si>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</si>
  <si>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</si>
  <si>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</si>
  <si>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</si>
  <si>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</si>
  <si>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</si>
  <si>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</si>
  <si>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</si>
  <si>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</si>
  <si>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</si>
  <si>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</si>
  <si>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</si>
  <si>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</si>
  <si>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</si>
  <si>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</si>
  <si>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</si>
  <si>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</si>
  <si>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</si>
  <si>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</si>
  <si>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</si>
  <si>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</si>
  <si>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</si>
  <si>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</si>
  <si>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</si>
  <si>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</si>
  <si>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</si>
  <si>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</si>
  <si>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</si>
  <si>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</si>
  <si>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</si>
  <si>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</si>
  <si>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</si>
  <si>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</si>
  <si>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</si>
  <si>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</si>
  <si>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</si>
  <si>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</si>
  <si>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</si>
  <si>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</si>
  <si>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</si>
  <si>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</si>
  <si>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</si>
  <si>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</si>
  <si>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</si>
  <si>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</si>
  <si>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</si>
  <si>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</si>
  <si>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</si>
  <si>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</si>
  <si>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</si>
  <si>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</si>
  <si>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</si>
  <si>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</si>
  <si>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</si>
  <si>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</si>
  <si>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</si>
  <si>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</si>
  <si>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</si>
  <si>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</si>
  <si>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</si>
  <si>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</si>
  <si>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</si>
  <si>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</si>
  <si>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</si>
  <si>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</si>
  <si>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</si>
  <si>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</si>
  <si>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</si>
  <si>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</si>
  <si>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</si>
  <si>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</si>
  <si>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</si>
  <si>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</si>
  <si>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</si>
  <si>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</si>
  <si>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</si>
  <si>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</si>
  <si>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</si>
  <si>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</si>
  <si>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</si>
  <si>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</si>
  <si>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</si>
  <si>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</si>
  <si>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</si>
  <si>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</si>
  <si>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</si>
  <si>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</si>
  <si>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</si>
  <si>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</si>
  <si>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</si>
  <si>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</si>
  <si>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</si>
  <si>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</si>
  <si>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</si>
  <si>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</si>
  <si>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</si>
  <si>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</si>
  <si>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</si>
  <si>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</si>
  <si>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</si>
  <si>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</si>
  <si>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</si>
  <si>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</si>
  <si>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</si>
  <si>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</si>
  <si>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</si>
  <si>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</si>
  <si>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</si>
  <si>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</si>
  <si>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</si>
  <si>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</si>
  <si>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</si>
  <si>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</si>
  <si>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</si>
  <si>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</si>
  <si>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</si>
  <si>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</si>
  <si>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</si>
  <si>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</si>
  <si>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</si>
  <si>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</si>
  <si>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</si>
  <si>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</si>
  <si>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</si>
  <si>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</si>
  <si>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</si>
  <si>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</si>
  <si>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</si>
  <si>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</si>
  <si>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</si>
  <si>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</si>
  <si>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</si>
  <si>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</si>
  <si>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</si>
  <si>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</si>
  <si>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</si>
  <si>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</si>
  <si>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</si>
  <si>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</si>
  <si>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</si>
  <si>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</si>
  <si>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</si>
  <si>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</si>
  <si>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</si>
  <si>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</si>
  <si>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</si>
  <si>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</si>
  <si>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</si>
  <si>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</si>
  <si>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</si>
  <si>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</si>
  <si>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</si>
  <si>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</si>
  <si>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</si>
  <si>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</si>
  <si>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</si>
  <si>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</si>
  <si>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</si>
  <si>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</si>
  <si>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</si>
  <si>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</si>
  <si>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</si>
  <si>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</si>
  <si>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</si>
  <si>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</si>
  <si>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</si>
  <si>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</si>
  <si>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</si>
  <si>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</si>
  <si>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</si>
  <si>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</si>
  <si>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</si>
  <si>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</si>
  <si>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</si>
  <si>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</si>
  <si>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</si>
  <si>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</si>
  <si>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</si>
  <si>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</si>
  <si>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</si>
  <si>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</si>
  <si>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</si>
  <si>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</si>
  <si>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</si>
  <si>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</si>
  <si>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</si>
  <si>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</si>
  <si>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</si>
  <si>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</si>
  <si>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urban buses|Motor Diesel|Total|Existing ICE diesel urban buses (Mini)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</si>
  <si>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</si>
  <si>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</si>
  <si>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</si>
  <si>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</si>
  <si>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</si>
  <si>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</si>
  <si>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</si>
  <si>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</si>
  <si>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</si>
  <si>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Gas|Total|Existing ICE Gas urban buses (Mini)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</si>
  <si>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</si>
  <si>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</si>
  <si>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</si>
  <si>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</si>
  <si>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</si>
  <si>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</si>
  <si>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</si>
  <si>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</si>
  <si>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</si>
  <si>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</si>
  <si>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</si>
  <si>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</si>
  <si>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</si>
  <si>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</si>
  <si>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</si>
  <si>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</si>
  <si>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</si>
  <si>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</si>
  <si>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</si>
  <si>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</si>
  <si>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</si>
  <si>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</si>
  <si>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</si>
  <si>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Diesel|Total|Existing ICE diesel urban buses (Mini)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</si>
  <si>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</si>
  <si>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</si>
  <si>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</si>
  <si>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</si>
  <si>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Gas|Total|Existing ICE Gas urban buses (Mini)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</si>
  <si>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</si>
  <si>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</si>
  <si>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</si>
  <si>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</si>
  <si>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</si>
  <si>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</si>
  <si>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</si>
  <si>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</si>
  <si>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</si>
  <si>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</si>
  <si>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</si>
  <si>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</si>
  <si>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</si>
  <si>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</si>
  <si>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</si>
  <si>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</si>
  <si>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</si>
  <si>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</si>
  <si>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Diesel|Total|Existing ICE diesel urban buses (Mini)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</si>
  <si>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</si>
  <si>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</si>
  <si>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</si>
  <si>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</si>
  <si>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Gas|Total|Existing ICE Gas urban buses (Mini)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</si>
  <si>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</si>
  <si>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</si>
  <si>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</si>
  <si>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</si>
  <si>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</si>
  <si>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</si>
  <si>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</si>
  <si>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</si>
  <si>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</si>
  <si>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</si>
  <si>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</si>
  <si>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</si>
  <si>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</si>
  <si>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</si>
  <si>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</si>
  <si>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</si>
  <si>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</si>
  <si>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</si>
  <si>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</si>
  <si>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</si>
  <si>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</si>
  <si>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</si>
  <si>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</si>
  <si>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</si>
  <si>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</si>
  <si>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</si>
  <si>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</si>
  <si>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Diesel|Total|Existing ICE diesel coaches (Mini)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</si>
  <si>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</si>
  <si>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</si>
  <si>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</si>
  <si>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</si>
  <si>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</si>
  <si>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</si>
  <si>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</si>
  <si>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</si>
  <si>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</si>
  <si>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Gas|Total|Existing ICE Gas coaches (Mini)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</si>
  <si>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</si>
  <si>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</si>
  <si>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</si>
  <si>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</si>
  <si>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</si>
  <si>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</si>
  <si>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</si>
  <si>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</si>
  <si>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</si>
  <si>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</si>
  <si>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</si>
  <si>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</si>
  <si>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</si>
  <si>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</si>
  <si>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</si>
  <si>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</si>
  <si>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</si>
  <si>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Diesel|Total|Existing ICE diesel coaches (Mini)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</si>
  <si>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</si>
  <si>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</si>
  <si>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</si>
  <si>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</si>
  <si>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Gas|Total|Existing ICE Gas coaches (Mini)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</si>
  <si>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</si>
  <si>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</si>
  <si>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</si>
  <si>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</si>
  <si>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</si>
  <si>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</si>
  <si>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</si>
  <si>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</si>
  <si>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</si>
  <si>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</si>
  <si>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</si>
  <si>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</si>
  <si>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</si>
  <si>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</si>
  <si>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</si>
  <si>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</si>
  <si>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</si>
  <si>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Diesel|Total|Existing ICE diesel coaches (Mini)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</si>
  <si>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</si>
  <si>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</si>
  <si>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</si>
  <si>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</si>
  <si>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Gas|Total|Existing ICE Gas coaches (Mini)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</si>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</sst>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0.00000"/>
    <numFmt numFmtId="169" formatCode="_-[$€-2]* #,##0.00_-;\-[$€-2]* #,##0.00_-;_-[$€-2]* &quot;-&quot;??_-"/>
    <numFmt numFmtId="170" formatCode="_-* #,##0.00_-;\-* #,##0.00_-;_-* &quot;-&quot;??_-;_-@_-"/>
    <numFmt numFmtId="171" formatCode="0.000000"/>
    <numFmt numFmtId="172" formatCode="0.0000000"/>
  </numFmts>
  <fonts count="6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b/>
      <sz val="15"/>
      <color indexed="62"/>
      <name val="Calibri"/>
      <family val="2"/>
    </font>
    <font>
      <b/>
      <sz val="11"/>
      <color indexed="62"/>
      <name val="Calibri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indexed="62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1"/>
      <color rgb="FF3F3F76"/>
      <name val="Calibri"/>
      <family val="2"/>
    </font>
    <font>
      <sz val="11"/>
      <color rgb="FF9C0006"/>
      <name val="Calibri"/>
      <family val="2"/>
      <scheme val="minor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40752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7" fillId="24" borderId="0" applyNumberFormat="0" applyBorder="0" applyAlignment="0" applyProtection="0"/>
    <xf numFmtId="0" fontId="11" fillId="19" borderId="0" applyNumberFormat="0" applyBorder="0" applyAlignment="0" applyProtection="0"/>
    <xf numFmtId="0" fontId="7" fillId="23" borderId="0" applyNumberFormat="0" applyBorder="0" applyAlignment="0" applyProtection="0"/>
    <xf numFmtId="0" fontId="11" fillId="20" borderId="0" applyNumberFormat="0" applyBorder="0" applyAlignment="0" applyProtection="0"/>
    <xf numFmtId="0" fontId="7" fillId="25" borderId="0" applyNumberFormat="0" applyBorder="0" applyAlignment="0" applyProtection="0"/>
    <xf numFmtId="0" fontId="11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11" fillId="22" borderId="0" applyNumberFormat="0" applyBorder="0" applyAlignment="0" applyProtection="0"/>
    <xf numFmtId="0" fontId="7" fillId="17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7" fillId="31" borderId="0" applyNumberFormat="0" applyBorder="0" applyAlignment="0" applyProtection="0"/>
    <xf numFmtId="0" fontId="11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7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12" fillId="32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10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37" fillId="31" borderId="0" applyNumberFormat="0" applyBorder="0" applyAlignment="0" applyProtection="0"/>
    <xf numFmtId="0" fontId="12" fillId="33" borderId="0" applyNumberFormat="0" applyBorder="0" applyAlignment="0" applyProtection="0"/>
    <xf numFmtId="0" fontId="37" fillId="30" borderId="0" applyNumberFormat="0" applyBorder="0" applyAlignment="0" applyProtection="0"/>
    <xf numFmtId="0" fontId="37" fillId="15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37" fillId="23" borderId="0" applyNumberFormat="0" applyBorder="0" applyAlignment="0" applyProtection="0"/>
    <xf numFmtId="0" fontId="12" fillId="32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37" fillId="34" borderId="0" applyNumberFormat="0" applyBorder="0" applyAlignment="0" applyProtection="0"/>
    <xf numFmtId="0" fontId="12" fillId="37" borderId="0" applyNumberFormat="0" applyBorder="0" applyAlignment="0" applyProtection="0"/>
    <xf numFmtId="0" fontId="37" fillId="38" borderId="0" applyNumberFormat="0" applyBorder="0" applyAlignment="0" applyProtection="0"/>
    <xf numFmtId="0" fontId="12" fillId="39" borderId="0" applyNumberFormat="0" applyBorder="0" applyAlignment="0" applyProtection="0"/>
    <xf numFmtId="0" fontId="37" fillId="38" borderId="0" applyNumberFormat="0" applyBorder="0" applyAlignment="0" applyProtection="0"/>
    <xf numFmtId="0" fontId="12" fillId="33" borderId="0" applyNumberFormat="0" applyBorder="0" applyAlignment="0" applyProtection="0"/>
    <xf numFmtId="0" fontId="37" fillId="40" borderId="0" applyNumberFormat="0" applyBorder="0" applyAlignment="0" applyProtection="0"/>
    <xf numFmtId="0" fontId="37" fillId="12" borderId="0" applyNumberFormat="0" applyBorder="0" applyAlignment="0" applyProtection="0"/>
    <xf numFmtId="0" fontId="12" fillId="34" borderId="0" applyNumberFormat="0" applyBorder="0" applyAlignment="0" applyProtection="0"/>
    <xf numFmtId="0" fontId="37" fillId="16" borderId="0" applyNumberFormat="0" applyBorder="0" applyAlignment="0" applyProtection="0"/>
    <xf numFmtId="0" fontId="12" fillId="41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9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41" borderId="0" applyNumberFormat="0" applyBorder="0" applyAlignment="0" applyProtection="0"/>
    <xf numFmtId="0" fontId="23" fillId="30" borderId="8" applyNumberFormat="0" applyAlignment="0" applyProtection="0"/>
    <xf numFmtId="0" fontId="25" fillId="0" borderId="0" applyNumberFormat="0" applyFill="0" applyBorder="0" applyAlignment="0" applyProtection="0"/>
    <xf numFmtId="0" fontId="13" fillId="19" borderId="0" applyNumberFormat="0" applyBorder="0" applyAlignment="0" applyProtection="0"/>
    <xf numFmtId="0" fontId="38" fillId="3" borderId="0" applyNumberFormat="0" applyBorder="0" applyAlignment="0" applyProtection="0"/>
    <xf numFmtId="0" fontId="14" fillId="30" borderId="9" applyNumberFormat="0" applyAlignment="0" applyProtection="0"/>
    <xf numFmtId="0" fontId="14" fillId="30" borderId="9" applyNumberFormat="0" applyAlignment="0" applyProtection="0"/>
    <xf numFmtId="0" fontId="14" fillId="30" borderId="9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22" fillId="0" borderId="10" applyNumberFormat="0" applyFill="0" applyAlignment="0" applyProtection="0"/>
    <xf numFmtId="0" fontId="40" fillId="7" borderId="6" applyNumberFormat="0" applyAlignment="0" applyProtection="0"/>
    <xf numFmtId="0" fontId="15" fillId="42" borderId="1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1" fillId="25" borderId="12" applyNumberFormat="0" applyFont="0" applyAlignment="0" applyProtection="0"/>
    <xf numFmtId="0" fontId="30" fillId="0" borderId="13">
      <alignment horizontal="left" vertical="center" wrapText="1" indent="2"/>
    </xf>
    <xf numFmtId="0" fontId="21" fillId="23" borderId="9" applyNumberFormat="0" applyAlignment="0" applyProtection="0"/>
    <xf numFmtId="0" fontId="21" fillId="23" borderId="9" applyNumberFormat="0" applyAlignment="0" applyProtection="0"/>
    <xf numFmtId="0" fontId="24" fillId="0" borderId="14" applyNumberFormat="0" applyFill="0" applyAlignment="0" applyProtection="0"/>
    <xf numFmtId="0" fontId="16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2" fillId="2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8" fillId="0" borderId="15" applyNumberFormat="0" applyFill="0" applyAlignment="0" applyProtection="0"/>
    <xf numFmtId="0" fontId="35" fillId="0" borderId="16" applyNumberFormat="0" applyFill="0" applyAlignment="0" applyProtection="0"/>
    <xf numFmtId="0" fontId="19" fillId="0" borderId="17" applyNumberFormat="0" applyFill="0" applyAlignment="0" applyProtection="0"/>
    <xf numFmtId="0" fontId="43" fillId="0" borderId="2" applyNumberFormat="0" applyFill="0" applyAlignment="0" applyProtection="0"/>
    <xf numFmtId="0" fontId="20" fillId="0" borderId="18" applyNumberFormat="0" applyFill="0" applyAlignment="0" applyProtection="0"/>
    <xf numFmtId="0" fontId="36" fillId="0" borderId="19" applyNumberFormat="0" applyFill="0" applyAlignment="0" applyProtection="0"/>
    <xf numFmtId="0" fontId="20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44" fillId="5" borderId="3" applyNumberFormat="0" applyAlignment="0" applyProtection="0"/>
    <xf numFmtId="0" fontId="21" fillId="23" borderId="9" applyNumberFormat="0" applyAlignment="0" applyProtection="0"/>
    <xf numFmtId="0" fontId="45" fillId="5" borderId="3" applyNumberFormat="0" applyAlignment="0" applyProtection="0"/>
    <xf numFmtId="0" fontId="33" fillId="5" borderId="3" applyNumberFormat="0" applyAlignment="0" applyProtection="0"/>
    <xf numFmtId="0" fontId="13" fillId="19" borderId="0" applyNumberFormat="0" applyBorder="0" applyAlignment="0" applyProtection="0"/>
    <xf numFmtId="164" fontId="6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46" fillId="0" borderId="5" applyNumberFormat="0" applyFill="0" applyAlignment="0" applyProtection="0"/>
    <xf numFmtId="0" fontId="22" fillId="0" borderId="10" applyNumberFormat="0" applyFill="0" applyAlignment="0" applyProtection="0"/>
    <xf numFmtId="0" fontId="47" fillId="4" borderId="0" applyNumberFormat="0" applyBorder="0" applyAlignment="0" applyProtection="0"/>
    <xf numFmtId="0" fontId="26" fillId="31" borderId="0" applyNumberFormat="0" applyBorder="0" applyAlignment="0" applyProtection="0"/>
    <xf numFmtId="0" fontId="48" fillId="4" borderId="0" applyNumberFormat="0" applyBorder="0" applyAlignment="0" applyProtection="0"/>
    <xf numFmtId="0" fontId="26" fillId="31" borderId="0" applyNumberFormat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9" fillId="0" borderId="0"/>
    <xf numFmtId="0" fontId="50" fillId="0" borderId="0"/>
    <xf numFmtId="0" fontId="6" fillId="0" borderId="0"/>
    <xf numFmtId="0" fontId="6" fillId="0" borderId="0"/>
    <xf numFmtId="0" fontId="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1" fillId="0" borderId="0" applyNumberFormat="0" applyFill="0" applyBorder="0" applyProtection="0">
      <alignment horizontal="left" vertical="center"/>
    </xf>
    <xf numFmtId="4" fontId="6" fillId="43" borderId="0" applyNumberFormat="0" applyFont="0" applyBorder="0" applyAlignment="0" applyProtection="0"/>
    <xf numFmtId="0" fontId="9" fillId="0" borderId="0"/>
    <xf numFmtId="0" fontId="11" fillId="25" borderId="12" applyNumberFormat="0" applyFont="0" applyAlignment="0" applyProtection="0"/>
    <xf numFmtId="0" fontId="11" fillId="8" borderId="7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3" fillId="30" borderId="8" applyNumberFormat="0" applyAlignment="0" applyProtection="0"/>
    <xf numFmtId="0" fontId="51" fillId="24" borderId="4" applyNumberFormat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7" fillId="20" borderId="0" applyNumberFormat="0" applyBorder="0" applyAlignment="0" applyProtection="0"/>
    <xf numFmtId="0" fontId="13" fillId="19" borderId="0" applyNumberFormat="0" applyBorder="0" applyAlignment="0" applyProtection="0"/>
    <xf numFmtId="0" fontId="23" fillId="30" borderId="8" applyNumberFormat="0" applyAlignment="0" applyProtection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16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17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4" fillId="0" borderId="14" applyNumberFormat="0" applyFill="0" applyAlignment="0" applyProtection="0"/>
    <xf numFmtId="0" fontId="52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17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15" fillId="42" borderId="11" applyNumberFormat="0" applyAlignment="0" applyProtection="0"/>
    <xf numFmtId="0" fontId="22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5" fillId="42" borderId="11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43" borderId="0" applyNumberFormat="0" applyFont="0" applyBorder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54" fillId="0" borderId="0"/>
    <xf numFmtId="0" fontId="55" fillId="0" borderId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39" fillId="6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11" fillId="25" borderId="12" applyNumberFormat="0" applyFon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44" fillId="5" borderId="3" applyNumberFormat="0" applyAlignment="0" applyProtection="0"/>
    <xf numFmtId="0" fontId="57" fillId="5" borderId="3" applyNumberFormat="0" applyAlignment="0" applyProtection="0"/>
    <xf numFmtId="0" fontId="33" fillId="5" borderId="3" applyNumberFormat="0" applyAlignment="0" applyProtection="0"/>
    <xf numFmtId="0" fontId="33" fillId="5" borderId="3" applyNumberFormat="0" applyAlignment="0" applyProtection="0"/>
    <xf numFmtId="0" fontId="33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50" fillId="0" borderId="0"/>
    <xf numFmtId="0" fontId="50" fillId="0" borderId="0"/>
    <xf numFmtId="0" fontId="49" fillId="0" borderId="0"/>
    <xf numFmtId="0" fontId="55" fillId="0" borderId="0"/>
    <xf numFmtId="0" fontId="54" fillId="0" borderId="0"/>
    <xf numFmtId="0" fontId="55" fillId="0" borderId="0"/>
    <xf numFmtId="0" fontId="6" fillId="0" borderId="0"/>
    <xf numFmtId="0" fontId="54" fillId="0" borderId="0"/>
    <xf numFmtId="0" fontId="54" fillId="0" borderId="0"/>
    <xf numFmtId="0" fontId="6" fillId="0" borderId="0"/>
    <xf numFmtId="0" fontId="5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7" fillId="0" borderId="0"/>
    <xf numFmtId="0" fontId="50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6" fillId="0" borderId="0" applyNumberFormat="0" applyFill="0" applyBorder="0" applyAlignment="0" applyProtection="0"/>
    <xf numFmtId="9" fontId="55" fillId="0" borderId="0" applyFont="0" applyFill="0" applyBorder="0" applyAlignment="0" applyProtection="0"/>
    <xf numFmtId="11" fontId="6" fillId="0" borderId="0" applyFill="0" applyBorder="0" applyAlignment="0" applyProtection="0"/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1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1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11" fillId="20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2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11" fillId="2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7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11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6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1" fillId="2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11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58" fillId="3" borderId="0" applyNumberFormat="0" applyBorder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6" fillId="0" borderId="0"/>
    <xf numFmtId="0" fontId="55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6" fillId="25" borderId="12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6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42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1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42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55" fillId="0" borderId="0"/>
    <xf numFmtId="9" fontId="55" fillId="0" borderId="0" applyFont="0" applyFill="0" applyBorder="0" applyAlignment="0" applyProtection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7" fillId="0" borderId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9" borderId="0" applyNumberFormat="0" applyBorder="0" applyAlignment="0" applyProtection="0"/>
    <xf numFmtId="0" fontId="7" fillId="14" borderId="0" applyNumberFormat="0" applyBorder="0" applyAlignment="0" applyProtection="0"/>
    <xf numFmtId="0" fontId="6" fillId="44" borderId="12" applyNumberFormat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13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9" borderId="0" applyNumberFormat="0" applyBorder="0" applyAlignment="0" applyProtection="0"/>
    <xf numFmtId="0" fontId="7" fillId="17" borderId="0" applyNumberFormat="0" applyBorder="0" applyAlignment="0" applyProtection="0"/>
    <xf numFmtId="0" fontId="6" fillId="0" borderId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62" fillId="0" borderId="0" applyNumberFormat="0" applyFill="0" applyBorder="0" applyAlignment="0" applyProtection="0"/>
    <xf numFmtId="4" fontId="30" fillId="0" borderId="0"/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1" fillId="25" borderId="12" applyNumberFormat="0" applyFont="0" applyAlignment="0" applyProtection="0"/>
    <xf numFmtId="0" fontId="7" fillId="0" borderId="0"/>
    <xf numFmtId="0" fontId="7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11" fillId="25" borderId="12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164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63" fillId="0" borderId="0" applyNumberFormat="0" applyBorder="0" applyAlignment="0"/>
    <xf numFmtId="0" fontId="7" fillId="0" borderId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7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23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25" borderId="12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164" fontId="55" fillId="0" borderId="0" applyFont="0" applyFill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9" fontId="7" fillId="0" borderId="0" applyFont="0" applyFill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33">
    <xf numFmtId="0" fontId="0" fillId="0" borderId="0" xfId="0"/>
    <xf numFmtId="0" fontId="1" fillId="0" borderId="0" xfId="0" applyFont="1"/>
    <xf numFmtId="165" fontId="0" fillId="0" borderId="0" xfId="0" applyNumberFormat="1"/>
    <xf numFmtId="165" fontId="1" fillId="0" borderId="0" xfId="0" applyNumberFormat="1" applyFont="1"/>
    <xf numFmtId="9" fontId="0" fillId="0" borderId="0" xfId="1" applyFont="1"/>
    <xf numFmtId="0" fontId="4" fillId="0" borderId="0" xfId="0" applyFont="1"/>
    <xf numFmtId="2" fontId="0" fillId="0" borderId="0" xfId="0" applyNumberFormat="1"/>
    <xf numFmtId="166" fontId="0" fillId="0" borderId="0" xfId="0" applyNumberFormat="1"/>
    <xf numFmtId="0" fontId="5" fillId="0" borderId="0" xfId="0" applyFont="1"/>
    <xf numFmtId="1" fontId="0" fillId="0" borderId="0" xfId="0" applyNumberFormat="1"/>
    <xf numFmtId="0" fontId="1" fillId="0" borderId="1" xfId="0" applyFont="1" applyBorder="1"/>
    <xf numFmtId="165" fontId="1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0" fillId="0" borderId="0" xfId="0" quotePrefix="1"/>
    <xf numFmtId="0" fontId="0" fillId="0" borderId="0" xfId="0" applyAlignment="1">
      <alignment horizontal="left" indent="1"/>
    </xf>
    <xf numFmtId="168" fontId="1" fillId="0" borderId="0" xfId="0" applyNumberFormat="1" applyFont="1"/>
    <xf numFmtId="168" fontId="4" fillId="0" borderId="0" xfId="0" applyNumberFormat="1" applyFont="1"/>
    <xf numFmtId="168" fontId="4" fillId="0" borderId="0" xfId="0" quotePrefix="1" applyNumberFormat="1" applyFont="1"/>
    <xf numFmtId="168" fontId="0" fillId="0" borderId="0" xfId="1" applyNumberFormat="1" applyFont="1" applyAlignment="1">
      <alignment horizontal="center"/>
    </xf>
    <xf numFmtId="168" fontId="0" fillId="0" borderId="0" xfId="1" applyNumberFormat="1" applyFont="1" applyAlignment="1"/>
    <xf numFmtId="168" fontId="0" fillId="0" borderId="0" xfId="1" applyNumberFormat="1" applyFont="1"/>
    <xf numFmtId="168" fontId="1" fillId="0" borderId="0" xfId="1" applyNumberFormat="1" applyFont="1"/>
    <xf numFmtId="168" fontId="2" fillId="0" borderId="0" xfId="1" applyNumberFormat="1" applyFont="1"/>
    <xf numFmtId="168" fontId="4" fillId="0" borderId="0" xfId="1" applyNumberFormat="1" applyFont="1"/>
    <xf numFmtId="168" fontId="0" fillId="0" borderId="0" xfId="0" quotePrefix="1" applyNumberFormat="1"/>
    <xf numFmtId="168" fontId="1" fillId="0" borderId="0" xfId="0" quotePrefix="1" applyNumberFormat="1" applyFont="1"/>
    <xf numFmtId="171" fontId="1" fillId="0" borderId="0" xfId="0" applyNumberFormat="1" applyFont="1"/>
    <xf numFmtId="171" fontId="0" fillId="0" borderId="0" xfId="0" applyNumberFormat="1"/>
    <xf numFmtId="172" fontId="1" fillId="0" borderId="0" xfId="0" applyNumberFormat="1" applyFont="1"/>
    <xf numFmtId="172" fontId="0" fillId="0" borderId="0" xfId="0" applyNumberFormat="1"/>
    <xf numFmtId="0" fontId="0" fillId="52" borderId="0" xfId="0" applyFill="1"/>
    <xf numFmtId="0" fontId="0" fillId="53" borderId="0" xfId="0" applyFill="1"/>
  </cellXfs>
  <cellStyles count="40752">
    <cellStyle name="20 % - Accent1" xfId="3" xr:uid="{1E7BDF39-77FB-4A88-926C-B832EE990DA4}"/>
    <cellStyle name="20 % - Accent1 2" xfId="4462" xr:uid="{D90307E6-1D66-4690-9BD1-74F3C3FFD2A9}"/>
    <cellStyle name="20 % - Accent2" xfId="4" xr:uid="{E385C123-D15B-4605-B8F6-7EF4F84D723F}"/>
    <cellStyle name="20 % - Accent2 2" xfId="4463" xr:uid="{0E004222-00A2-407F-AF29-77FCE8F62B0A}"/>
    <cellStyle name="20 % - Accent3" xfId="5" xr:uid="{8DAFA6ED-90FA-4766-99B6-54107FA3ED4D}"/>
    <cellStyle name="20 % - Accent3 2" xfId="4464" xr:uid="{1B5EB30A-109F-44A0-B286-FDE3B9EBB7A7}"/>
    <cellStyle name="20 % - Accent4" xfId="6" xr:uid="{03FDA40F-1909-4899-A49C-000F0DFA4BEE}"/>
    <cellStyle name="20 % - Accent4 2" xfId="4465" xr:uid="{55A86177-6E10-451D-B6DE-E582AC642F45}"/>
    <cellStyle name="20 % - Accent5" xfId="7" xr:uid="{84120C11-E93B-4BA0-8E56-FDD19719E044}"/>
    <cellStyle name="20 % - Accent5 2" xfId="4466" xr:uid="{6CA1E939-270C-4186-8A00-BF89B3E582C1}"/>
    <cellStyle name="20 % - Accent6" xfId="8" xr:uid="{993D259A-3BCE-4D5B-A387-FA35EA9CA12D}"/>
    <cellStyle name="20 % - Accent6 2" xfId="4467" xr:uid="{A8FBE383-A845-4932-8A37-33625F73AA68}"/>
    <cellStyle name="20% - Accent1 2" xfId="9" xr:uid="{C1528C57-5131-43B8-AC6C-4488570F5CE4}"/>
    <cellStyle name="20% - Accent1 2 2" xfId="4468" xr:uid="{17502556-DA30-48BF-8986-74D98450D0A0}"/>
    <cellStyle name="20% - Accent1 3" xfId="10" xr:uid="{8C32B0A8-EB2B-4E3A-98D3-02D05CAFCA71}"/>
    <cellStyle name="20% - Accent1 3 2" xfId="4469" xr:uid="{47848F85-B03A-4429-BA36-E93DE8804817}"/>
    <cellStyle name="20% - Accent1 3 2 2" xfId="26116" xr:uid="{13C5F2BB-DC5A-4288-B655-A862375518AF}"/>
    <cellStyle name="20% - Accent1 3 3" xfId="7967" xr:uid="{7CDE298D-345A-40AA-9A9B-BF0A2CBFABEC}"/>
    <cellStyle name="20% - Accent1 3 3 2" xfId="26226" xr:uid="{0A52A349-17A6-4E1F-A6C3-5212924526CF}"/>
    <cellStyle name="20% - Accent1 3 4" xfId="7968" xr:uid="{14AF0539-FBA6-42D7-997B-08228941DBA4}"/>
    <cellStyle name="20% - Accent1 3 4 2" xfId="26345" xr:uid="{AE48B976-D082-43E5-8B35-172B772EC612}"/>
    <cellStyle name="20% - Accent1 3 5" xfId="7969" xr:uid="{F046AFCF-4F58-45C6-A8B3-DC4B11C6656E}"/>
    <cellStyle name="20% - Accent1 3 6" xfId="7970" xr:uid="{B780E057-8A92-408F-BEC2-46C695A86468}"/>
    <cellStyle name="20% - Accent1 3 6 2" xfId="27889" xr:uid="{04964007-AE88-447D-9A09-ECA090CCE315}"/>
    <cellStyle name="20% - Accent1 3 7" xfId="7971" xr:uid="{B0182CC1-141E-4904-9F29-54FAE57689D6}"/>
    <cellStyle name="20% - Accent1 3 7 2" xfId="28366" xr:uid="{DD262BA1-DC64-4BCC-9CDC-E3621319132F}"/>
    <cellStyle name="20% - Accent1 3 8" xfId="7972" xr:uid="{A7C0B595-912F-4181-A398-9DBF0F9DA850}"/>
    <cellStyle name="20% - Accent1 3 8 2" xfId="28367" xr:uid="{9A1D2099-8FAE-4B3F-B8A9-AEED961D1068}"/>
    <cellStyle name="20% - Accent1 4" xfId="7973" xr:uid="{577E39E3-F020-4219-9B74-5BBBCBFE729B}"/>
    <cellStyle name="20% - Accent1 4 2" xfId="7974" xr:uid="{A1A006BF-D238-4E51-B729-29D54345ECCF}"/>
    <cellStyle name="20% - Accent1 4 2 2" xfId="28369" xr:uid="{8432B2D8-5BEB-48D7-A384-031C829F6514}"/>
    <cellStyle name="20% - Accent1 4 3" xfId="7975" xr:uid="{6D0BA57C-67DE-4832-A40D-6705CD1DF90E}"/>
    <cellStyle name="20% - Accent1 4 3 2" xfId="28370" xr:uid="{3405B4E8-B363-4BCF-B138-88F06A42932E}"/>
    <cellStyle name="20% - Accent1 4 4" xfId="7976" xr:uid="{82E6EDCF-9C54-4885-A2C1-4F8A8ABBE13A}"/>
    <cellStyle name="20% - Accent1 4 4 2" xfId="28371" xr:uid="{3E51EAA9-8FBE-4BEB-B802-71A2F8D26821}"/>
    <cellStyle name="20% - Accent1 4 5" xfId="7977" xr:uid="{7BE34AF5-001E-4124-B572-4B36C8BA1D99}"/>
    <cellStyle name="20% - Accent1 4 5 2" xfId="28372" xr:uid="{B428F14C-821D-4D26-AEEC-77BF77972F24}"/>
    <cellStyle name="20% - Accent1 4 6" xfId="7978" xr:uid="{3E01E32D-7116-4DD9-BE2D-7108EC206699}"/>
    <cellStyle name="20% - Accent1 4 6 2" xfId="28373" xr:uid="{2C727548-1FE8-4A2C-B949-F5FA53E56264}"/>
    <cellStyle name="20% - Accent1 4 7" xfId="7979" xr:uid="{F1548537-6E66-46DF-BD17-8502837488BB}"/>
    <cellStyle name="20% - Accent1 4 7 2" xfId="28374" xr:uid="{70FB0FF9-B294-4EAA-B1AC-1B87DCE869BC}"/>
    <cellStyle name="20% - Accent1 4 8" xfId="7980" xr:uid="{400E2F7D-A2AC-4D22-8715-C797054B9A03}"/>
    <cellStyle name="20% - Accent1 4 8 2" xfId="28375" xr:uid="{9D1D0261-FA32-4B62-A4D8-C92B46177847}"/>
    <cellStyle name="20% - Accent1 4 9" xfId="28368" xr:uid="{2321CCEA-AE9D-41B7-8FDB-C29E78BB64B2}"/>
    <cellStyle name="20% - Accent2 2" xfId="11" xr:uid="{5CB0DF7C-F15B-4C3B-BC3C-071C1FFBDE46}"/>
    <cellStyle name="20% - Accent2 2 2" xfId="4470" xr:uid="{4EA38E81-177F-4133-B756-447C9087A050}"/>
    <cellStyle name="20% - Accent2 3" xfId="12" xr:uid="{00122D15-4B85-451E-8783-34285F0F0F15}"/>
    <cellStyle name="20% - Accent2 3 2" xfId="4471" xr:uid="{0D188AC2-4E8C-4AB1-A712-3DEE8D9DE9D5}"/>
    <cellStyle name="20% - Accent2 3 2 2" xfId="26115" xr:uid="{122FFE5F-D43E-43EE-9CEA-A0CAF7180E00}"/>
    <cellStyle name="20% - Accent2 3 3" xfId="7981" xr:uid="{55466413-0382-41D9-8125-6F48F213EBE0}"/>
    <cellStyle name="20% - Accent2 3 3 2" xfId="26227" xr:uid="{9F792B3E-28FB-4DC5-9D0C-4B83624B66CD}"/>
    <cellStyle name="20% - Accent2 3 4" xfId="7982" xr:uid="{F1131C4B-89D5-4003-AE3C-E3872E71F809}"/>
    <cellStyle name="20% - Accent2 3 4 2" xfId="26346" xr:uid="{811A300B-FA01-4BF1-A7AF-C344F92E1BE7}"/>
    <cellStyle name="20% - Accent2 3 5" xfId="7983" xr:uid="{C3FA4F7A-012F-4FAF-BFEF-5AA897B98877}"/>
    <cellStyle name="20% - Accent2 3 6" xfId="7984" xr:uid="{B64B1A5E-403E-486F-A973-3145BE41BC31}"/>
    <cellStyle name="20% - Accent2 3 6 2" xfId="27890" xr:uid="{3324E9AA-5AA5-4695-B123-20DD1AB9A96F}"/>
    <cellStyle name="20% - Accent2 3 7" xfId="7985" xr:uid="{6AD84681-8F9A-47DE-BE14-94070CC420B2}"/>
    <cellStyle name="20% - Accent2 3 7 2" xfId="28376" xr:uid="{090B59D7-5922-4A2F-BE7C-517ECFFC7C83}"/>
    <cellStyle name="20% - Accent2 3 8" xfId="7986" xr:uid="{0E80D51E-0421-40EB-B0E6-F9CD585E132E}"/>
    <cellStyle name="20% - Accent2 3 8 2" xfId="28377" xr:uid="{3007C144-D2E1-44D1-8F57-8AE8A1E83554}"/>
    <cellStyle name="20% - Accent2 4" xfId="7987" xr:uid="{B8BE6797-D332-4257-92C2-49891DEFF14D}"/>
    <cellStyle name="20% - Accent2 4 2" xfId="7988" xr:uid="{4C91A057-69CD-4D76-8A73-1854267775DF}"/>
    <cellStyle name="20% - Accent2 4 2 2" xfId="28379" xr:uid="{43B666BB-EA61-44FD-ABDE-5C6A0F21C8E8}"/>
    <cellStyle name="20% - Accent2 4 3" xfId="7989" xr:uid="{94823796-C729-4CA4-8471-680DBA02C668}"/>
    <cellStyle name="20% - Accent2 4 3 2" xfId="28380" xr:uid="{6542DF89-C148-49A3-B751-E2DA3D55C385}"/>
    <cellStyle name="20% - Accent2 4 4" xfId="7990" xr:uid="{AC4BFD1B-CE0E-438E-B90D-36AB1FAF2D4D}"/>
    <cellStyle name="20% - Accent2 4 4 2" xfId="28381" xr:uid="{66DFC9EC-F461-4766-9620-D91AC9CE5E3C}"/>
    <cellStyle name="20% - Accent2 4 5" xfId="7991" xr:uid="{14DD7425-A87A-4921-AB46-085471924B70}"/>
    <cellStyle name="20% - Accent2 4 5 2" xfId="28382" xr:uid="{71515DE5-1297-4F0B-BB4E-B6FBED30D27B}"/>
    <cellStyle name="20% - Accent2 4 6" xfId="7992" xr:uid="{95336325-EA49-4EA6-B7C9-DDF3656033F2}"/>
    <cellStyle name="20% - Accent2 4 6 2" xfId="28383" xr:uid="{8B38BD95-58FC-41A1-8AE3-CBABEB7874AA}"/>
    <cellStyle name="20% - Accent2 4 7" xfId="7993" xr:uid="{BC525C95-EB57-47DE-8D95-2E9714B3E6D1}"/>
    <cellStyle name="20% - Accent2 4 7 2" xfId="28384" xr:uid="{087EF41D-C353-444A-A233-3EF012081CE5}"/>
    <cellStyle name="20% - Accent2 4 8" xfId="7994" xr:uid="{6C3A375A-8A3C-4CD9-B455-FC68DD84C3EE}"/>
    <cellStyle name="20% - Accent2 4 8 2" xfId="28385" xr:uid="{F4BFEF67-7503-4729-A326-C13B2076A3B6}"/>
    <cellStyle name="20% - Accent2 4 9" xfId="28378" xr:uid="{6961DD85-0746-42A6-9384-DBF946EF0A44}"/>
    <cellStyle name="20% - Accent3 2" xfId="13" xr:uid="{DB505781-B0E6-4E8F-A158-3F40960DCC84}"/>
    <cellStyle name="20% - Accent3 2 2" xfId="4472" xr:uid="{49264C20-9449-4DF8-AEEF-5902C6991291}"/>
    <cellStyle name="20% - Accent3 3" xfId="14" xr:uid="{2E5080AB-7339-47F6-8C7E-43FDC1CC8704}"/>
    <cellStyle name="20% - Accent3 3 2" xfId="4473" xr:uid="{2C5DFDC0-C9A9-4F9F-8F91-6A0CC2068761}"/>
    <cellStyle name="20% - Accent3 3 2 2" xfId="26114" xr:uid="{BF334F4B-D4A5-4BB3-81F3-3E9D5DA58CCB}"/>
    <cellStyle name="20% - Accent3 3 3" xfId="7995" xr:uid="{9AEEEDB7-E772-4FA4-8187-2AE5718BB184}"/>
    <cellStyle name="20% - Accent3 3 3 2" xfId="26228" xr:uid="{866E13F6-36F9-4611-AD9E-9118CC596830}"/>
    <cellStyle name="20% - Accent3 3 4" xfId="7996" xr:uid="{5186EFDD-46B9-40C9-B657-53C17CDBFC43}"/>
    <cellStyle name="20% - Accent3 3 4 2" xfId="26347" xr:uid="{EA975DC2-8FA0-48F4-9EBF-C9232995311B}"/>
    <cellStyle name="20% - Accent3 3 5" xfId="7997" xr:uid="{727172DF-02E5-4A0E-99C8-6254ADBEA4A5}"/>
    <cellStyle name="20% - Accent3 3 6" xfId="7998" xr:uid="{8CA06DAC-B3A2-4F72-851D-8FE19BA19074}"/>
    <cellStyle name="20% - Accent3 3 6 2" xfId="27891" xr:uid="{23B08DC0-8ECF-4BBC-97D4-71ABEE7A6625}"/>
    <cellStyle name="20% - Accent3 3 7" xfId="7999" xr:uid="{C36A90C5-A11E-4FA5-8180-4D671C643582}"/>
    <cellStyle name="20% - Accent3 3 7 2" xfId="28386" xr:uid="{2ED0BE0A-EE68-479B-B96E-CCE974607203}"/>
    <cellStyle name="20% - Accent3 3 8" xfId="8000" xr:uid="{2191DE9C-43C2-4C7D-8A9C-7A1A4BE6BD8D}"/>
    <cellStyle name="20% - Accent3 3 8 2" xfId="28387" xr:uid="{32121C00-3294-4854-BD9C-5DE5D700B5DF}"/>
    <cellStyle name="20% - Accent3 4" xfId="8001" xr:uid="{E3E0DB9E-058B-455D-B030-A8A8452DA4E3}"/>
    <cellStyle name="20% - Accent3 4 2" xfId="8002" xr:uid="{C7B4BF38-E3C9-442E-9807-7801F75D111F}"/>
    <cellStyle name="20% - Accent3 4 2 2" xfId="28389" xr:uid="{AC4F378B-E189-4FC9-8DF8-DA1BF3BED27F}"/>
    <cellStyle name="20% - Accent3 4 3" xfId="8003" xr:uid="{3139DE56-0925-4D9F-B735-41DDC77087A2}"/>
    <cellStyle name="20% - Accent3 4 3 2" xfId="28390" xr:uid="{6F50BE4C-614A-4B87-8592-5C359613296D}"/>
    <cellStyle name="20% - Accent3 4 4" xfId="8004" xr:uid="{B9B394CF-1D0F-4188-B4AA-C5F0732DA07C}"/>
    <cellStyle name="20% - Accent3 4 4 2" xfId="28391" xr:uid="{0E839CFE-F04E-4FBA-8EA4-245034BF4480}"/>
    <cellStyle name="20% - Accent3 4 5" xfId="8005" xr:uid="{1F92B60A-0E74-449B-8C88-5055FF11C6BB}"/>
    <cellStyle name="20% - Accent3 4 5 2" xfId="28392" xr:uid="{420DC59D-47DA-473F-A7BC-157204AB1676}"/>
    <cellStyle name="20% - Accent3 4 6" xfId="8006" xr:uid="{DF653E5D-76B6-4AB8-B6E9-336664879A9C}"/>
    <cellStyle name="20% - Accent3 4 6 2" xfId="28393" xr:uid="{77539A51-936D-4BF4-9E48-E502D15DDDD1}"/>
    <cellStyle name="20% - Accent3 4 7" xfId="8007" xr:uid="{B50D0B94-10CC-4AC7-BAFB-9FAF3A8FA5F0}"/>
    <cellStyle name="20% - Accent3 4 7 2" xfId="28394" xr:uid="{F5F583FD-64DE-4687-898B-654DCDB1047C}"/>
    <cellStyle name="20% - Accent3 4 8" xfId="8008" xr:uid="{574046AC-69C8-42D0-A453-5D5C746B2212}"/>
    <cellStyle name="20% - Accent3 4 8 2" xfId="28395" xr:uid="{17A941D9-1DEF-49FE-B48F-21CB871C9B38}"/>
    <cellStyle name="20% - Accent3 4 9" xfId="28388" xr:uid="{D614FFFF-E580-4DA4-A9C4-4D8400B099A3}"/>
    <cellStyle name="20% - Accent4 2" xfId="15" xr:uid="{3A7504F5-DA67-4DDC-82C6-A3CA11EDFB3F}"/>
    <cellStyle name="20% - Accent4 2 2" xfId="4474" xr:uid="{6EF80D49-4C37-4A39-A849-FF6F80B5392E}"/>
    <cellStyle name="20% - Accent4 3" xfId="16" xr:uid="{2AE3671F-F803-473B-BB7C-C0FAB0546375}"/>
    <cellStyle name="20% - Accent4 3 2" xfId="4475" xr:uid="{B463F75F-0A64-4338-8915-0C85C8460C4A}"/>
    <cellStyle name="20% - Accent4 3 2 2" xfId="26113" xr:uid="{FF8B6443-BD4F-48C1-B25B-3B455D670A8C}"/>
    <cellStyle name="20% - Accent4 3 3" xfId="8009" xr:uid="{8E4EFBB4-BF82-47F5-9A2E-396D16EC932B}"/>
    <cellStyle name="20% - Accent4 3 3 2" xfId="26229" xr:uid="{BA84CE06-1985-4A7C-ADA5-94194B40E654}"/>
    <cellStyle name="20% - Accent4 3 4" xfId="8010" xr:uid="{DEAFEDAE-79CF-42BE-83F4-A2575AE0AFAD}"/>
    <cellStyle name="20% - Accent4 3 4 2" xfId="26348" xr:uid="{CE2CF58E-89FD-4327-B73F-1BFCEFBE46AB}"/>
    <cellStyle name="20% - Accent4 3 5" xfId="8011" xr:uid="{83CAAF34-E9AF-444B-A420-1F747440D958}"/>
    <cellStyle name="20% - Accent4 3 6" xfId="8012" xr:uid="{ECD83EE3-C834-428E-95B4-962293BD753A}"/>
    <cellStyle name="20% - Accent4 3 6 2" xfId="27892" xr:uid="{89BA3573-CFA7-44E6-9F1F-6BD21723244B}"/>
    <cellStyle name="20% - Accent4 3 7" xfId="8013" xr:uid="{1B69DED2-5C27-4686-9611-B358C98B1AF6}"/>
    <cellStyle name="20% - Accent4 3 7 2" xfId="28396" xr:uid="{D0A42453-3FDC-461E-8AE1-0FAF2B73B497}"/>
    <cellStyle name="20% - Accent4 3 8" xfId="8014" xr:uid="{FF91A52D-234E-4006-806F-4788D2A4731C}"/>
    <cellStyle name="20% - Accent4 3 8 2" xfId="28397" xr:uid="{7518D21A-45FB-4195-A549-95AC6AE825A4}"/>
    <cellStyle name="20% - Accent4 4" xfId="8015" xr:uid="{BB273D36-9ED2-4A30-BA3A-EE68F31AC413}"/>
    <cellStyle name="20% - Accent4 4 2" xfId="8016" xr:uid="{7720E976-DA8B-47A1-8066-4BD8F22E3893}"/>
    <cellStyle name="20% - Accent4 4 2 2" xfId="28399" xr:uid="{97201B23-43DC-4F9D-87E6-A5DE8E5B144C}"/>
    <cellStyle name="20% - Accent4 4 3" xfId="8017" xr:uid="{0EE344C5-2782-4E2C-A96F-49819A749011}"/>
    <cellStyle name="20% - Accent4 4 3 2" xfId="28400" xr:uid="{8489024C-F1D5-43B2-9908-1505312BA397}"/>
    <cellStyle name="20% - Accent4 4 4" xfId="8018" xr:uid="{0ED0858B-B5C5-480D-A478-5EF432D9793B}"/>
    <cellStyle name="20% - Accent4 4 4 2" xfId="28401" xr:uid="{D3D85F47-951C-483F-AC74-467904086459}"/>
    <cellStyle name="20% - Accent4 4 5" xfId="8019" xr:uid="{2868E4E8-0D99-4395-A507-64DCAC6AB997}"/>
    <cellStyle name="20% - Accent4 4 5 2" xfId="28402" xr:uid="{BA800603-B2F5-4B9C-BD12-5340F1B43CEE}"/>
    <cellStyle name="20% - Accent4 4 6" xfId="8020" xr:uid="{1E6C4D74-36A2-440E-9070-02C19C1845A3}"/>
    <cellStyle name="20% - Accent4 4 6 2" xfId="28403" xr:uid="{6AA0A037-F00D-48CD-9C3A-AF1B5FCB4DE8}"/>
    <cellStyle name="20% - Accent4 4 7" xfId="8021" xr:uid="{6AE4CB3E-5654-437B-9049-B99357AA2760}"/>
    <cellStyle name="20% - Accent4 4 7 2" xfId="28404" xr:uid="{8C639532-2CFD-4164-97F0-DC42B3D73554}"/>
    <cellStyle name="20% - Accent4 4 8" xfId="8022" xr:uid="{2F4F677F-8766-42CD-B354-82FEEFA886C0}"/>
    <cellStyle name="20% - Accent4 4 8 2" xfId="28405" xr:uid="{050BCF8E-3696-4170-8925-337500E8AC33}"/>
    <cellStyle name="20% - Accent4 4 9" xfId="28398" xr:uid="{0A08440F-A009-4BF7-AD28-361C0B040B20}"/>
    <cellStyle name="20% - Accent5 10" xfId="25720" xr:uid="{AB841113-86C8-43C8-93E8-C0C12876A3F5}"/>
    <cellStyle name="20% - Accent5 10 2" xfId="40729" xr:uid="{9E01FA34-BF57-419E-AE63-A1E7E9157AA6}"/>
    <cellStyle name="20% - Accent5 11" xfId="25964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4476" xr:uid="{EA4E6999-49D8-43D8-8097-3EEF1DCE7534}"/>
    <cellStyle name="20% - Accent5 3" xfId="4477" xr:uid="{17F88A94-28E0-49F4-891D-79CD562C740E}"/>
    <cellStyle name="20% - Accent5 3 2" xfId="8023" xr:uid="{19EE80D4-43D5-45F5-8ECA-984A9625720C}"/>
    <cellStyle name="20% - Accent5 4" xfId="8024" xr:uid="{2AA2A36D-73F2-4F3B-BE1A-F3A4090D273F}"/>
    <cellStyle name="20% - Accent5 4 2" xfId="26230" xr:uid="{F78C0E70-90D1-43C1-8618-8C0F87397899}"/>
    <cellStyle name="20% - Accent5 5" xfId="8025" xr:uid="{F16CD90A-3A93-4E1B-BDC4-B26B351FBE91}"/>
    <cellStyle name="20% - Accent5 5 2" xfId="26349" xr:uid="{5F38C4EF-EA9F-46BF-8DDB-C405E0753BF5}"/>
    <cellStyle name="20% - Accent5 6" xfId="8026" xr:uid="{97CF5CF5-D7F1-4612-A3C2-816EDF661F32}"/>
    <cellStyle name="20% - Accent5 6 2" xfId="27893" xr:uid="{FF785E2A-0BBA-4415-B5A3-E9076D6AF073}"/>
    <cellStyle name="20% - Accent5 7" xfId="8027" xr:uid="{561F91A7-5B93-42AF-8AE1-2240E72E607D}"/>
    <cellStyle name="20% - Accent5 7 2" xfId="28406" xr:uid="{8E4ED543-7570-4C21-88C4-F990333E3E8C}"/>
    <cellStyle name="20% - Accent5 8" xfId="8028" xr:uid="{A7E00F4A-6CC9-4D2A-9981-F46D1C68DD24}"/>
    <cellStyle name="20% - Accent5 8 2" xfId="28407" xr:uid="{A3046679-8924-4E95-B2F4-FB9F78B4A229}"/>
    <cellStyle name="20% - Accent5 9" xfId="24851" xr:uid="{AFD9CDF8-5D69-4862-9415-CB359836B072}"/>
    <cellStyle name="20% - Accent5 9 2" xfId="40730" xr:uid="{E71C51D3-6452-4A35-AE24-7C41A6A72FAE}"/>
    <cellStyle name="20% - Accent6 10" xfId="25725" xr:uid="{A2A1DFEF-4DA5-4151-832C-A918CAA691B2}"/>
    <cellStyle name="20% - Accent6 10 2" xfId="40731" xr:uid="{5E8FC090-DDB4-48C1-912B-49F88A25D78F}"/>
    <cellStyle name="20% - Accent6 11" xfId="25966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4478" xr:uid="{96A79471-7F37-404D-8CC5-6C82A122023D}"/>
    <cellStyle name="20% - Accent6 3" xfId="4479" xr:uid="{484645B9-0BBB-4404-9B01-F2A5BFC3187A}"/>
    <cellStyle name="20% - Accent6 3 2" xfId="8029" xr:uid="{4BA4711F-4837-4D79-B7B4-A148E0A7F71B}"/>
    <cellStyle name="20% - Accent6 4" xfId="8030" xr:uid="{A8815D5A-58B0-4F41-AAAD-31886DD58005}"/>
    <cellStyle name="20% - Accent6 4 2" xfId="26231" xr:uid="{BDC4378A-44BB-4ED4-AB44-0CB452A1A0ED}"/>
    <cellStyle name="20% - Accent6 5" xfId="8031" xr:uid="{26CEA4BA-32DF-4C33-A8DB-C7E4B97A5A86}"/>
    <cellStyle name="20% - Accent6 5 2" xfId="26350" xr:uid="{C7120FB9-DD49-4287-AA2C-7656893D89F2}"/>
    <cellStyle name="20% - Accent6 6" xfId="8032" xr:uid="{C4B68BFE-0E5F-47F2-8C32-111CBF8775E4}"/>
    <cellStyle name="20% - Accent6 6 2" xfId="27894" xr:uid="{6586B386-2E4A-4DE7-B45A-F51555E10177}"/>
    <cellStyle name="20% - Accent6 7" xfId="8033" xr:uid="{924CEBAD-3B05-48A3-8403-638DF251BEC4}"/>
    <cellStyle name="20% - Accent6 7 2" xfId="28408" xr:uid="{A6B85376-6FD1-4BB0-AC09-D9090E5499D1}"/>
    <cellStyle name="20% - Accent6 8" xfId="8034" xr:uid="{1ED2A761-C5EF-4D18-BE9D-21824CEB4AD4}"/>
    <cellStyle name="20% - Accent6 8 2" xfId="28409" xr:uid="{AB7D6DE3-3762-4F9B-863A-0F691DC4EEFF}"/>
    <cellStyle name="20% - Accent6 9" xfId="24852" xr:uid="{778A725B-D2BB-4162-B6C0-0C207E15E3A4}"/>
    <cellStyle name="20% - Accent6 9 2" xfId="40732" xr:uid="{B5228D36-7128-4235-A6BD-DDC22ABDB254}"/>
    <cellStyle name="20% - Akzent1" xfId="21" xr:uid="{26737B38-E6A3-421F-8C34-06EBAF9A95CE}"/>
    <cellStyle name="20% - Akzent1 2" xfId="4480" xr:uid="{0462FEB3-A1A6-4D18-83FA-4889C07EEDA0}"/>
    <cellStyle name="20% - Akzent2" xfId="22" xr:uid="{28F74B0B-DB76-46A8-AC47-80F2FE5DE5DD}"/>
    <cellStyle name="20% - Akzent2 2" xfId="4481" xr:uid="{869AB0E2-2214-471D-8F78-6D7F539F7DA0}"/>
    <cellStyle name="20% - Akzent3" xfId="23" xr:uid="{4991864C-3ADF-4F0C-B7EC-7AEA073CCC92}"/>
    <cellStyle name="20% - Akzent3 2" xfId="4482" xr:uid="{F9CB3612-54EE-427D-A7E7-0508A15C66E1}"/>
    <cellStyle name="20% - Akzent4" xfId="24" xr:uid="{B10E7F0D-A29D-4FB4-B334-39A2E14708DF}"/>
    <cellStyle name="20% - Akzent4 2" xfId="4483" xr:uid="{AE44F8A5-908F-48BF-A702-03CE17FA3666}"/>
    <cellStyle name="20% - Akzent5" xfId="25" xr:uid="{AFD6D169-7591-482C-A310-41AC01596FDD}"/>
    <cellStyle name="20% - Akzent5 2" xfId="4484" xr:uid="{0D30027F-6C9A-4A17-9033-9807200F8989}"/>
    <cellStyle name="20% - Akzent6" xfId="26" xr:uid="{2CF3ECE3-898B-479C-8BC6-0C61B770753F}"/>
    <cellStyle name="20% - Akzent6 2" xfId="4485" xr:uid="{531D6015-F923-48BF-B406-2B9E2EF61762}"/>
    <cellStyle name="40 % - Accent1" xfId="27" xr:uid="{D13AD135-D430-4C1C-AA3C-34ED5B55299F}"/>
    <cellStyle name="40 % - Accent1 2" xfId="4486" xr:uid="{8BB00219-D549-4CB4-924B-3ED584310A0A}"/>
    <cellStyle name="40 % - Accent2" xfId="28" xr:uid="{676E541A-D421-4816-AB6C-37A98CCB5210}"/>
    <cellStyle name="40 % - Accent2 2" xfId="4487" xr:uid="{97FB411D-312D-44CA-BE11-8A2B7994D25B}"/>
    <cellStyle name="40 % - Accent3" xfId="29" xr:uid="{1A20C310-18CC-4A08-8350-52102038B050}"/>
    <cellStyle name="40 % - Accent3 2" xfId="4488" xr:uid="{758BB844-7325-4605-B393-ACF3618BEB4E}"/>
    <cellStyle name="40 % - Accent4" xfId="30" xr:uid="{A1C1A883-88D8-4306-839D-7EE1575824C2}"/>
    <cellStyle name="40 % - Accent4 2" xfId="4489" xr:uid="{C700A04D-327D-4D4F-90F1-10E159C18997}"/>
    <cellStyle name="40 % - Accent5" xfId="31" xr:uid="{A528D126-C17A-4506-9C19-389EC7471E78}"/>
    <cellStyle name="40 % - Accent5 2" xfId="4490" xr:uid="{C70FDC94-95F4-4974-8441-82521A16E138}"/>
    <cellStyle name="40 % - Accent6" xfId="32" xr:uid="{836F0136-DDAF-4427-9824-B8320061160D}"/>
    <cellStyle name="40 % - Accent6 2" xfId="4491" xr:uid="{18748AAD-2091-454B-A231-06AC0A0381F0}"/>
    <cellStyle name="40% - Accent1 2" xfId="33" xr:uid="{E88636F7-59A3-43F3-BFD7-355B4F43B6B8}"/>
    <cellStyle name="40% - Accent1 2 2" xfId="4492" xr:uid="{45B47769-5737-4670-A30B-42A453379C7A}"/>
    <cellStyle name="40% - Accent1 3" xfId="34" xr:uid="{847AC31C-CBFF-40A4-B4BC-962251AB0DAB}"/>
    <cellStyle name="40% - Accent1 3 2" xfId="4493" xr:uid="{B102BEEB-D2E4-4CE8-B153-F52BBA45370D}"/>
    <cellStyle name="40% - Accent1 3 2 2" xfId="26112" xr:uid="{EF40B3F6-2F8B-4D0B-AC2A-F15BD92DC84B}"/>
    <cellStyle name="40% - Accent1 3 3" xfId="8035" xr:uid="{D53ED20B-4284-47EF-A502-A6FDB6FEB751}"/>
    <cellStyle name="40% - Accent1 3 3 2" xfId="26232" xr:uid="{9E479D87-7649-4ACF-BB27-0FBBEDD62374}"/>
    <cellStyle name="40% - Accent1 3 4" xfId="8036" xr:uid="{08F54CDA-4109-44BE-8ED9-2ECF6522A21B}"/>
    <cellStyle name="40% - Accent1 3 4 2" xfId="26351" xr:uid="{71BAE96A-0876-465A-B33B-556ED1795D6C}"/>
    <cellStyle name="40% - Accent1 3 5" xfId="8037" xr:uid="{9934494B-3727-4FE8-9A59-8AEB26BC7FE6}"/>
    <cellStyle name="40% - Accent1 3 6" xfId="8038" xr:uid="{654AC92E-A010-41E6-9BF1-ED6D221DA566}"/>
    <cellStyle name="40% - Accent1 3 6 2" xfId="27895" xr:uid="{29520BBD-D194-48CC-8B9F-B211E892AAD3}"/>
    <cellStyle name="40% - Accent1 3 7" xfId="8039" xr:uid="{421D6756-2942-4C84-862B-52F6F244543D}"/>
    <cellStyle name="40% - Accent1 3 7 2" xfId="28410" xr:uid="{C2953C27-5B15-4216-AC7A-D348D81209C3}"/>
    <cellStyle name="40% - Accent1 3 8" xfId="8040" xr:uid="{9D185CE9-0DB2-498F-B140-758DAF96C864}"/>
    <cellStyle name="40% - Accent1 3 8 2" xfId="28411" xr:uid="{F55C930E-DA39-4ABF-946E-6254811DB06B}"/>
    <cellStyle name="40% - Accent1 4" xfId="8041" xr:uid="{FFD37290-2494-44FE-9CD9-CE5209359269}"/>
    <cellStyle name="40% - Accent1 4 2" xfId="8042" xr:uid="{FBAD7C09-EDE0-48F4-8D89-E6E6BF7FC4C5}"/>
    <cellStyle name="40% - Accent1 4 2 2" xfId="28413" xr:uid="{22AFF8BC-23ED-4450-A502-7597016550E8}"/>
    <cellStyle name="40% - Accent1 4 3" xfId="8043" xr:uid="{D097D287-CB2D-4616-BF6D-51C3E34AC2CB}"/>
    <cellStyle name="40% - Accent1 4 3 2" xfId="28414" xr:uid="{FCF6912E-F491-446C-88D4-D45C124E4ED5}"/>
    <cellStyle name="40% - Accent1 4 4" xfId="8044" xr:uid="{FB8FAB01-92C8-4B29-A9D3-6472C2B642C8}"/>
    <cellStyle name="40% - Accent1 4 4 2" xfId="28415" xr:uid="{3F9106D2-39F5-4341-B067-8B6761FAE2E4}"/>
    <cellStyle name="40% - Accent1 4 5" xfId="8045" xr:uid="{C0E8293E-DDE4-415C-8814-7F192C46A56C}"/>
    <cellStyle name="40% - Accent1 4 5 2" xfId="28416" xr:uid="{0A996F8F-8A18-40E6-BE4F-1B97AB574378}"/>
    <cellStyle name="40% - Accent1 4 6" xfId="8046" xr:uid="{F65FBCCA-F122-4197-8C23-39B8C3E310CF}"/>
    <cellStyle name="40% - Accent1 4 6 2" xfId="28417" xr:uid="{D2E8922F-B70B-4D86-95EA-8E5ABCAB90EF}"/>
    <cellStyle name="40% - Accent1 4 7" xfId="8047" xr:uid="{CB8B0359-E49D-4043-AF0D-C58CD158BF46}"/>
    <cellStyle name="40% - Accent1 4 7 2" xfId="28418" xr:uid="{2EF371F1-C94B-4247-B6ED-66B1CA63A3F2}"/>
    <cellStyle name="40% - Accent1 4 8" xfId="8048" xr:uid="{B81B4799-3776-4A39-96CD-64A9303B0F26}"/>
    <cellStyle name="40% - Accent1 4 8 2" xfId="28419" xr:uid="{A93FF5D9-752B-44C6-8137-32049A466A71}"/>
    <cellStyle name="40% - Accent1 4 9" xfId="28412" xr:uid="{CBC1B7C3-687A-42F1-A55B-109A644C2A99}"/>
    <cellStyle name="40% - Accent2 10" xfId="25724" xr:uid="{13993CB5-327B-48CB-A07A-D22E80B88A89}"/>
    <cellStyle name="40% - Accent2 10 2" xfId="40733" xr:uid="{6510F139-1FB1-41DC-9D21-6215B631C5CF}"/>
    <cellStyle name="40% - Accent2 11" xfId="25963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4494" xr:uid="{97047ECE-4A5B-48CD-AC7F-1EAB40592C3E}"/>
    <cellStyle name="40% - Accent2 3" xfId="4495" xr:uid="{0010C2DA-ACF8-4977-A683-05A5CC9A1C18}"/>
    <cellStyle name="40% - Accent2 3 2" xfId="8049" xr:uid="{6EA0308D-8644-4EBD-8EE7-C83AF775DE96}"/>
    <cellStyle name="40% - Accent2 4" xfId="8050" xr:uid="{854DB05A-6C70-4F79-AE2F-4FEF96FD8E63}"/>
    <cellStyle name="40% - Accent2 4 2" xfId="26233" xr:uid="{282A28D7-50DE-492C-B720-8FBB78BC1386}"/>
    <cellStyle name="40% - Accent2 5" xfId="8051" xr:uid="{95BFF480-5AD5-4377-B5F6-64AAAA1BF776}"/>
    <cellStyle name="40% - Accent2 5 2" xfId="26352" xr:uid="{104CBB3F-3A2F-41FE-BBF7-4AF0C61AC63C}"/>
    <cellStyle name="40% - Accent2 6" xfId="8052" xr:uid="{5560F1C7-866A-4B7F-81A4-95518F068533}"/>
    <cellStyle name="40% - Accent2 6 2" xfId="27896" xr:uid="{77994999-2748-4C92-BE49-DF96686F8601}"/>
    <cellStyle name="40% - Accent2 7" xfId="8053" xr:uid="{1825E08F-6806-4DDA-96DE-F467CAA59180}"/>
    <cellStyle name="40% - Accent2 7 2" xfId="28420" xr:uid="{3FA8010C-DCF5-449A-B3F9-EC535AD9380E}"/>
    <cellStyle name="40% - Accent2 8" xfId="8054" xr:uid="{AF150EB2-149C-4063-AFB4-81E42C1C5679}"/>
    <cellStyle name="40% - Accent2 8 2" xfId="28421" xr:uid="{4FFE42EC-2E96-44E2-86C9-7DD6C9CE52D6}"/>
    <cellStyle name="40% - Accent2 9" xfId="24853" xr:uid="{27848EB7-08EF-4E0B-9D96-183F21F00B70}"/>
    <cellStyle name="40% - Accent2 9 2" xfId="40734" xr:uid="{62CDC78C-080D-4DD7-BD22-543ACBED8C1F}"/>
    <cellStyle name="40% - Accent3 2" xfId="37" xr:uid="{7AFEFE11-6F47-4635-A285-621ACBA78F16}"/>
    <cellStyle name="40% - Accent3 2 2" xfId="4496" xr:uid="{F0EE06BA-1E4E-4352-A6AD-6384422EE352}"/>
    <cellStyle name="40% - Accent3 3" xfId="38" xr:uid="{0AF2568C-6BDE-40B4-BC93-0C8A3CA47FB4}"/>
    <cellStyle name="40% - Accent3 3 2" xfId="4497" xr:uid="{0137A603-945A-47C3-866B-C95F363321B3}"/>
    <cellStyle name="40% - Accent3 3 2 2" xfId="26111" xr:uid="{18B987D4-CF40-42C9-A7B9-7D66343874EF}"/>
    <cellStyle name="40% - Accent3 3 3" xfId="8055" xr:uid="{DD25AC94-AF6C-4EB2-B74C-FD714BDCC41E}"/>
    <cellStyle name="40% - Accent3 3 3 2" xfId="26234" xr:uid="{C88C0BEB-BEF2-4D74-B431-D729CD8680EC}"/>
    <cellStyle name="40% - Accent3 3 4" xfId="8056" xr:uid="{FACBEE54-5AFD-417D-AD18-2B2FD900CEBA}"/>
    <cellStyle name="40% - Accent3 3 4 2" xfId="26353" xr:uid="{7DC73D38-5966-4BB7-ACB2-6C886249701F}"/>
    <cellStyle name="40% - Accent3 3 5" xfId="8057" xr:uid="{171816CB-B671-42FA-AE69-AF459FC7EC5D}"/>
    <cellStyle name="40% - Accent3 3 6" xfId="8058" xr:uid="{B54CEDB5-85C0-458C-BEDD-4C3BE68006A5}"/>
    <cellStyle name="40% - Accent3 3 6 2" xfId="27897" xr:uid="{4473FF20-5ED1-4A4B-8DCC-C3B013866442}"/>
    <cellStyle name="40% - Accent3 3 7" xfId="8059" xr:uid="{653B0E3E-1C89-432B-9008-9D2EFC86D82D}"/>
    <cellStyle name="40% - Accent3 3 7 2" xfId="28422" xr:uid="{E3F0A09D-17BE-4654-9BE2-0434699854A0}"/>
    <cellStyle name="40% - Accent3 3 8" xfId="8060" xr:uid="{D37E0F29-5674-4E39-9129-3BCC3A36D47F}"/>
    <cellStyle name="40% - Accent3 3 8 2" xfId="28423" xr:uid="{3E765A8D-E2C1-4B1E-8577-3CB5A0209D9E}"/>
    <cellStyle name="40% - Accent3 4" xfId="8061" xr:uid="{F53FCDD2-0DE4-4AFA-8C51-6630C16815E2}"/>
    <cellStyle name="40% - Accent3 4 2" xfId="8062" xr:uid="{7D254B50-C313-4CCA-A6FD-DC6EECE1FA2D}"/>
    <cellStyle name="40% - Accent3 4 2 2" xfId="28425" xr:uid="{002BBA1A-9A97-4750-9474-57570D23EA1F}"/>
    <cellStyle name="40% - Accent3 4 3" xfId="8063" xr:uid="{45B13F1C-09F1-4A2C-BB21-57FF02B60270}"/>
    <cellStyle name="40% - Accent3 4 3 2" xfId="28426" xr:uid="{86A97091-92F4-4C6C-9854-C8FF52746DCE}"/>
    <cellStyle name="40% - Accent3 4 4" xfId="8064" xr:uid="{D1C0A46F-AB61-4E6E-9354-5F0C8420405B}"/>
    <cellStyle name="40% - Accent3 4 4 2" xfId="28427" xr:uid="{75713359-999A-4ED1-A2AB-EE981DC87BBB}"/>
    <cellStyle name="40% - Accent3 4 5" xfId="8065" xr:uid="{C9A8D3F1-DB15-4A30-933B-CBCD2CB98A2C}"/>
    <cellStyle name="40% - Accent3 4 5 2" xfId="28428" xr:uid="{5D1156BD-3380-4AE7-9930-F05116799A6C}"/>
    <cellStyle name="40% - Accent3 4 6" xfId="8066" xr:uid="{9321BD8E-4262-4930-910F-0D9F15AE494F}"/>
    <cellStyle name="40% - Accent3 4 6 2" xfId="28429" xr:uid="{879C4768-E2F3-4FB4-8E33-27FB6016905C}"/>
    <cellStyle name="40% - Accent3 4 7" xfId="8067" xr:uid="{D9CE66AC-1184-4BDF-8C9F-DF451FDB59A5}"/>
    <cellStyle name="40% - Accent3 4 7 2" xfId="28430" xr:uid="{9E206F60-9DD8-4C04-897A-0AAC87B94A44}"/>
    <cellStyle name="40% - Accent3 4 8" xfId="8068" xr:uid="{32746B8D-066D-4CD7-8958-7A067F0D86E2}"/>
    <cellStyle name="40% - Accent3 4 8 2" xfId="28431" xr:uid="{24FEEF7D-EFAF-4074-9B73-9E24AD7D4BBE}"/>
    <cellStyle name="40% - Accent3 4 9" xfId="28424" xr:uid="{80EC2764-2A96-4380-A963-D89D0EE0AB47}"/>
    <cellStyle name="40% - Accent4 2" xfId="39" xr:uid="{F47C32BF-F781-473C-9E76-C15554552923}"/>
    <cellStyle name="40% - Accent4 2 2" xfId="4498" xr:uid="{7B76282D-DC49-4FB4-A065-9C339C07306E}"/>
    <cellStyle name="40% - Accent4 3" xfId="40" xr:uid="{4D795BC5-101A-4C97-B16C-F9FBFBE5C231}"/>
    <cellStyle name="40% - Accent4 3 2" xfId="4499" xr:uid="{40B36C9D-83AE-44F3-905F-ED2328ADD8D3}"/>
    <cellStyle name="40% - Accent4 3 2 2" xfId="26110" xr:uid="{31931391-4AB9-4FD0-BA58-A215A9746C35}"/>
    <cellStyle name="40% - Accent4 3 3" xfId="8069" xr:uid="{FE0E969A-E094-4FCA-AAFE-BF154784DA0A}"/>
    <cellStyle name="40% - Accent4 3 3 2" xfId="26235" xr:uid="{3612FC48-ABED-4499-ACE7-E4885F573CA6}"/>
    <cellStyle name="40% - Accent4 3 4" xfId="8070" xr:uid="{9B999FB2-0079-4A24-8BB3-F464346E86EA}"/>
    <cellStyle name="40% - Accent4 3 4 2" xfId="26354" xr:uid="{6FADB7EC-A83E-4F91-8704-ACC492AC23D0}"/>
    <cellStyle name="40% - Accent4 3 5" xfId="8071" xr:uid="{AE852B00-B5DD-4128-A63C-A533D3B58097}"/>
    <cellStyle name="40% - Accent4 3 6" xfId="8072" xr:uid="{88FBEAA6-9B45-4ED0-BB6A-36CD474F01C1}"/>
    <cellStyle name="40% - Accent4 3 6 2" xfId="27898" xr:uid="{B53271F5-3177-438B-A877-86C844BB48A2}"/>
    <cellStyle name="40% - Accent4 3 7" xfId="8073" xr:uid="{56926EB4-ABF1-4245-851F-B77621D57B37}"/>
    <cellStyle name="40% - Accent4 3 7 2" xfId="28432" xr:uid="{D179AA8A-BA77-42F6-A6D7-07AEDDFF45E1}"/>
    <cellStyle name="40% - Accent4 3 8" xfId="8074" xr:uid="{88EE0E62-EE98-4722-8E84-DC8044DE9366}"/>
    <cellStyle name="40% - Accent4 3 8 2" xfId="28433" xr:uid="{C72711DE-A08F-459D-8E74-3BB8D5B6F56D}"/>
    <cellStyle name="40% - Accent4 4" xfId="8075" xr:uid="{B2C5B9B9-A770-49DF-A561-0818F26A06D1}"/>
    <cellStyle name="40% - Accent4 4 2" xfId="8076" xr:uid="{EC028A4A-5CA9-4A01-A459-B3C72A251D6A}"/>
    <cellStyle name="40% - Accent4 4 2 2" xfId="28435" xr:uid="{68BD5B38-FD82-43B0-ADC4-D9391D1C8200}"/>
    <cellStyle name="40% - Accent4 4 3" xfId="8077" xr:uid="{A9089C24-891B-44D3-A051-D49105E217F9}"/>
    <cellStyle name="40% - Accent4 4 3 2" xfId="28436" xr:uid="{058EE1D2-B6DC-4302-8199-1D958456B293}"/>
    <cellStyle name="40% - Accent4 4 4" xfId="8078" xr:uid="{290D37B5-7C97-4D6E-AA43-64AE218EE197}"/>
    <cellStyle name="40% - Accent4 4 4 2" xfId="28437" xr:uid="{357ADA15-EDA1-40B0-BF0F-E1B29861EFDD}"/>
    <cellStyle name="40% - Accent4 4 5" xfId="8079" xr:uid="{34BC0836-29EF-425B-A4D0-7906001A915B}"/>
    <cellStyle name="40% - Accent4 4 5 2" xfId="28438" xr:uid="{979ABB0B-B192-41D7-B5E6-21390E0B9CEE}"/>
    <cellStyle name="40% - Accent4 4 6" xfId="8080" xr:uid="{FBE04E7C-CAC2-41B4-AE42-98334DB6E4A3}"/>
    <cellStyle name="40% - Accent4 4 6 2" xfId="28439" xr:uid="{EC762B43-2F7D-4C7B-8A74-A32B775E7B57}"/>
    <cellStyle name="40% - Accent4 4 7" xfId="8081" xr:uid="{038FFC9F-A7A5-4E8B-9896-C82017A994F6}"/>
    <cellStyle name="40% - Accent4 4 7 2" xfId="28440" xr:uid="{B3A761A9-23E9-4F1D-B2C0-1C09A16F0B22}"/>
    <cellStyle name="40% - Accent4 4 8" xfId="8082" xr:uid="{5144BABE-5AA2-483E-965C-5F67E0D4C674}"/>
    <cellStyle name="40% - Accent4 4 8 2" xfId="28441" xr:uid="{424F5913-ED94-4ACB-B4CF-D742E223280B}"/>
    <cellStyle name="40% - Accent4 4 9" xfId="28434" xr:uid="{42EB0601-3D54-4418-B080-5B72D9011BC3}"/>
    <cellStyle name="40% - Accent5 10" xfId="25723" xr:uid="{A0216EB9-EAD9-407F-BDD6-B3E4EA71C14A}"/>
    <cellStyle name="40% - Accent5 10 2" xfId="40735" xr:uid="{F04F55EA-F089-46BA-A229-47221FF661B2}"/>
    <cellStyle name="40% - Accent5 11" xfId="25965" xr:uid="{80728D0C-88D0-488A-9183-006B57FB3F1B}"/>
    <cellStyle name="40% - Accent5 12" xfId="41" xr:uid="{10C969A4-26A7-4DFC-9932-B4F093561EF2}"/>
    <cellStyle name="40% - Accent5 2" xfId="42" xr:uid="{383E105D-1D66-4EF4-B8BE-DDA8F8BC2B3E}"/>
    <cellStyle name="40% - Accent5 2 2" xfId="4500" xr:uid="{CB44678D-427B-47F5-8715-C32409F1F79F}"/>
    <cellStyle name="40% - Accent5 3" xfId="4501" xr:uid="{33836B3D-2F9F-4E38-96F6-64862A8B55F9}"/>
    <cellStyle name="40% - Accent5 3 2" xfId="8083" xr:uid="{E4B61D0D-0E3C-433C-96E3-E8AE4684605B}"/>
    <cellStyle name="40% - Accent5 4" xfId="8084" xr:uid="{AD02163E-0101-472F-B941-8AF5EFBEA7AB}"/>
    <cellStyle name="40% - Accent5 4 2" xfId="26236" xr:uid="{E2928C3B-E27D-49F3-97E4-47CA1E692DDB}"/>
    <cellStyle name="40% - Accent5 5" xfId="8085" xr:uid="{BDF5BA3C-D578-4645-AEA6-ED241D2AB78F}"/>
    <cellStyle name="40% - Accent5 5 2" xfId="26355" xr:uid="{212B4E7C-2A94-4E68-A546-25254B500EA3}"/>
    <cellStyle name="40% - Accent5 6" xfId="8086" xr:uid="{E4AFEB73-692B-4FD9-8158-FA07881B04C4}"/>
    <cellStyle name="40% - Accent5 6 2" xfId="27899" xr:uid="{BE90220B-37B6-4194-AC49-8482BD9C3CAD}"/>
    <cellStyle name="40% - Accent5 7" xfId="8087" xr:uid="{256E465C-33E7-488D-9C98-51411052782C}"/>
    <cellStyle name="40% - Accent5 7 2" xfId="28442" xr:uid="{83328A20-E0DB-44BC-A457-23502CD4FDC6}"/>
    <cellStyle name="40% - Accent5 8" xfId="8088" xr:uid="{189928BC-037B-4333-861B-93864777B040}"/>
    <cellStyle name="40% - Accent5 8 2" xfId="28443" xr:uid="{95C3C81F-0E34-4310-AE43-46ECD59E0AC2}"/>
    <cellStyle name="40% - Accent5 9" xfId="24854" xr:uid="{68505449-2E88-4F10-BC47-64F9D913C2C2}"/>
    <cellStyle name="40% - Accent5 9 2" xfId="40736" xr:uid="{62890B31-C86C-471A-BC1C-07E44C757958}"/>
    <cellStyle name="40% - Accent6 2" xfId="43" xr:uid="{7C1FFE1C-5CD7-4A0D-8C24-5F610F00F1FD}"/>
    <cellStyle name="40% - Accent6 2 2" xfId="4502" xr:uid="{6D305318-221D-4289-BD8B-B4C9CB57588D}"/>
    <cellStyle name="40% - Accent6 3" xfId="44" xr:uid="{253A9600-02DE-4CC1-9290-AC670F29A091}"/>
    <cellStyle name="40% - Accent6 3 2" xfId="4503" xr:uid="{01D03756-85FE-46D0-B5B2-C369C9BA60A3}"/>
    <cellStyle name="40% - Accent6 3 2 2" xfId="26109" xr:uid="{B264FFC9-2F45-476C-AEDB-501AB23AD51A}"/>
    <cellStyle name="40% - Accent6 3 3" xfId="8089" xr:uid="{3AA0358C-B0B3-4BB0-B2E7-38FA648BC151}"/>
    <cellStyle name="40% - Accent6 3 3 2" xfId="26237" xr:uid="{D091E87F-C45C-497F-BEF8-8629F02F7F39}"/>
    <cellStyle name="40% - Accent6 3 4" xfId="8090" xr:uid="{743DF861-5EF1-457D-9624-E08FCAF727DD}"/>
    <cellStyle name="40% - Accent6 3 4 2" xfId="26356" xr:uid="{934745AF-C187-4044-A687-48261B6E4A61}"/>
    <cellStyle name="40% - Accent6 3 5" xfId="8091" xr:uid="{E80AD111-B235-4CD3-A800-951F87C0D2B0}"/>
    <cellStyle name="40% - Accent6 3 6" xfId="8092" xr:uid="{16B6D82C-04B8-4EAB-AA3B-F9451A65CA9B}"/>
    <cellStyle name="40% - Accent6 3 6 2" xfId="27900" xr:uid="{2BAAF522-9640-4BC6-A216-E33806638755}"/>
    <cellStyle name="40% - Accent6 3 7" xfId="8093" xr:uid="{90031770-8F9A-4A5E-8D49-B31DCB41AC1D}"/>
    <cellStyle name="40% - Accent6 3 7 2" xfId="28444" xr:uid="{57367956-E94F-4469-977F-0067030A6FEA}"/>
    <cellStyle name="40% - Accent6 3 8" xfId="8094" xr:uid="{82DAF5B4-523E-4EDC-8DAC-7E33B5454F4D}"/>
    <cellStyle name="40% - Accent6 3 8 2" xfId="28445" xr:uid="{28A190D2-BFD1-4BEE-BCEE-F1E9895D0004}"/>
    <cellStyle name="40% - Accent6 4" xfId="8095" xr:uid="{65B3BE6E-2171-4D69-A7E4-8D6A7E45544D}"/>
    <cellStyle name="40% - Accent6 4 2" xfId="8096" xr:uid="{14E954E7-E7F8-430D-91D2-AF42CB3DB46F}"/>
    <cellStyle name="40% - Accent6 4 2 2" xfId="28447" xr:uid="{16EABA9C-B95A-4293-BF68-83D858AD9A99}"/>
    <cellStyle name="40% - Accent6 4 3" xfId="8097" xr:uid="{1BF0BDCF-39E4-455F-B3A3-7FE5CA03832B}"/>
    <cellStyle name="40% - Accent6 4 3 2" xfId="28448" xr:uid="{07E1FDDE-0A84-430E-B943-23C166048063}"/>
    <cellStyle name="40% - Accent6 4 4" xfId="8098" xr:uid="{2DC6CD5F-66B7-411F-83C3-996CE8A6CEB2}"/>
    <cellStyle name="40% - Accent6 4 4 2" xfId="28449" xr:uid="{8061FECB-7E03-410A-B7FA-C294C4B8363B}"/>
    <cellStyle name="40% - Accent6 4 5" xfId="8099" xr:uid="{A196BA9C-ED73-4532-A833-319B924F9E4B}"/>
    <cellStyle name="40% - Accent6 4 5 2" xfId="28450" xr:uid="{B17671C6-C4ED-4B2A-A7CB-69029D86A3DF}"/>
    <cellStyle name="40% - Accent6 4 6" xfId="8100" xr:uid="{7C9C1EDD-DD20-4B22-AC4E-8BF020A64798}"/>
    <cellStyle name="40% - Accent6 4 6 2" xfId="28451" xr:uid="{0D7FC70C-C16E-4037-A7B7-E4CD4E755FA2}"/>
    <cellStyle name="40% - Accent6 4 7" xfId="8101" xr:uid="{F6D04456-FC10-4955-A081-98E0E6466F18}"/>
    <cellStyle name="40% - Accent6 4 7 2" xfId="28452" xr:uid="{9B8150FD-BA61-427D-BE25-D7452009ECED}"/>
    <cellStyle name="40% - Accent6 4 8" xfId="8102" xr:uid="{EB38BF12-303C-4598-A4A1-F0FD100681F6}"/>
    <cellStyle name="40% - Accent6 4 8 2" xfId="28453" xr:uid="{EAB5031B-DB65-488D-A32A-86E9AD94BAB7}"/>
    <cellStyle name="40% - Accent6 4 9" xfId="28446" xr:uid="{5EAA9948-EF37-49B9-B538-F36B6CEA8210}"/>
    <cellStyle name="40% - Akzent1" xfId="45" xr:uid="{CDD29443-351E-4A71-8AE0-805A366B13A0}"/>
    <cellStyle name="40% - Akzent1 2" xfId="4504" xr:uid="{B8DD1D97-BFB9-41BB-A1BE-414F3BFE3B95}"/>
    <cellStyle name="40% - Akzent2" xfId="46" xr:uid="{29FD98CB-B72F-421F-984F-2AAF4971EF79}"/>
    <cellStyle name="40% - Akzent2 2" xfId="4505" xr:uid="{857D2B4E-71E3-420E-935A-28EB43F58DAE}"/>
    <cellStyle name="40% - Akzent3" xfId="47" xr:uid="{2112FEDC-481B-455C-B58F-5CF5A07A6F69}"/>
    <cellStyle name="40% - Akzent3 2" xfId="4506" xr:uid="{06260A00-076F-4745-84C5-6B83008622B4}"/>
    <cellStyle name="40% - Akzent4" xfId="48" xr:uid="{82287540-06B9-46DE-B961-B1FE94CF8B1D}"/>
    <cellStyle name="40% - Akzent4 2" xfId="4507" xr:uid="{DA04DB26-7966-4F26-B8B2-ABB1E9660419}"/>
    <cellStyle name="40% - Akzent5" xfId="49" xr:uid="{E4A7776D-B626-44E6-9731-38A0A7ED1180}"/>
    <cellStyle name="40% - Akzent5 2" xfId="4508" xr:uid="{E3A8EC58-BCAA-42F5-AF30-8AF7649F5713}"/>
    <cellStyle name="40% - Akzent6" xfId="50" xr:uid="{88E4D932-84B1-4397-9A50-37A514DE75C9}"/>
    <cellStyle name="40% - Akzent6 2" xfId="4509" xr:uid="{51C166B2-68A5-4B93-BEFC-A66CF7DCA7F2}"/>
    <cellStyle name="5x indented GHG Textfiels" xfId="51" xr:uid="{C65DF9E3-6ACE-44E7-BAD1-820D388F2259}"/>
    <cellStyle name="5x indented GHG Textfiels 2" xfId="4262" xr:uid="{027746CB-06E0-4C36-A2C9-01705865DA9D}"/>
    <cellStyle name="60 % - Accent1" xfId="52" xr:uid="{00009E32-BF47-46BF-A58D-189D642FA29E}"/>
    <cellStyle name="60 % - Accent2" xfId="53" xr:uid="{E3507D45-E522-4DC1-93DE-7E469A1A5EEF}"/>
    <cellStyle name="60 % - Accent3" xfId="54" xr:uid="{26C1B16D-131D-4E7D-BF73-802976050EF9}"/>
    <cellStyle name="60 % - Accent4" xfId="55" xr:uid="{D683C157-23B6-473C-A063-384E301E4033}"/>
    <cellStyle name="60 % - Accent5" xfId="56" xr:uid="{F9643B4F-0F61-4FD7-A5C4-8E6FA194927F}"/>
    <cellStyle name="60 % - Accent6" xfId="57" xr:uid="{5242FD6F-4B3A-4E5C-A1AF-ADA65F960BCC}"/>
    <cellStyle name="60% - Accent1 2" xfId="58" xr:uid="{17E0381E-C912-407C-B15C-3F5853729443}"/>
    <cellStyle name="60% - Accent1 3" xfId="59" xr:uid="{F1ABA30E-F2D5-4FE0-8F6D-5D4A47C67A07}"/>
    <cellStyle name="60% - Accent1 4" xfId="8103" xr:uid="{EBE363E1-8175-4B25-8261-8AC8F24F4FD1}"/>
    <cellStyle name="60% - Accent1 4 2" xfId="8104" xr:uid="{8F1354C3-FABA-4942-A4AE-87ACE711E275}"/>
    <cellStyle name="60% - Accent1 4 3" xfId="8105" xr:uid="{A1F3E637-96EA-4B92-84FB-5624A78424D6}"/>
    <cellStyle name="60% - Accent1 4 4" xfId="8106" xr:uid="{FD62AC58-5CC1-465A-B231-139523AD9ED2}"/>
    <cellStyle name="60% - Accent1 4 5" xfId="8107" xr:uid="{53207B9C-1E47-4291-9170-0A8AEE2EB637}"/>
    <cellStyle name="60% - Accent1 4 6" xfId="8108" xr:uid="{95230094-C530-48DE-8C20-CC95526C4924}"/>
    <cellStyle name="60% - Accent1 4 7" xfId="8109" xr:uid="{75B71E11-61C9-4415-9003-B8AECB50DC4A}"/>
    <cellStyle name="60% - Accent1 4 8" xfId="8110" xr:uid="{7FBE2B9E-F298-4A5C-8330-70F4A0127852}"/>
    <cellStyle name="60% - Accent2 2" xfId="61" xr:uid="{AF544F03-3CDF-4ABA-9C77-ED5DACD32569}"/>
    <cellStyle name="60% - Accent2 3" xfId="60" xr:uid="{FC48A15D-A155-4C46-8878-1D91AEAD8E12}"/>
    <cellStyle name="60% - Accent3 2" xfId="62" xr:uid="{CE1C9F6F-BA6A-4723-BE52-1E617F54F977}"/>
    <cellStyle name="60% - Accent3 3" xfId="63" xr:uid="{A47CCA1C-631C-4811-8F3A-979D7E6BDC6F}"/>
    <cellStyle name="60% - Accent3 4" xfId="8111" xr:uid="{134F4453-3D7A-483A-9E49-0C1445332A88}"/>
    <cellStyle name="60% - Accent3 4 2" xfId="8112" xr:uid="{3E5E5C34-53EB-4C66-BFA4-7C4395236B42}"/>
    <cellStyle name="60% - Accent3 4 3" xfId="8113" xr:uid="{8316E62A-5136-4C97-BEBD-93ABBE9FF2A5}"/>
    <cellStyle name="60% - Accent3 4 4" xfId="8114" xr:uid="{E9805C20-2B58-4A0F-B9F0-ACAE68DEADE3}"/>
    <cellStyle name="60% - Accent3 4 5" xfId="8115" xr:uid="{E89B8AFE-3320-4C24-A6B4-7973961B1EF7}"/>
    <cellStyle name="60% - Accent3 4 6" xfId="8116" xr:uid="{E6506579-1B9A-496E-9C5A-11D17F93F5A9}"/>
    <cellStyle name="60% - Accent3 4 7" xfId="8117" xr:uid="{849FE376-5718-4BB0-A570-509589A79355}"/>
    <cellStyle name="60% - Accent3 4 8" xfId="8118" xr:uid="{81354426-D6AB-4BA5-ADF0-6621F61B988D}"/>
    <cellStyle name="60% - Accent4 2" xfId="64" xr:uid="{F65F81FB-19F4-489B-8E91-CFB32BF71BAB}"/>
    <cellStyle name="60% - Accent4 3" xfId="65" xr:uid="{E445C79F-DBDA-4815-928F-1F7E10A1D6F1}"/>
    <cellStyle name="60% - Accent4 4" xfId="8119" xr:uid="{AEFE2AC9-BB8F-4F10-9BD8-C2B4CDF36072}"/>
    <cellStyle name="60% - Accent4 4 2" xfId="8120" xr:uid="{5A7BC93A-6F37-43C3-BD57-340D89767A5D}"/>
    <cellStyle name="60% - Accent4 4 3" xfId="8121" xr:uid="{178E2AE3-1125-40A6-8E51-0D3498D2ECD4}"/>
    <cellStyle name="60% - Accent4 4 4" xfId="8122" xr:uid="{A2BC932B-48FE-468C-8171-25E9DA86C21D}"/>
    <cellStyle name="60% - Accent4 4 5" xfId="8123" xr:uid="{DE0DFB7E-570E-418C-8FB3-2B5FA9B370F7}"/>
    <cellStyle name="60% - Accent4 4 6" xfId="8124" xr:uid="{4F405D6D-07D5-466B-9E50-FD494EAD2417}"/>
    <cellStyle name="60% - Accent4 4 7" xfId="8125" xr:uid="{6BD45FA6-AD1C-4F07-A545-900D2CA6437D}"/>
    <cellStyle name="60% - Accent4 4 8" xfId="8126" xr:uid="{302D712A-E7EB-4C26-A15F-800E08996C16}"/>
    <cellStyle name="60% - Accent5 2" xfId="67" xr:uid="{14504B39-675E-43F7-AEB8-9D8D07F4B842}"/>
    <cellStyle name="60% - Accent5 3" xfId="66" xr:uid="{1DC51E0D-1B84-4648-8829-0CBDBC66916F}"/>
    <cellStyle name="60% - Accent6 2" xfId="68" xr:uid="{04F87B3E-5763-496F-BB01-08DAADD3B5E0}"/>
    <cellStyle name="60% - Accent6 3" xfId="69" xr:uid="{4C5CB396-ACEA-4715-8D22-B7CC74F1DDF3}"/>
    <cellStyle name="60% - Accent6 4" xfId="8127" xr:uid="{C1219317-A214-4B5B-B41D-C30265E310CC}"/>
    <cellStyle name="60% - Accent6 4 2" xfId="8128" xr:uid="{7CC7AF29-476F-40D3-8E8A-3202BE1B5D28}"/>
    <cellStyle name="60% - Accent6 4 3" xfId="8129" xr:uid="{B9FAAF94-1AAC-4208-89F8-C50DA955DC31}"/>
    <cellStyle name="60% - Accent6 4 4" xfId="8130" xr:uid="{684031DF-F2DA-4F68-8203-6E53EF1BECF7}"/>
    <cellStyle name="60% - Accent6 4 5" xfId="8131" xr:uid="{787701AB-6449-487F-9903-A7E64E936D46}"/>
    <cellStyle name="60% - Accent6 4 6" xfId="8132" xr:uid="{63A453B6-98E3-4961-93AC-B9BE53414D6B}"/>
    <cellStyle name="60% - Accent6 4 7" xfId="8133" xr:uid="{B46794AD-5C04-4AB5-ACCB-66558F689303}"/>
    <cellStyle name="60% - Accent6 4 8" xfId="8134" xr:uid="{77F0FAF4-66BD-4DF2-B1B1-BFEC65B10812}"/>
    <cellStyle name="60% - Akzent1" xfId="70" xr:uid="{8A26B19B-7C88-43E5-ACD2-762B276D582A}"/>
    <cellStyle name="60% - Akzent2" xfId="71" xr:uid="{B20DC6BF-B437-4B96-A3CF-328841D07222}"/>
    <cellStyle name="60% - Akzent3" xfId="72" xr:uid="{DDE61788-2567-4BC6-9A7F-7B96AAD092B6}"/>
    <cellStyle name="60% - Akzent4" xfId="73" xr:uid="{BAF29145-190B-4AE3-834E-96C23C7D4B17}"/>
    <cellStyle name="60% - Akzent5" xfId="74" xr:uid="{349B4975-9422-4E64-92EB-0B202543411E}"/>
    <cellStyle name="60% - Akzent6" xfId="75" xr:uid="{434A8961-5987-455E-AB29-04117935E957}"/>
    <cellStyle name="Accent1 2" xfId="76" xr:uid="{F198B273-8F94-4DBD-B76D-E1EB1EE36253}"/>
    <cellStyle name="Accent1 3" xfId="77" xr:uid="{EE2C749F-C51C-437A-AA8D-9049DD9CAC25}"/>
    <cellStyle name="Accent1 4" xfId="8135" xr:uid="{6570C65B-A8DC-445A-AFFB-9AD60C287E96}"/>
    <cellStyle name="Accent1 4 2" xfId="8136" xr:uid="{5EC7DC04-1AEC-4C95-9575-8AF1C2082E77}"/>
    <cellStyle name="Accent1 4 3" xfId="8137" xr:uid="{ADEEB598-45C7-4F5C-B05F-35C4D57A80E7}"/>
    <cellStyle name="Accent1 4 4" xfId="8138" xr:uid="{9F64D3AF-2E00-4BE0-97F5-D278C4C13514}"/>
    <cellStyle name="Accent1 4 5" xfId="8139" xr:uid="{4913444F-D6AF-4261-9542-401B142A8226}"/>
    <cellStyle name="Accent1 4 6" xfId="8140" xr:uid="{4552CED5-865E-4C65-8B8C-96F0F37DF7DF}"/>
    <cellStyle name="Accent1 4 7" xfId="8141" xr:uid="{ED889CCA-C0BD-4682-8B9C-77BEF6A60210}"/>
    <cellStyle name="Accent1 4 8" xfId="8142" xr:uid="{95C70489-AF03-40C4-AC4B-45A9F4DCE20A}"/>
    <cellStyle name="Accent2 2" xfId="78" xr:uid="{0F0194CB-993E-43C0-BCC1-B5A4A5851CC9}"/>
    <cellStyle name="Accent2 3" xfId="79" xr:uid="{DDCBFB24-0E10-4886-A212-F18E23E60C23}"/>
    <cellStyle name="Accent2 4" xfId="8143" xr:uid="{09D6CB0B-A7DD-4CA8-88B5-792A21C692A3}"/>
    <cellStyle name="Accent2 4 2" xfId="8144" xr:uid="{28C131D3-7DAE-4C3A-9A97-156849DCA244}"/>
    <cellStyle name="Accent2 4 3" xfId="8145" xr:uid="{E7575D5C-9E85-4049-AAB6-11B45D879A56}"/>
    <cellStyle name="Accent2 4 4" xfId="8146" xr:uid="{636DF9DD-F79B-43F5-8828-D1F95277BC95}"/>
    <cellStyle name="Accent2 4 5" xfId="8147" xr:uid="{A3F8ECC4-6BFB-444E-92B2-CB153B92EFD4}"/>
    <cellStyle name="Accent2 4 6" xfId="8148" xr:uid="{613D1E1E-EBFB-4638-AD73-A3046712CC7A}"/>
    <cellStyle name="Accent2 4 7" xfId="8149" xr:uid="{707CD46C-E614-4696-ABF4-C8C046D9A7F0}"/>
    <cellStyle name="Accent2 4 8" xfId="8150" xr:uid="{3B0A6DFE-E8A1-42A6-828A-E4BAFD932472}"/>
    <cellStyle name="Accent3 2" xfId="80" xr:uid="{33375A2C-E26C-4037-BDFF-65998C570494}"/>
    <cellStyle name="Accent3 3" xfId="81" xr:uid="{BC3284D3-45A1-41F0-843A-B4176E333C4B}"/>
    <cellStyle name="Accent3 4" xfId="8151" xr:uid="{241D2DBE-F36A-4670-AD5E-B8F69CDB85BD}"/>
    <cellStyle name="Accent4 2" xfId="82" xr:uid="{993392C6-86C5-4955-8BD6-D1FCA2A4671E}"/>
    <cellStyle name="Accent4 3" xfId="83" xr:uid="{4EED7D66-9941-4D8D-BE87-88C40568305B}"/>
    <cellStyle name="Accent4 4" xfId="8152" xr:uid="{F31713EA-1FB0-4054-B584-E12BD7A9F20A}"/>
    <cellStyle name="Accent4 4 2" xfId="8153" xr:uid="{4D616B9E-7551-4DB3-91DA-BE16F0174E41}"/>
    <cellStyle name="Accent4 4 3" xfId="8154" xr:uid="{ED8C6E33-E6EF-496B-835E-82E059F4F756}"/>
    <cellStyle name="Accent4 4 4" xfId="8155" xr:uid="{34354667-DEA8-47D6-8BFC-6DFCDE7F731D}"/>
    <cellStyle name="Accent4 4 5" xfId="8156" xr:uid="{F3FBE967-4460-4E06-8B66-365A3446DD9E}"/>
    <cellStyle name="Accent4 4 6" xfId="8157" xr:uid="{AAFA501A-2741-4622-B20D-E142464EF683}"/>
    <cellStyle name="Accent4 4 7" xfId="8158" xr:uid="{20A12FA5-EAC9-40F0-9C45-815ACCD43801}"/>
    <cellStyle name="Accent4 4 8" xfId="8159" xr:uid="{9A4156CF-0ED3-4BD3-AFD6-DE0904AD7D98}"/>
    <cellStyle name="Accent5 2" xfId="85" xr:uid="{C9A6194E-C305-4CFC-95B1-A5F74595A2B0}"/>
    <cellStyle name="Accent5 3" xfId="84" xr:uid="{86F54507-4284-48D5-920D-3111FF0E8718}"/>
    <cellStyle name="Accent6 2" xfId="87" xr:uid="{69992448-003F-426B-878F-D281000616AC}"/>
    <cellStyle name="Accent6 3" xfId="86" xr:uid="{B7FCF172-A001-4776-A7D4-C11C60071B7D}"/>
    <cellStyle name="Akzent1" xfId="88" xr:uid="{2EAF4596-B4F4-4837-8776-2D0E3B08BD37}"/>
    <cellStyle name="Akzent2" xfId="89" xr:uid="{B5712961-17D2-4E27-B33F-E80C96764880}"/>
    <cellStyle name="Akzent3" xfId="90" xr:uid="{99CE6856-7E28-448E-B7E7-5B47F2E0BA32}"/>
    <cellStyle name="Akzent4" xfId="91" xr:uid="{D090E828-D7DD-4CED-800A-FFE23DE5F663}"/>
    <cellStyle name="Akzent5" xfId="92" xr:uid="{93368DFC-1660-4D7D-9A61-D336C13128BF}"/>
    <cellStyle name="Akzent6" xfId="93" xr:uid="{3E08FF73-F234-42B3-A170-041F5AF7AA60}"/>
    <cellStyle name="Ausgabe" xfId="94" xr:uid="{506B265B-EA71-41CC-ABFD-39459B2DEA9E}"/>
    <cellStyle name="Avertissement" xfId="95" xr:uid="{304D3122-08AD-49BD-89C8-C46F2262D291}"/>
    <cellStyle name="Bad 2" xfId="96" xr:uid="{62FC8345-BFEC-4E29-B2BC-7478E090D73C}"/>
    <cellStyle name="Bad 3" xfId="97" xr:uid="{9B4CC2CA-A25F-454D-AF64-ECA0DDE9DEE4}"/>
    <cellStyle name="Bad 4" xfId="8160" xr:uid="{85BA8983-B553-4541-96C2-57C1FE923906}"/>
    <cellStyle name="Berechnung" xfId="98" xr:uid="{F2F47551-9D1A-49D5-8460-10DFA64CED68}"/>
    <cellStyle name="Calcul" xfId="99" xr:uid="{5996D151-82C7-4A73-B215-A21FB5C94E18}"/>
    <cellStyle name="Calculation 2" xfId="100" xr:uid="{4B28B6AB-0A2F-45A0-A97B-425BAF422089}"/>
    <cellStyle name="Calculation 3" xfId="101" xr:uid="{2EC819F9-5451-4C2E-8A82-E8A163499CC9}"/>
    <cellStyle name="Calculation 3 2" xfId="4511" xr:uid="{209D7CB0-FF90-48B7-AFDA-1BD82381C2D3}"/>
    <cellStyle name="Calculation 3 3" xfId="4512" xr:uid="{F13C4018-8D01-4654-841D-6B0F167F44AC}"/>
    <cellStyle name="Calculation 3 4" xfId="4513" xr:uid="{13C508FD-3B01-4035-8490-7C211CC580A0}"/>
    <cellStyle name="Calculation 3 5" xfId="4510" xr:uid="{B695DB4C-9620-4FF7-A23C-072AF18C1A95}"/>
    <cellStyle name="Calculation 4" xfId="102" xr:uid="{1D87811A-F58E-452D-9ED7-B1B63814CD04}"/>
    <cellStyle name="Calculation 5" xfId="8161" xr:uid="{D8D4FEE1-2C8B-4B77-BCCA-4E55AEF4597D}"/>
    <cellStyle name="Calculation 5 2" xfId="8162" xr:uid="{1AAF485D-D023-411A-9FF6-A30BA5DE9B48}"/>
    <cellStyle name="Calculation 5 3" xfId="8163" xr:uid="{5D29A5EF-44C4-4B21-89E6-BF26AF9EFF72}"/>
    <cellStyle name="Calculation 5 4" xfId="8164" xr:uid="{E3F3CB41-081E-4F44-854F-B6D8935F322A}"/>
    <cellStyle name="Calculation 5 5" xfId="8165" xr:uid="{091D3217-3F41-4800-97F2-C11DC9A4EAC2}"/>
    <cellStyle name="Calculation 5 6" xfId="8166" xr:uid="{1DEF260F-A157-4CA9-88EF-5A1359666B4B}"/>
    <cellStyle name="Calculation 5 7" xfId="8167" xr:uid="{07390853-3A31-4154-94C6-63ED71F994D6}"/>
    <cellStyle name="Calculation 5 8" xfId="8168" xr:uid="{FD1FFF49-3FCE-40A5-84F3-04BAD344B428}"/>
    <cellStyle name="Cellule liée" xfId="103" xr:uid="{42CF93D8-8FC1-440A-A4E3-B4D345966274}"/>
    <cellStyle name="Check Cell 10" xfId="8169" xr:uid="{F600F252-3DEE-4D9A-860B-E6E4E7E1A0AD}"/>
    <cellStyle name="Check Cell 11" xfId="104" xr:uid="{7E81CC96-DFD3-4B4E-BADD-CE64D3193996}"/>
    <cellStyle name="Check Cell 2" xfId="105" xr:uid="{941D1934-067F-4873-8A32-3D9FB4330DA8}"/>
    <cellStyle name="Check Cell 3" xfId="8170" xr:uid="{BE916DD5-8699-48D1-B85C-5D2E24AFFABA}"/>
    <cellStyle name="Check Cell 4" xfId="8171" xr:uid="{E7B407E8-67EF-436A-819E-7DFB7C70A81D}"/>
    <cellStyle name="Check Cell 5" xfId="8172" xr:uid="{5C4DD79F-AB72-4BC1-8580-A1F22812C295}"/>
    <cellStyle name="Check Cell 6" xfId="8173" xr:uid="{1ED6B597-DAD7-46C3-B122-24FA4C0033DA}"/>
    <cellStyle name="Check Cell 7" xfId="8174" xr:uid="{D09242E0-A1A7-44B8-A8D2-E52017B5F6FD}"/>
    <cellStyle name="Check Cell 8" xfId="8175" xr:uid="{29274CFD-B977-4D74-A618-590BA59D5302}"/>
    <cellStyle name="Check Cell 9" xfId="8176" xr:uid="{11C9151A-AA97-4D73-AC9D-33685306BA6C}"/>
    <cellStyle name="Comma 10" xfId="106" xr:uid="{EB1A0B8A-DCE1-4346-8AB4-5FA5B0906744}"/>
    <cellStyle name="Comma 10 2" xfId="107" xr:uid="{C6A1E345-D469-4F02-B2F4-C33DB6566FBB}"/>
    <cellStyle name="Comma 10 2 2" xfId="24914" xr:uid="{88CFC920-8CC5-43C4-98A1-4DC79E0B0285}"/>
    <cellStyle name="Comma 10 2 2 2" xfId="26106" xr:uid="{02899B50-C4C7-4F52-B7F1-53E158C8C2A7}"/>
    <cellStyle name="Comma 10 2 3" xfId="25044" xr:uid="{BEA9A9A7-9338-4328-9F6F-466B59F439B1}"/>
    <cellStyle name="Comma 10 2 3 2" xfId="26240" xr:uid="{07A4698B-F8B7-4E7C-ABE0-CBD3AD8954AD}"/>
    <cellStyle name="Comma 10 2 4" xfId="25045" xr:uid="{D221A641-A367-4310-9EE2-6851B155E8F7}"/>
    <cellStyle name="Comma 10 2 4 2" xfId="26358" xr:uid="{95506937-3B65-4C62-BE14-7E076F4B4ABA}"/>
    <cellStyle name="Comma 10 2 5" xfId="25046" xr:uid="{A6D1B9CF-564C-4D03-BB22-D1738E31D28B}"/>
    <cellStyle name="Comma 10 2 5 2" xfId="26736" xr:uid="{8466D611-AA9C-484E-AB6A-4F31BE633697}"/>
    <cellStyle name="Comma 10 2 6" xfId="25047" xr:uid="{D2911166-ADF1-4E20-93CF-783B7FC40BA0}"/>
    <cellStyle name="Comma 10 2 6 2" xfId="27903" xr:uid="{51D57761-7627-4107-BBCC-855C15A44ADA}"/>
    <cellStyle name="Comma 10 2 7" xfId="25048" xr:uid="{CF9B4EB6-854F-437A-BDEB-571FFD23955A}"/>
    <cellStyle name="Comma 10 2 7 2" xfId="28454" xr:uid="{BA6E999A-C1AB-4244-B704-6606DF376C90}"/>
    <cellStyle name="Comma 10 2 8" xfId="25984" xr:uid="{0A56CF3B-3467-4AC0-A3B4-BB467715D00C}"/>
    <cellStyle name="Comma 10 3" xfId="24886" xr:uid="{4A2D97CF-67C1-42AD-9755-CEDA37B3D7E4}"/>
    <cellStyle name="Comma 10 3 2" xfId="25049" xr:uid="{8A8A3695-FCFB-4ADD-A7F7-2250FF853081}"/>
    <cellStyle name="Comma 10 3 2 2" xfId="28220" xr:uid="{217F1061-B25E-4C53-8A44-6B494A48DEB2}"/>
    <cellStyle name="Comma 10 3 3" xfId="25050" xr:uid="{075E2893-C298-4C2A-B292-9A9EE51D316D}"/>
    <cellStyle name="Comma 10 3 3 2" xfId="28455" xr:uid="{867D7BDA-00C4-4CA3-B72E-84D4DCB75DF2}"/>
    <cellStyle name="Comma 10 3 4" xfId="26108" xr:uid="{C86E70DB-ED87-4191-B604-3DF1B7C81FA7}"/>
    <cellStyle name="Comma 10 4" xfId="24913" xr:uid="{A7457B6A-3940-4197-ACBD-84582DB1D6EF}"/>
    <cellStyle name="Comma 10 4 2" xfId="26239" xr:uid="{0DE193A3-E5F1-4E05-9E13-2E357EE6C8C9}"/>
    <cellStyle name="Comma 10 5" xfId="25051" xr:uid="{CD4583F5-A904-4D82-AEA6-44F26E788450}"/>
    <cellStyle name="Comma 10 5 2" xfId="26357" xr:uid="{BFF44F4A-F6BC-4720-A198-9E1F95FFAD20}"/>
    <cellStyle name="Comma 10 6" xfId="25052" xr:uid="{F8826AFD-31DA-4DF1-A52B-54E081B1F731}"/>
    <cellStyle name="Comma 10 6 2" xfId="26735" xr:uid="{8425E3F5-BADD-4FE3-83D1-4E8085B18CAD}"/>
    <cellStyle name="Comma 10 7" xfId="25053" xr:uid="{05371EF9-F3B4-4CDC-9D41-50116D3E9F34}"/>
    <cellStyle name="Comma 10 7 2" xfId="27902" xr:uid="{FC0E4135-0895-4F86-8775-413A56155637}"/>
    <cellStyle name="Comma 10 8" xfId="25054" xr:uid="{FBFE8F06-1993-4232-BB83-8C320D62D4EB}"/>
    <cellStyle name="Comma 10 8 2" xfId="28456" xr:uid="{8AF2305A-3A40-4B2B-9C3F-54DB33B3D359}"/>
    <cellStyle name="Comma 10 9" xfId="25983" xr:uid="{4FFCF191-67FA-46EF-94CA-A6EF8BF1725E}"/>
    <cellStyle name="Comma 11" xfId="108" xr:uid="{9F0DE6FB-5E5E-4460-B6EC-9BC562F56621}"/>
    <cellStyle name="Comma 11 2" xfId="109" xr:uid="{3189C5FC-C1B7-4AC1-8DA1-F198E249B4AF}"/>
    <cellStyle name="Comma 11 2 2" xfId="24916" xr:uid="{C528B870-C362-43BA-9A68-1F249506B7C3}"/>
    <cellStyle name="Comma 11 2 2 2" xfId="26104" xr:uid="{5B374905-B2C5-436A-8A98-511DD92CCA7D}"/>
    <cellStyle name="Comma 11 2 3" xfId="25055" xr:uid="{1DC52AF2-14D2-492B-83AE-D2976E7B5836}"/>
    <cellStyle name="Comma 11 2 3 2" xfId="26242" xr:uid="{10A23E9F-F21D-483E-AF02-52C0C6E776B2}"/>
    <cellStyle name="Comma 11 2 4" xfId="25056" xr:uid="{D76C0B00-8DD2-43E6-ABD5-32CB94AE978F}"/>
    <cellStyle name="Comma 11 2 4 2" xfId="26360" xr:uid="{5BDB6B21-C88B-42A3-AC07-71119A9D024A}"/>
    <cellStyle name="Comma 11 2 5" xfId="25057" xr:uid="{2186BE80-7297-4148-87C5-F71437663050}"/>
    <cellStyle name="Comma 11 2 5 2" xfId="26738" xr:uid="{530C2349-72A7-4CF6-B7C6-CCE07194367B}"/>
    <cellStyle name="Comma 11 2 6" xfId="25058" xr:uid="{5719E3E8-EE68-4C73-81DB-453B066538AA}"/>
    <cellStyle name="Comma 11 2 6 2" xfId="27905" xr:uid="{8DAE4D12-A942-413B-A805-53DD9013B7B8}"/>
    <cellStyle name="Comma 11 2 7" xfId="25059" xr:uid="{7C97B0E3-4FA7-4B90-B7B5-D3EC45FF1D2B}"/>
    <cellStyle name="Comma 11 2 7 2" xfId="28457" xr:uid="{5B9B2433-970B-4196-9364-3ECA6E35AFFF}"/>
    <cellStyle name="Comma 11 2 8" xfId="25986" xr:uid="{0CACD79A-849B-41A5-A805-2D5AC6BF9693}"/>
    <cellStyle name="Comma 11 3" xfId="24887" xr:uid="{5B54208B-546B-45BE-838B-D4F4FEAD369C}"/>
    <cellStyle name="Comma 11 3 2" xfId="25060" xr:uid="{7A77B6B5-B6DD-4E01-88CE-04D582FB21A0}"/>
    <cellStyle name="Comma 11 3 2 2" xfId="28221" xr:uid="{59BB5339-1854-4686-AC20-C725383DA8E5}"/>
    <cellStyle name="Comma 11 3 3" xfId="25061" xr:uid="{B7BB91CC-2A7A-4119-A26D-E9D0FBD1D6F4}"/>
    <cellStyle name="Comma 11 3 3 2" xfId="28458" xr:uid="{3F7A0A26-BAF7-46D3-B8D5-383E7FC9208E}"/>
    <cellStyle name="Comma 11 3 4" xfId="26105" xr:uid="{821C4135-F5F8-4778-9A48-80A4A293F0B9}"/>
    <cellStyle name="Comma 11 4" xfId="24915" xr:uid="{A4B8F3C6-E071-4CB8-B44E-0835B1FABA2D}"/>
    <cellStyle name="Comma 11 4 2" xfId="26241" xr:uid="{462697D9-15AC-4D15-A8A8-379732657A46}"/>
    <cellStyle name="Comma 11 5" xfId="25062" xr:uid="{6C7EAFD3-57BE-4F7C-A7C0-09949CABC02D}"/>
    <cellStyle name="Comma 11 5 2" xfId="26359" xr:uid="{47ED0690-4DA4-4298-885D-BE51AD02BFDD}"/>
    <cellStyle name="Comma 11 6" xfId="25063" xr:uid="{C9473474-7D95-44BE-9D02-6A0CA1C39DFD}"/>
    <cellStyle name="Comma 11 6 2" xfId="26737" xr:uid="{FBB1300F-7A07-4C50-A765-3CCBF051A855}"/>
    <cellStyle name="Comma 11 7" xfId="25064" xr:uid="{FCFA8059-83FA-476D-80D7-256461755D11}"/>
    <cellStyle name="Comma 11 7 2" xfId="27904" xr:uid="{13C5AED5-2397-4BE8-A701-C0C57C6B5428}"/>
    <cellStyle name="Comma 11 8" xfId="25065" xr:uid="{CFD1E0DF-D0AA-4F77-96ED-6137C5EF8C5B}"/>
    <cellStyle name="Comma 11 8 2" xfId="28459" xr:uid="{9057A10F-12DB-4B85-BAF3-B7C4396533FF}"/>
    <cellStyle name="Comma 11 9" xfId="25985" xr:uid="{51C0D802-0229-4EC3-8422-9F4482900382}"/>
    <cellStyle name="Comma 12" xfId="110" xr:uid="{C587AD86-30E7-4AA3-AD1B-7E70A9B0DA9E}"/>
    <cellStyle name="Comma 12 2" xfId="111" xr:uid="{6247387B-EEE6-4017-8126-E8C0921DEB16}"/>
    <cellStyle name="Comma 12 2 2" xfId="25066" xr:uid="{8D4892E0-87A7-4BBA-AB2A-710F1DAE4551}"/>
    <cellStyle name="Comma 12 2 2 2" xfId="26102" xr:uid="{F26BD043-7F7C-4A11-ABD4-6919FD497399}"/>
    <cellStyle name="Comma 12 2 3" xfId="25067" xr:uid="{842F61D0-8AE3-4F07-9B4C-627D07897A5F}"/>
    <cellStyle name="Comma 12 2 3 2" xfId="26244" xr:uid="{D2C4C330-BE89-415E-BB17-7CEF666E9128}"/>
    <cellStyle name="Comma 12 2 4" xfId="25068" xr:uid="{432325A5-A769-4F7C-8DB7-321ED29F3106}"/>
    <cellStyle name="Comma 12 2 4 2" xfId="26362" xr:uid="{DC09AE1B-298F-4BD7-96D7-496F1098A2ED}"/>
    <cellStyle name="Comma 12 2 5" xfId="25069" xr:uid="{02A22D6A-37D6-4DD0-90D9-F66ADBBF430F}"/>
    <cellStyle name="Comma 12 2 5 2" xfId="27907" xr:uid="{4CC6CC37-B8EC-4318-A380-C4B3EAA1F68C}"/>
    <cellStyle name="Comma 12 2 6" xfId="25070" xr:uid="{2A0BDD6B-E1A7-4011-A018-50E15356D223}"/>
    <cellStyle name="Comma 12 2 6 2" xfId="28460" xr:uid="{EA802755-25DD-42CF-8A6C-19AA3004E23A}"/>
    <cellStyle name="Comma 12 2 7" xfId="25988" xr:uid="{B182C195-8696-421F-88ED-C7E3D88F8D30}"/>
    <cellStyle name="Comma 12 3" xfId="24917" xr:uid="{A8F3B4F4-61DD-4F43-BC2A-9C3DC747AD0C}"/>
    <cellStyle name="Comma 12 3 2" xfId="26103" xr:uid="{E3AFC9A0-75D4-4CB0-85CC-07363EA52FA3}"/>
    <cellStyle name="Comma 12 4" xfId="25071" xr:uid="{5643AD14-3608-479C-AEE8-490FA5F6A6EC}"/>
    <cellStyle name="Comma 12 4 2" xfId="26243" xr:uid="{33C2078B-A60E-4F6B-BE48-3981711C1F8E}"/>
    <cellStyle name="Comma 12 5" xfId="25072" xr:uid="{B5F02219-55FB-4D0A-B9B3-8FBAFE3DBA5B}"/>
    <cellStyle name="Comma 12 5 2" xfId="26361" xr:uid="{C8E6A473-4F01-4784-9019-C8257BF8F585}"/>
    <cellStyle name="Comma 12 6" xfId="25073" xr:uid="{072BA0F7-7B05-4814-9436-61EA4B5778F7}"/>
    <cellStyle name="Comma 12 6 2" xfId="26739" xr:uid="{91957977-920D-48C6-82CD-6288C2C25608}"/>
    <cellStyle name="Comma 12 7" xfId="25074" xr:uid="{E3785B30-C337-4A75-BD66-C703FD523CC0}"/>
    <cellStyle name="Comma 12 7 2" xfId="27906" xr:uid="{B184A725-D48C-42CD-8112-2EFB98134F21}"/>
    <cellStyle name="Comma 12 8" xfId="25075" xr:uid="{2865C745-9E68-4205-9512-9C2FEB0A22D8}"/>
    <cellStyle name="Comma 12 8 2" xfId="28461" xr:uid="{F345E900-E0B0-4ED7-9198-0A868327EC57}"/>
    <cellStyle name="Comma 12 9" xfId="25987" xr:uid="{ACDAC515-6A00-4C8C-AF6A-A306940A3B69}"/>
    <cellStyle name="Comma 13" xfId="112" xr:uid="{C067B15E-8107-4735-8B7E-C626E6DFE652}"/>
    <cellStyle name="Comma 13 2" xfId="24918" xr:uid="{46282CB0-4F94-4207-8A04-BE813AE78839}"/>
    <cellStyle name="Comma 13 2 2" xfId="25076" xr:uid="{953EB1F9-4A03-4BC0-8FE7-98061DCE3DFA}"/>
    <cellStyle name="Comma 13 2 2 2" xfId="28462" xr:uid="{EDC12707-FD27-4F8A-B8F8-3DEF54FE0617}"/>
    <cellStyle name="Comma 13 2 3" xfId="26101" xr:uid="{3489E263-4741-4E36-A042-8764AD381BA0}"/>
    <cellStyle name="Comma 13 3" xfId="25077" xr:uid="{764F7036-CAAC-4D54-B76F-3E22EC2F130F}"/>
    <cellStyle name="Comma 13 3 2" xfId="25078" xr:uid="{E22A5658-1B46-4851-9422-4FFD66DE0FE9}"/>
    <cellStyle name="Comma 13 3 2 2" xfId="28463" xr:uid="{E79E5EEA-3547-4A41-ACCD-EFE00B9DAFDF}"/>
    <cellStyle name="Comma 13 3 3" xfId="26245" xr:uid="{F37FC784-8B5B-4C05-A861-5741F6CC7D54}"/>
    <cellStyle name="Comma 13 4" xfId="25079" xr:uid="{E2968360-E513-4B54-9F71-FECE033137C2}"/>
    <cellStyle name="Comma 13 4 2" xfId="25080" xr:uid="{B6D18F2E-8602-44F2-82EA-8736A2FDC8AA}"/>
    <cellStyle name="Comma 13 4 2 2" xfId="28464" xr:uid="{489CE14D-60EA-4B14-9222-F49D5A9E3599}"/>
    <cellStyle name="Comma 13 4 3" xfId="26363" xr:uid="{BB6A0EAA-B2C1-444E-B5FB-96B952380F2C}"/>
    <cellStyle name="Comma 13 5" xfId="25081" xr:uid="{49E99058-02B1-4197-916E-8FE749F27D3C}"/>
    <cellStyle name="Comma 13 5 2" xfId="25082" xr:uid="{DAA0A691-7776-420C-A70E-0258A6160CBF}"/>
    <cellStyle name="Comma 13 5 2 2" xfId="28465" xr:uid="{0F50A65A-E688-49A5-9767-88426FAE9DC8}"/>
    <cellStyle name="Comma 13 5 3" xfId="26740" xr:uid="{5E120413-1F3A-49DD-9F27-EE8E8B55C7CB}"/>
    <cellStyle name="Comma 13 6" xfId="25083" xr:uid="{AF36E664-C498-4F81-BA26-1859849C0607}"/>
    <cellStyle name="Comma 13 6 2" xfId="27908" xr:uid="{6DF3F227-A300-43D8-BE83-F9D88C8EBBFA}"/>
    <cellStyle name="Comma 13 7" xfId="8177" xr:uid="{B86CC485-D820-4795-82B2-220B32F32A34}"/>
    <cellStyle name="Comma 13 7 2" xfId="28466" xr:uid="{9B117E6D-EDFD-4A41-9155-643B668BF4BC}"/>
    <cellStyle name="Comma 13 8" xfId="25969" xr:uid="{4C42FD07-DDB0-4E90-851C-99141DB8E5A8}"/>
    <cellStyle name="Comma 14" xfId="24859" xr:uid="{6A399930-9A25-460A-A1E0-663BC118A206}"/>
    <cellStyle name="Comma 14 2" xfId="24919" xr:uid="{FEFB8D68-5722-4D53-90CF-7B7396445400}"/>
    <cellStyle name="Comma 14 2 2" xfId="25084" xr:uid="{0C9586A2-CA3F-4F9F-8D7C-ECDAAF080B0E}"/>
    <cellStyle name="Comma 14 2 2 2" xfId="28467" xr:uid="{C1A8670F-F1CE-4D81-AD8A-7B21C9B874D9}"/>
    <cellStyle name="Comma 14 2 3" xfId="26741" xr:uid="{1DB76061-1CF5-4382-9AE9-AAE35D96ACA4}"/>
    <cellStyle name="Comma 14 3" xfId="25085" xr:uid="{06461E82-EF4C-43DA-B73A-EA1CF9E3F06F}"/>
    <cellStyle name="Comma 14 3 2" xfId="28219" xr:uid="{94EB4EDC-22C4-4982-936E-18104FEDE0FE}"/>
    <cellStyle name="Comma 14 4" xfId="8178" xr:uid="{FE96A4D8-2299-41D2-8F02-74AA9FFEA852}"/>
    <cellStyle name="Comma 14 4 2" xfId="28468" xr:uid="{E8BC6D7C-516B-4BA3-9EB6-838999671EBD}"/>
    <cellStyle name="Comma 14 5" xfId="25970" xr:uid="{6DAF251C-6818-4D8F-80A7-1AA2F124FC7C}"/>
    <cellStyle name="Comma 15" xfId="24863" xr:uid="{85E2013C-7C39-429D-80E5-E7B63CBCBC6E}"/>
    <cellStyle name="Comma 15 2" xfId="25086" xr:uid="{EF7D5D77-D722-49CC-9F53-BE6980B6941D}"/>
    <cellStyle name="Comma 15 2 2" xfId="26742" xr:uid="{D9405338-C87A-4510-B3A3-D634A8645238}"/>
    <cellStyle name="Comma 15 3" xfId="26238" xr:uid="{D51F5973-9ECC-436B-AE38-DC1DD58E2C75}"/>
    <cellStyle name="Comma 16" xfId="25042" xr:uid="{FE145A2A-4F64-4ACC-B9DD-70D6EB5C37CC}"/>
    <cellStyle name="Comma 16 2" xfId="25087" xr:uid="{236858F1-7E88-4535-8C9E-278533AEDF9A}"/>
    <cellStyle name="Comma 16 2 2" xfId="27888" xr:uid="{543E5880-6C49-4A72-9A81-7904842CE6E2}"/>
    <cellStyle name="Comma 16 3" xfId="25976" xr:uid="{7B4B3226-F4DD-4E81-A479-4DCD7A987EAA}"/>
    <cellStyle name="Comma 17" xfId="24861" xr:uid="{7CEA6C32-16DA-42F5-9BF3-51481C9026EA}"/>
    <cellStyle name="Comma 17 2" xfId="25959" xr:uid="{ABDDCD33-E838-437B-8793-07A31D27D3B9}"/>
    <cellStyle name="Comma 18" xfId="8179" xr:uid="{0FF7E3BF-6213-4491-B8C9-5BCD8F9F45C2}"/>
    <cellStyle name="Comma 18 2" xfId="26079" xr:uid="{A51F3DC9-7CA5-4744-ACF4-D56F6C62D07A}"/>
    <cellStyle name="Comma 19" xfId="25043" xr:uid="{CCD9B0D4-0321-44D3-8933-0E94CBED2552}"/>
    <cellStyle name="Comma 19 2" xfId="27901" xr:uid="{50B14B85-8BA4-4CDD-9B91-FA0A26B7EE1C}"/>
    <cellStyle name="Comma 2" xfId="3949" xr:uid="{BF741904-E7EF-4E63-B382-1FC2FE505FFE}"/>
    <cellStyle name="Comma 2 10" xfId="26107" xr:uid="{CB6D9B2A-0161-45A1-B720-F256C6592C67}"/>
    <cellStyle name="Comma 2 2" xfId="113" xr:uid="{76B9E859-A40B-4969-B926-D9A9CD32DF9E}"/>
    <cellStyle name="Comma 2 2 2" xfId="3950" xr:uid="{F247A710-B902-4C33-8EF3-100CB71151BD}"/>
    <cellStyle name="Comma 2 2 2 2" xfId="25088" xr:uid="{C5D4CC24-B007-43C8-B106-5B3FB966337F}"/>
    <cellStyle name="Comma 2 2 2 2 2" xfId="28223" xr:uid="{E2953DFA-3D77-4793-B1DD-49FB1D586BE1}"/>
    <cellStyle name="Comma 2 2 2 3" xfId="25089" xr:uid="{8C7E1FF9-0E1D-45A0-A951-E32F21D6F74D}"/>
    <cellStyle name="Comma 2 2 2 3 2" xfId="28469" xr:uid="{F5484541-CDED-427D-A690-1E58DA5A0A0B}"/>
    <cellStyle name="Comma 2 2 2 4" xfId="26100" xr:uid="{49BD6E1B-B5C7-48EB-BF37-401C592F2F33}"/>
    <cellStyle name="Comma 2 2 3" xfId="24896" xr:uid="{C854644F-9A7F-47F0-8944-11B552143BE4}"/>
    <cellStyle name="Comma 2 2 3 2" xfId="26246" xr:uid="{D743083F-05C2-446E-9CE4-A6424CE2C90E}"/>
    <cellStyle name="Comma 2 2 4" xfId="25090" xr:uid="{DD7A1EE9-64E6-4E1C-9381-34BBBFDDE0FC}"/>
    <cellStyle name="Comma 2 2 4 2" xfId="26364" xr:uid="{AAFD334E-B999-439C-BEFB-8A2CCDC1B174}"/>
    <cellStyle name="Comma 2 2 5" xfId="25091" xr:uid="{30783AF1-8D6F-458F-AB9F-E1936AB1F64B}"/>
    <cellStyle name="Comma 2 2 5 2" xfId="26470" xr:uid="{B09A5BF0-2629-4C7E-933C-A48706B78C3F}"/>
    <cellStyle name="Comma 2 2 6" xfId="25092" xr:uid="{23C864E0-A391-4E0A-9D2A-ECAD0F272CFD}"/>
    <cellStyle name="Comma 2 2 6 2" xfId="27909" xr:uid="{1CCC714D-2910-49C2-AB7F-6E70D4FDDDDB}"/>
    <cellStyle name="Comma 2 2 7" xfId="25093" xr:uid="{521F701E-12C3-41BD-AA81-34EEF530243A}"/>
    <cellStyle name="Comma 2 2 7 2" xfId="28470" xr:uid="{7125932D-30A9-4CF1-9702-74D77616A538}"/>
    <cellStyle name="Comma 2 2 8" xfId="25978" xr:uid="{E602F82F-4F2A-4373-942F-9DA873C0DDEB}"/>
    <cellStyle name="Comma 2 3" xfId="114" xr:uid="{46A9681B-F6E9-4B89-BF3E-3E7CFECE610A}"/>
    <cellStyle name="Comma 2 3 2" xfId="3951" xr:uid="{6F7BCEFD-E784-4E4B-91A8-CFF5A75F4774}"/>
    <cellStyle name="Comma 2 3 2 2" xfId="25094" xr:uid="{5E08A24D-3436-4B24-9351-76B285CD0206}"/>
    <cellStyle name="Comma 2 3 2 2 2" xfId="28224" xr:uid="{014D61E1-2060-41A0-AB35-4EED69C5F3E4}"/>
    <cellStyle name="Comma 2 3 2 3" xfId="25095" xr:uid="{422B4F20-83C7-4EB7-900C-7831F6EEAA42}"/>
    <cellStyle name="Comma 2 3 2 3 2" xfId="28471" xr:uid="{F17F88DB-1E67-427A-A54F-A370F6BFE0FA}"/>
    <cellStyle name="Comma 2 3 2 4" xfId="26099" xr:uid="{F686D480-500F-41EB-916C-871559794FFB}"/>
    <cellStyle name="Comma 2 3 3" xfId="24897" xr:uid="{CC75F677-47B6-4FCB-A82F-3923D2263B24}"/>
    <cellStyle name="Comma 2 3 3 2" xfId="26247" xr:uid="{AB766CBF-DB93-4CA9-97BF-AED5C5CE8950}"/>
    <cellStyle name="Comma 2 3 4" xfId="25096" xr:uid="{5DB76345-C390-4FDE-ADCA-F2AAEC0AADD9}"/>
    <cellStyle name="Comma 2 3 4 2" xfId="26365" xr:uid="{98EF6754-F3BE-427E-94D6-838B2115F712}"/>
    <cellStyle name="Comma 2 3 5" xfId="25097" xr:uid="{81C0CBEE-591F-4D3A-9DCD-747D1CC5A226}"/>
    <cellStyle name="Comma 2 3 5 2" xfId="26471" xr:uid="{1D724A73-48C2-43C6-87AE-736A867135CA}"/>
    <cellStyle name="Comma 2 3 6" xfId="25098" xr:uid="{F361A759-D6E2-4725-9028-C95A1EA9B149}"/>
    <cellStyle name="Comma 2 3 6 2" xfId="27910" xr:uid="{F78E081B-E8CC-4B85-9834-8251F8C07480}"/>
    <cellStyle name="Comma 2 3 7" xfId="25099" xr:uid="{07BD50D9-C807-4747-95E4-DBFEF3638494}"/>
    <cellStyle name="Comma 2 3 7 2" xfId="28472" xr:uid="{62BCB668-EEE1-4CC5-87E3-B23C4882B5C0}"/>
    <cellStyle name="Comma 2 3 8" xfId="25989" xr:uid="{DC6CC8EE-D04C-4C93-A0F5-5CAD1E1E915D}"/>
    <cellStyle name="Comma 2 4" xfId="115" xr:uid="{97146237-CFB2-4F38-9E90-F3D4E1B3112E}"/>
    <cellStyle name="Comma 2 4 2" xfId="25100" xr:uid="{49E17051-FDF4-4C5D-868F-E8E05EF7DF4E}"/>
    <cellStyle name="Comma 2 4 2 2" xfId="25101" xr:uid="{92436538-80E2-47BB-8D9F-9889FE486E04}"/>
    <cellStyle name="Comma 2 4 2 2 2" xfId="28473" xr:uid="{D6A63D3B-3512-44A5-BF2E-ECD7B3211354}"/>
    <cellStyle name="Comma 2 4 2 3" xfId="26098" xr:uid="{5AD324D9-DF51-4FD4-A60B-4A7E485AAE86}"/>
    <cellStyle name="Comma 2 4 3" xfId="25102" xr:uid="{C02CE9BD-83EC-4E43-9F38-C418C9047926}"/>
    <cellStyle name="Comma 2 4 3 2" xfId="26248" xr:uid="{028CB65B-FDE6-4451-9B1D-D2B2C1930858}"/>
    <cellStyle name="Comma 2 4 4" xfId="25103" xr:uid="{77EB0A59-B124-4484-A433-F4999020F13F}"/>
    <cellStyle name="Comma 2 4 4 2" xfId="26366" xr:uid="{9935320E-64D9-4AA6-95E2-AC800C81EF3B}"/>
    <cellStyle name="Comma 2 4 5" xfId="25104" xr:uid="{872A2A1D-670C-4546-9307-98E99D7FDD6A}"/>
    <cellStyle name="Comma 2 4 5 2" xfId="27911" xr:uid="{BE4A815A-8F2E-4C9F-81DC-1217CD68D15A}"/>
    <cellStyle name="Comma 2 4 6" xfId="25105" xr:uid="{60B2D5B1-7329-4F3B-B8A7-35F326474B41}"/>
    <cellStyle name="Comma 2 4 6 2" xfId="28474" xr:uid="{DE638DC3-9B4E-46E5-A7A3-375E7062F3B3}"/>
    <cellStyle name="Comma 2 4 7" xfId="25990" xr:uid="{9E3B303F-551A-45E8-871A-EAB7C9103150}"/>
    <cellStyle name="Comma 2 5" xfId="24920" xr:uid="{67EE5AC9-E33E-4352-8736-B5C64C7D976D}"/>
    <cellStyle name="Comma 2 5 2" xfId="26467" xr:uid="{12DDBB1B-4811-4046-BC35-C82E85454F95}"/>
    <cellStyle name="Comma 2 6" xfId="25106" xr:uid="{E38497AB-234C-4940-B0CB-E7E61B52DE90}"/>
    <cellStyle name="Comma 2 6 2" xfId="26468" xr:uid="{ABBD139C-B693-4D1B-B2FD-F60F2C533FA2}"/>
    <cellStyle name="Comma 2 7" xfId="25107" xr:uid="{D2946BD9-B131-432C-9D4F-C14EEA57E71A}"/>
    <cellStyle name="Comma 2 7 2" xfId="26743" xr:uid="{BDF1D467-F2FD-4B02-973D-BE0566164117}"/>
    <cellStyle name="Comma 2 8" xfId="25108" xr:uid="{00B98D56-7135-40F4-A011-C6764B3A8873}"/>
    <cellStyle name="Comma 2 8 2" xfId="28222" xr:uid="{483EF0F6-1AA3-4AD4-9E84-54432CE2DA3D}"/>
    <cellStyle name="Comma 2 9" xfId="25727" xr:uid="{794D5CC6-C22F-4500-A1A3-81DDEC3D11F0}"/>
    <cellStyle name="Comma 2 9 2" xfId="40737" xr:uid="{EAF462EA-021A-4D66-8F12-B7932396CA0F}"/>
    <cellStyle name="Comma 20" xfId="25728" xr:uid="{8FA7C3B8-95CA-4508-BED3-2BB5C4801E19}"/>
    <cellStyle name="Comma 20 2" xfId="40738" xr:uid="{1685A7B3-6501-43A7-991E-C5060F6B9A81}"/>
    <cellStyle name="Comma 21" xfId="25729" xr:uid="{873EBF31-55A7-45A5-B798-BB8E7C18B84F}"/>
    <cellStyle name="Comma 21 2" xfId="40739" xr:uid="{61D40BA1-4E13-4EAF-91ED-9A7034D60FC8}"/>
    <cellStyle name="Comma 22" xfId="25977" xr:uid="{778CF8D4-ECF9-4242-A783-71E30F505011}"/>
    <cellStyle name="Comma 23" xfId="24862" xr:uid="{562A1A82-52B7-4FE2-BC05-A9DFBD9E96D6}"/>
    <cellStyle name="Comma 3" xfId="25031" xr:uid="{C8BDA2CD-0158-4C08-8223-C2CF124144DF}"/>
    <cellStyle name="Comma 3 10" xfId="116" xr:uid="{F514905F-B7FB-4A19-B0F8-5E5B31F189A5}"/>
    <cellStyle name="Comma 3 10 10" xfId="25992" xr:uid="{1A9E1C86-C03A-4A91-AED3-8281B9227515}"/>
    <cellStyle name="Comma 3 10 2" xfId="117" xr:uid="{3063487E-E7E7-42F3-9847-705550B4DB61}"/>
    <cellStyle name="Comma 3 10 2 2" xfId="24923" xr:uid="{574F4F9B-8D9F-44F2-AFB7-4D766BF867B4}"/>
    <cellStyle name="Comma 3 10 2 2 2" xfId="26095" xr:uid="{A7755434-52D2-4DC8-8011-7E9C717BAD24}"/>
    <cellStyle name="Comma 3 10 2 3" xfId="25109" xr:uid="{9EC2620F-2FE6-4D08-B36C-23E967A1BA69}"/>
    <cellStyle name="Comma 3 10 2 3 2" xfId="26251" xr:uid="{C3B9928F-1402-4735-9B15-F8ABDBCF083E}"/>
    <cellStyle name="Comma 3 10 2 4" xfId="25110" xr:uid="{E8D51543-03AC-4CAE-935C-C60A3189180A}"/>
    <cellStyle name="Comma 3 10 2 4 2" xfId="26369" xr:uid="{756FCE03-407D-446A-8214-8AD0C35AABC5}"/>
    <cellStyle name="Comma 3 10 2 5" xfId="25111" xr:uid="{D9D22D10-D7B5-4ED5-B7E9-22186291A0DA}"/>
    <cellStyle name="Comma 3 10 2 5 2" xfId="26746" xr:uid="{26B026D3-52CA-4C1F-8E47-2F41EFF7F0F6}"/>
    <cellStyle name="Comma 3 10 2 6" xfId="25112" xr:uid="{C22E7D76-FC3D-4CEF-B1D2-01848CDA2819}"/>
    <cellStyle name="Comma 3 10 2 6 2" xfId="27914" xr:uid="{3949A83A-2C13-4125-B029-FCACE8CD7B97}"/>
    <cellStyle name="Comma 3 10 2 7" xfId="25113" xr:uid="{45C20F1C-83DD-42BE-B547-7529A1510ED9}"/>
    <cellStyle name="Comma 3 10 2 7 2" xfId="28475" xr:uid="{A4295FE1-F17B-4866-B614-14072A74F3DD}"/>
    <cellStyle name="Comma 3 10 2 8" xfId="25114" xr:uid="{C4CF4B22-9F0E-47AA-9EE1-A1CF8CAEE796}"/>
    <cellStyle name="Comma 3 10 2 8 2" xfId="28476" xr:uid="{4B7B32D9-5F9E-409F-8322-7EE38E49ACF3}"/>
    <cellStyle name="Comma 3 10 2 9" xfId="25993" xr:uid="{4A51539C-7931-4CF9-B55B-F85A10058EBD}"/>
    <cellStyle name="Comma 3 10 3" xfId="24922" xr:uid="{C406B0E1-E366-4190-B34A-976CE751001A}"/>
    <cellStyle name="Comma 3 10 3 2" xfId="26096" xr:uid="{91D773E0-A5B5-41C8-92AD-1E64A2ED4AC0}"/>
    <cellStyle name="Comma 3 10 4" xfId="25115" xr:uid="{1E0DC6C0-16F8-447F-BEA9-39306F2C2F12}"/>
    <cellStyle name="Comma 3 10 4 2" xfId="26250" xr:uid="{EC92542C-711F-4087-9A06-B22AC744D713}"/>
    <cellStyle name="Comma 3 10 5" xfId="25116" xr:uid="{EE6F58E8-AA3E-4A01-816B-B1096F9B6CDC}"/>
    <cellStyle name="Comma 3 10 5 2" xfId="26368" xr:uid="{FB4A0D2F-242D-40DB-8BAE-849B1452209E}"/>
    <cellStyle name="Comma 3 10 6" xfId="25117" xr:uid="{348A176A-E98C-4C34-A0C4-16CE12458B27}"/>
    <cellStyle name="Comma 3 10 6 2" xfId="26745" xr:uid="{EA01F432-B5C3-4512-9ED9-6BE74BEC776A}"/>
    <cellStyle name="Comma 3 10 7" xfId="25118" xr:uid="{89FE9436-F41A-46EA-B69F-F162244905B5}"/>
    <cellStyle name="Comma 3 10 7 2" xfId="27913" xr:uid="{14DB4D73-216A-4364-B765-282EDD2D867B}"/>
    <cellStyle name="Comma 3 10 8" xfId="25119" xr:uid="{578577BB-2D8F-4639-9EED-7D84CC4DA53D}"/>
    <cellStyle name="Comma 3 10 8 2" xfId="28477" xr:uid="{9318DC4E-9231-4E3C-84CA-1C5D74CCE5DF}"/>
    <cellStyle name="Comma 3 10 9" xfId="25120" xr:uid="{306730FB-1100-487E-981A-85454304E6AB}"/>
    <cellStyle name="Comma 3 10 9 2" xfId="28478" xr:uid="{A0949A41-080A-421D-B4C1-3E13C53C0BD9}"/>
    <cellStyle name="Comma 3 11" xfId="118" xr:uid="{B99BEF1D-C011-424E-A201-5760FB00A0BE}"/>
    <cellStyle name="Comma 3 11 2" xfId="24921" xr:uid="{C04B6F19-29D3-4586-8C7F-1D9CDFD79BBC}"/>
    <cellStyle name="Comma 3 11 2 2" xfId="25121" xr:uid="{996B7387-56D2-4007-98F3-423E22855DE1}"/>
    <cellStyle name="Comma 3 11 2 2 2" xfId="28479" xr:uid="{674B853B-A475-4D1B-A765-A25347CF3094}"/>
    <cellStyle name="Comma 3 11 2 3" xfId="26094" xr:uid="{4F2F8F1D-2303-4BFB-AA3A-E3AF0EFD9A91}"/>
    <cellStyle name="Comma 3 11 3" xfId="25122" xr:uid="{8FD49CED-6280-4969-8FA4-CF1A05BEF0CC}"/>
    <cellStyle name="Comma 3 11 3 2" xfId="25123" xr:uid="{455CA259-66A8-42C4-982F-408831BF6DA0}"/>
    <cellStyle name="Comma 3 11 3 2 2" xfId="28480" xr:uid="{5C90ADB2-A99E-483B-A6DD-F0E13EAE8862}"/>
    <cellStyle name="Comma 3 11 3 3" xfId="26252" xr:uid="{709CDA1E-620D-4E79-87E7-6C099992D416}"/>
    <cellStyle name="Comma 3 11 4" xfId="25124" xr:uid="{2DCC49A5-64F5-4FC8-9518-EE01BA80B28B}"/>
    <cellStyle name="Comma 3 11 4 2" xfId="25125" xr:uid="{4BECDF95-5808-410A-BD3C-A1E5B2C7DC70}"/>
    <cellStyle name="Comma 3 11 4 2 2" xfId="28481" xr:uid="{E60E6C75-EBD1-4FE0-9D40-EDE98C8DF8F0}"/>
    <cellStyle name="Comma 3 11 4 3" xfId="26370" xr:uid="{947E0B17-91C5-4971-A952-55F749DEABFD}"/>
    <cellStyle name="Comma 3 11 5" xfId="25126" xr:uid="{F93BB2AB-8D80-416D-A59F-E3D831BB30C4}"/>
    <cellStyle name="Comma 3 11 5 2" xfId="25127" xr:uid="{9BD09498-4038-4543-B474-59B241EC9492}"/>
    <cellStyle name="Comma 3 11 5 2 2" xfId="28482" xr:uid="{1F6AAA20-3F99-41DD-8A0A-71E1DD40FB89}"/>
    <cellStyle name="Comma 3 11 5 3" xfId="26744" xr:uid="{E6C96955-8EB7-4907-8E56-D1E48ECEA07F}"/>
    <cellStyle name="Comma 3 11 6" xfId="25128" xr:uid="{DC217C75-E464-44BF-BEF6-85CB728951AB}"/>
    <cellStyle name="Comma 3 11 6 2" xfId="27915" xr:uid="{D65D19CF-6BF5-4C3D-BA73-62D98E6DA7D1}"/>
    <cellStyle name="Comma 3 11 7" xfId="8180" xr:uid="{F8B194F6-966B-4F3B-AAD0-353136ED49CD}"/>
    <cellStyle name="Comma 3 11 7 2" xfId="28483" xr:uid="{13CA9ECB-B936-4EB3-ADDE-04FA6DC419B5}"/>
    <cellStyle name="Comma 3 11 8" xfId="25129" xr:uid="{6D1D7C06-3A19-4CC2-8AD4-F36B59F27511}"/>
    <cellStyle name="Comma 3 11 8 2" xfId="28484" xr:uid="{6174A9EC-B385-40BE-A42A-4F00FA5A1A1C}"/>
    <cellStyle name="Comma 3 11 9" xfId="25994" xr:uid="{65813363-E8F2-4940-84B6-B7624835011D}"/>
    <cellStyle name="Comma 3 12" xfId="24888" xr:uid="{36D903ED-5B9E-4A25-97EC-8FAF1E7916AE}"/>
    <cellStyle name="Comma 3 12 2" xfId="25130" xr:uid="{F0D47D20-5402-407D-9C38-9AEE12BD0BB9}"/>
    <cellStyle name="Comma 3 12 2 2" xfId="25131" xr:uid="{F62DAB34-0937-4187-AB05-0F7640493EC5}"/>
    <cellStyle name="Comma 3 12 2 2 2" xfId="28485" xr:uid="{37031FB1-C56D-4A46-9DCF-3CAA3DF7AEBD}"/>
    <cellStyle name="Comma 3 12 2 3" xfId="28225" xr:uid="{03FEB4AA-7C83-40A4-9494-A1A51DA8C5F2}"/>
    <cellStyle name="Comma 3 12 3" xfId="25132" xr:uid="{98D2EBFB-80A0-4481-A5B2-078D4319E0D0}"/>
    <cellStyle name="Comma 3 12 3 2" xfId="28486" xr:uid="{C2C211A2-6B6B-4D6B-A6F8-941D42FEDB62}"/>
    <cellStyle name="Comma 3 12 4" xfId="25133" xr:uid="{2735E3C3-808C-43F4-88FF-3A5DE183924D}"/>
    <cellStyle name="Comma 3 12 4 2" xfId="28487" xr:uid="{CDE4BE27-41D7-4751-907B-2BECF5FDD162}"/>
    <cellStyle name="Comma 3 12 5" xfId="25991" xr:uid="{3E4031C8-7D5E-44F4-9D53-BE36585A4ABD}"/>
    <cellStyle name="Comma 3 13" xfId="24898" xr:uid="{5CC8434A-B282-4757-9508-3217F3565511}"/>
    <cellStyle name="Comma 3 13 2" xfId="25134" xr:uid="{BE7350C2-5A1B-431F-BF99-406F10BEBB87}"/>
    <cellStyle name="Comma 3 13 2 2" xfId="28488" xr:uid="{EB9B9380-89EC-446A-9072-DE8951EEE87E}"/>
    <cellStyle name="Comma 3 13 3" xfId="25135" xr:uid="{3275100B-8783-4891-988D-B928EE13B049}"/>
    <cellStyle name="Comma 3 13 3 2" xfId="28489" xr:uid="{6FC0456C-1D03-4456-8EC6-B5CCF3DE1060}"/>
    <cellStyle name="Comma 3 13 4" xfId="26097" xr:uid="{A4902289-E65C-4C12-95E4-97C0B645FB67}"/>
    <cellStyle name="Comma 3 14" xfId="25136" xr:uid="{A498674B-941B-4A35-A796-A7CDDEA2172E}"/>
    <cellStyle name="Comma 3 14 2" xfId="25137" xr:uid="{B99B9C38-01E8-4D3C-A519-558CF0A9675E}"/>
    <cellStyle name="Comma 3 14 2 2" xfId="28490" xr:uid="{5AC1B6C8-F43A-41F8-9779-2D5AB26C6530}"/>
    <cellStyle name="Comma 3 14 3" xfId="8181" xr:uid="{256D4F21-2E11-41C8-BBBD-D271E0A798D5}"/>
    <cellStyle name="Comma 3 14 3 2" xfId="28491" xr:uid="{B9C6FA6C-E9AA-423B-AA1B-69D9B570724A}"/>
    <cellStyle name="Comma 3 14 4" xfId="26249" xr:uid="{2CCD4B98-401A-47E9-9A79-9E3125AEC90C}"/>
    <cellStyle name="Comma 3 15" xfId="25138" xr:uid="{060BF323-877E-4D31-AA8D-B39D9B7CF96A}"/>
    <cellStyle name="Comma 3 15 2" xfId="26367" xr:uid="{CFCBE9E9-CDF1-4447-9535-DC1622A37932}"/>
    <cellStyle name="Comma 3 16" xfId="8182" xr:uid="{28F267A0-AB03-4AFC-AB52-99225C8B424E}"/>
    <cellStyle name="Comma 3 16 2" xfId="26472" xr:uid="{84292E02-CE49-4236-85BE-972E5E45E8ED}"/>
    <cellStyle name="Comma 3 17" xfId="25139" xr:uid="{15B23744-A0FB-4827-AE6C-4F85912CAA9A}"/>
    <cellStyle name="Comma 3 17 2" xfId="27912" xr:uid="{2EBDE21E-A281-4398-96C7-6A5F6BA1B33D}"/>
    <cellStyle name="Comma 3 18" xfId="8183" xr:uid="{0AB9E753-27C8-4DD5-B9B1-D47E4DDA6585}"/>
    <cellStyle name="Comma 3 18 2" xfId="28492" xr:uid="{1FAEC17A-A5EB-4374-BA09-33E47BB82339}"/>
    <cellStyle name="Comma 3 19" xfId="25140" xr:uid="{E737F906-4651-4AAA-8C84-B20F33970C6A}"/>
    <cellStyle name="Comma 3 19 2" xfId="28493" xr:uid="{2AB22CEF-49BF-4246-B7E4-6F60A37D21CD}"/>
    <cellStyle name="Comma 3 2" xfId="119" xr:uid="{CE03746C-3F49-48C9-A19A-6A8456925579}"/>
    <cellStyle name="Comma 3 2 10" xfId="25141" xr:uid="{745584EA-8DF7-423F-BF4E-905525E620E0}"/>
    <cellStyle name="Comma 3 2 10 2" xfId="27916" xr:uid="{0D280DA5-971C-43B4-9806-1F971B272323}"/>
    <cellStyle name="Comma 3 2 11" xfId="8184" xr:uid="{70A623CC-56AB-44E0-8215-B90137F9F951}"/>
    <cellStyle name="Comma 3 2 11 2" xfId="28494" xr:uid="{0FD3E5EA-2B21-48A9-BA48-AF76D312E61B}"/>
    <cellStyle name="Comma 3 2 12" xfId="25142" xr:uid="{129F6208-6AF3-4E7E-923C-4474B4588D90}"/>
    <cellStyle name="Comma 3 2 12 2" xfId="28495" xr:uid="{0E9647A9-FE24-4DBE-ADF5-674DCB0231D3}"/>
    <cellStyle name="Comma 3 2 13" xfId="25980" xr:uid="{143CBEE8-77F5-4F48-BEF4-A09A0F816F3F}"/>
    <cellStyle name="Comma 3 2 2" xfId="120" xr:uid="{87446011-15AA-447E-8E9C-BE8CE489E5AB}"/>
    <cellStyle name="Comma 3 2 2 10" xfId="25996" xr:uid="{4CF67CB7-AD61-4783-BC3E-AF2BF17A54F6}"/>
    <cellStyle name="Comma 3 2 2 2" xfId="121" xr:uid="{10DA6CD3-1C21-4CC4-9B9E-5B035B2C66B8}"/>
    <cellStyle name="Comma 3 2 2 2 2" xfId="3954" xr:uid="{96899C59-F694-4A89-9414-6248F27B704A}"/>
    <cellStyle name="Comma 3 2 2 2 2 2" xfId="25143" xr:uid="{0D1FF0C5-E9BC-4ED9-95B1-56BB4D6DB8BC}"/>
    <cellStyle name="Comma 3 2 2 2 2 2 2" xfId="28228" xr:uid="{69C1FF0B-CAF6-42AD-A0A1-F7790CD24D3D}"/>
    <cellStyle name="Comma 3 2 2 2 2 3" xfId="25144" xr:uid="{AA1ACDEF-8C65-4BD4-AC1B-7679CE960DB2}"/>
    <cellStyle name="Comma 3 2 2 2 2 3 2" xfId="28496" xr:uid="{E329AD94-B0C0-4557-B404-61124C26FFF6}"/>
    <cellStyle name="Comma 3 2 2 2 2 4" xfId="26091" xr:uid="{AD3092B2-D7F4-4F73-9454-208FD95BD052}"/>
    <cellStyle name="Comma 3 2 2 2 3" xfId="24925" xr:uid="{F3738E6D-B719-4B07-8D05-4B8FB4027029}"/>
    <cellStyle name="Comma 3 2 2 2 3 2" xfId="26255" xr:uid="{7576BDE1-07C8-4E5D-8AC6-1E712A2EEA17}"/>
    <cellStyle name="Comma 3 2 2 2 4" xfId="25145" xr:uid="{59C16665-588B-4F2F-93DE-9C152E7F83F3}"/>
    <cellStyle name="Comma 3 2 2 2 4 2" xfId="26373" xr:uid="{F1ACBB7C-142B-4470-B9E1-F483D49B0200}"/>
    <cellStyle name="Comma 3 2 2 2 5" xfId="25146" xr:uid="{9AE87DF1-7ED1-4173-8211-DF1732211B89}"/>
    <cellStyle name="Comma 3 2 2 2 5 2" xfId="26749" xr:uid="{FF2644F1-561B-44F3-941C-5277AAD9F523}"/>
    <cellStyle name="Comma 3 2 2 2 6" xfId="25147" xr:uid="{F454EE71-98C2-40A0-AF96-8544CAE996DA}"/>
    <cellStyle name="Comma 3 2 2 2 6 2" xfId="27918" xr:uid="{16C28253-B2CE-4209-A6C1-894197122720}"/>
    <cellStyle name="Comma 3 2 2 2 7" xfId="25148" xr:uid="{35517740-2BE9-44A3-BE9A-109904670F58}"/>
    <cellStyle name="Comma 3 2 2 2 7 2" xfId="28497" xr:uid="{88B24F8E-D3C3-46BF-BCDB-89C65149E352}"/>
    <cellStyle name="Comma 3 2 2 2 8" xfId="25149" xr:uid="{CB96520C-C654-4111-9C91-420AF371B0E6}"/>
    <cellStyle name="Comma 3 2 2 2 8 2" xfId="28498" xr:uid="{610E194D-E135-495A-B35A-C045E576F610}"/>
    <cellStyle name="Comma 3 2 2 2 9" xfId="25997" xr:uid="{0B46DA80-8483-49C3-90DB-D1E1AF921B92}"/>
    <cellStyle name="Comma 3 2 2 3" xfId="3953" xr:uid="{E1ABCC2D-86F5-4CED-B72E-C8DB4AA40296}"/>
    <cellStyle name="Comma 3 2 2 3 2" xfId="24924" xr:uid="{546E3CC5-D776-41FC-9F8E-7BEFD21D57E0}"/>
    <cellStyle name="Comma 3 2 2 3 2 2" xfId="26748" xr:uid="{3C666367-626B-4ED0-A046-F61CA34B037A}"/>
    <cellStyle name="Comma 3 2 2 3 3" xfId="25150" xr:uid="{50B57E11-DC56-499E-B742-020F38CB1CBB}"/>
    <cellStyle name="Comma 3 2 2 3 3 2" xfId="28227" xr:uid="{459E4752-C818-417C-9199-CB19479C7689}"/>
    <cellStyle name="Comma 3 2 2 3 4" xfId="25151" xr:uid="{9B881F68-E1B8-465E-A119-97556FED5F5C}"/>
    <cellStyle name="Comma 3 2 2 3 4 2" xfId="28499" xr:uid="{DA17D26C-C034-4837-A0A6-C82C3E1F7054}"/>
    <cellStyle name="Comma 3 2 2 3 5" xfId="26092" xr:uid="{35CA9CD4-1B03-4CFB-844C-441F18490726}"/>
    <cellStyle name="Comma 3 2 2 4" xfId="24900" xr:uid="{4F0A4BD2-BF45-4F34-B3F2-5ABF64944F43}"/>
    <cellStyle name="Comma 3 2 2 4 2" xfId="26254" xr:uid="{A087CE5D-9400-4CF7-9006-B0A42FC96C30}"/>
    <cellStyle name="Comma 3 2 2 5" xfId="25152" xr:uid="{9C93329D-D920-4ABB-8797-C9B09916C687}"/>
    <cellStyle name="Comma 3 2 2 5 2" xfId="26372" xr:uid="{C8074574-73D3-491E-874B-40D744C904F4}"/>
    <cellStyle name="Comma 3 2 2 6" xfId="25153" xr:uid="{D935E311-CD7A-4D72-A2F3-B219602F1DFA}"/>
    <cellStyle name="Comma 3 2 2 6 2" xfId="26474" xr:uid="{05941B78-E262-476A-B11B-2448B1C7BD80}"/>
    <cellStyle name="Comma 3 2 2 7" xfId="25154" xr:uid="{9FFFF0CC-B549-4854-87B6-8C82B79455C0}"/>
    <cellStyle name="Comma 3 2 2 7 2" xfId="27917" xr:uid="{C2246D06-582F-4831-A358-5E012E10C7CF}"/>
    <cellStyle name="Comma 3 2 2 8" xfId="25155" xr:uid="{0741A9C1-2C3E-4503-BB6C-237B12B705D6}"/>
    <cellStyle name="Comma 3 2 2 8 2" xfId="28500" xr:uid="{CEC2A23B-D54A-4BC1-BF1F-5A3906D5CE54}"/>
    <cellStyle name="Comma 3 2 2 9" xfId="25156" xr:uid="{E1746C53-ED03-4900-B77C-02156AB93EFC}"/>
    <cellStyle name="Comma 3 2 2 9 2" xfId="28501" xr:uid="{EC1E7699-54BE-4AC5-9CD0-7A34CEC192DF}"/>
    <cellStyle name="Comma 3 2 3" xfId="122" xr:uid="{8628EFCE-F102-4716-A2AF-8AE6C57C9889}"/>
    <cellStyle name="Comma 3 2 3 10" xfId="25157" xr:uid="{F6122935-4265-4786-9CCA-8E22B1BAC9D7}"/>
    <cellStyle name="Comma 3 2 3 10 2" xfId="28502" xr:uid="{4C6AD4D0-7F04-4165-9C2A-8E0D3C9A5C16}"/>
    <cellStyle name="Comma 3 2 3 11" xfId="25158" xr:uid="{479001D7-8001-4A00-99B3-CB2A62BD553A}"/>
    <cellStyle name="Comma 3 2 3 11 2" xfId="28503" xr:uid="{30EED319-5A20-4F73-A6F4-7A07813F9619}"/>
    <cellStyle name="Comma 3 2 3 12" xfId="25998" xr:uid="{2F7AE03C-07C5-4175-827B-84DB67324A61}"/>
    <cellStyle name="Comma 3 2 3 2" xfId="123" xr:uid="{C8AC243D-093E-404C-9298-6D03A542C598}"/>
    <cellStyle name="Comma 3 2 3 2 2" xfId="3956" xr:uid="{94E390B7-6CCE-4838-9E05-726714A2D9B1}"/>
    <cellStyle name="Comma 3 2 3 2 2 2" xfId="25159" xr:uid="{003BE59E-9A53-476B-BD1F-4D3DA038F38D}"/>
    <cellStyle name="Comma 3 2 3 2 2 2 2" xfId="28230" xr:uid="{C0F07412-C5B0-45B7-AE40-58A01133A680}"/>
    <cellStyle name="Comma 3 2 3 2 2 3" xfId="25160" xr:uid="{F8C817BA-C17F-42CF-8A02-6E69F1C22976}"/>
    <cellStyle name="Comma 3 2 3 2 2 3 2" xfId="28504" xr:uid="{3E8F0F19-041B-4AAC-914B-686731D6A4BA}"/>
    <cellStyle name="Comma 3 2 3 2 2 4" xfId="26089" xr:uid="{333CDD1F-F176-495E-8FCF-29D3B7DF1595}"/>
    <cellStyle name="Comma 3 2 3 2 3" xfId="24927" xr:uid="{B64FD617-7F0B-47A3-B749-12DD32A0EBC8}"/>
    <cellStyle name="Comma 3 2 3 2 3 2" xfId="26257" xr:uid="{A0F5698E-23D2-45A3-B2E5-A42EDEC47A16}"/>
    <cellStyle name="Comma 3 2 3 2 4" xfId="25161" xr:uid="{A8589847-A984-4350-888A-BEC01D5326C9}"/>
    <cellStyle name="Comma 3 2 3 2 4 2" xfId="26375" xr:uid="{C1767FD1-3370-4684-9B8D-98C10155BC0D}"/>
    <cellStyle name="Comma 3 2 3 2 5" xfId="25162" xr:uid="{812288EA-F1F7-4376-87E6-DD58200FF67F}"/>
    <cellStyle name="Comma 3 2 3 2 5 2" xfId="26751" xr:uid="{10946178-9EDE-4801-BDCB-8AC6116AD168}"/>
    <cellStyle name="Comma 3 2 3 2 6" xfId="25163" xr:uid="{5FBACD9F-E3A4-4A98-8678-F6EACAD77A38}"/>
    <cellStyle name="Comma 3 2 3 2 6 2" xfId="27920" xr:uid="{066A0FA1-C149-4F16-800A-E6955DDCA9A4}"/>
    <cellStyle name="Comma 3 2 3 2 7" xfId="25164" xr:uid="{BFE27F4E-D935-4733-9278-5EC59A8BD01E}"/>
    <cellStyle name="Comma 3 2 3 2 7 2" xfId="28505" xr:uid="{E431699A-B390-427B-BBE2-F743AE8879A1}"/>
    <cellStyle name="Comma 3 2 3 2 8" xfId="25165" xr:uid="{B7B7D4D1-747C-440E-9137-3E5855CF2E82}"/>
    <cellStyle name="Comma 3 2 3 2 8 2" xfId="28506" xr:uid="{B71E42C1-8AC5-4461-832B-E037445BF6DE}"/>
    <cellStyle name="Comma 3 2 3 2 9" xfId="25999" xr:uid="{F66E10CF-0419-45A8-AA35-7EF11926ABF3}"/>
    <cellStyle name="Comma 3 2 3 3" xfId="124" xr:uid="{7DE8056A-6738-48C0-8994-4D4B7920E9CF}"/>
    <cellStyle name="Comma 3 2 3 3 10" xfId="26000" xr:uid="{E0DA924B-13D4-41A1-A7EB-45CA82D2272D}"/>
    <cellStyle name="Comma 3 2 3 3 2" xfId="125" xr:uid="{783C89E5-7A3C-4DD5-92E3-76AC86A3BC58}"/>
    <cellStyle name="Comma 3 2 3 3 2 2" xfId="3958" xr:uid="{0116715C-A2DF-4C64-97A6-3C63E13C2FD7}"/>
    <cellStyle name="Comma 3 2 3 3 2 2 2" xfId="25166" xr:uid="{E0EB6311-2E98-4C94-9D72-EE7595DD83C6}"/>
    <cellStyle name="Comma 3 2 3 3 2 2 2 2" xfId="28232" xr:uid="{0C804539-58F3-4520-B858-8BC0D7AFF2E5}"/>
    <cellStyle name="Comma 3 2 3 3 2 2 3" xfId="25167" xr:uid="{16BAF3B0-72F8-4633-B22D-206AF659D2EA}"/>
    <cellStyle name="Comma 3 2 3 3 2 2 3 2" xfId="28507" xr:uid="{E7E1EC5D-9A73-4A0C-82C6-19DFD9DEEAF3}"/>
    <cellStyle name="Comma 3 2 3 3 2 2 4" xfId="26087" xr:uid="{7C1728A8-A7F4-4DB4-9ADA-114AE0FAF49D}"/>
    <cellStyle name="Comma 3 2 3 3 2 3" xfId="24929" xr:uid="{5B08F065-DB93-4BBB-9F75-FB7455F397A1}"/>
    <cellStyle name="Comma 3 2 3 3 2 3 2" xfId="26259" xr:uid="{9362C91B-42B9-4310-8456-0152FF4848E6}"/>
    <cellStyle name="Comma 3 2 3 3 2 4" xfId="25168" xr:uid="{6B141EC7-1B8C-4738-9F50-5363C0E77972}"/>
    <cellStyle name="Comma 3 2 3 3 2 4 2" xfId="26377" xr:uid="{38B3DBA0-E579-4EEE-9EA9-125E6340B5F2}"/>
    <cellStyle name="Comma 3 2 3 3 2 5" xfId="25169" xr:uid="{11F603FE-47BE-47CF-89AD-6E2E9FD1B7F5}"/>
    <cellStyle name="Comma 3 2 3 3 2 5 2" xfId="26753" xr:uid="{18C67D61-E5FF-4032-9A4D-3169DF139B68}"/>
    <cellStyle name="Comma 3 2 3 3 2 6" xfId="25170" xr:uid="{888BAD10-E18A-4ECB-B354-6A54D5172EBC}"/>
    <cellStyle name="Comma 3 2 3 3 2 6 2" xfId="27922" xr:uid="{63BDBDCD-E14E-49B4-98B6-60F26C8B00EE}"/>
    <cellStyle name="Comma 3 2 3 3 2 7" xfId="25171" xr:uid="{F7354AFA-A240-4C97-9935-F41F8AE1913D}"/>
    <cellStyle name="Comma 3 2 3 3 2 7 2" xfId="28508" xr:uid="{CC126C43-D3F2-450A-ADB0-E61842FF3305}"/>
    <cellStyle name="Comma 3 2 3 3 2 8" xfId="25172" xr:uid="{6C2357DE-B1DA-4446-AF32-3C1623879EC4}"/>
    <cellStyle name="Comma 3 2 3 3 2 8 2" xfId="28509" xr:uid="{88F51CC7-81EB-41F6-9312-7649195E921F}"/>
    <cellStyle name="Comma 3 2 3 3 2 9" xfId="26001" xr:uid="{7F9D2B08-32AE-4D87-B1A1-2BE9ACC4A58F}"/>
    <cellStyle name="Comma 3 2 3 3 3" xfId="3957" xr:uid="{B9D20F16-CF4A-405E-8078-4B225D8D0FE9}"/>
    <cellStyle name="Comma 3 2 3 3 3 2" xfId="24930" xr:uid="{831AD4D2-DF33-4523-9437-6E9DE471F584}"/>
    <cellStyle name="Comma 3 2 3 3 3 2 2" xfId="26754" xr:uid="{1D57BD79-A8BF-43E4-AEE9-09D086EFEEB0}"/>
    <cellStyle name="Comma 3 2 3 3 3 3" xfId="25173" xr:uid="{851837FD-D397-42DF-97CE-D0466F2E9CEC}"/>
    <cellStyle name="Comma 3 2 3 3 3 3 2" xfId="28231" xr:uid="{C88D5972-C014-45FF-B577-A94E4070B8BE}"/>
    <cellStyle name="Comma 3 2 3 3 3 4" xfId="25174" xr:uid="{3EAEF948-7909-4D05-A2DB-93FB1D2536B9}"/>
    <cellStyle name="Comma 3 2 3 3 3 4 2" xfId="28510" xr:uid="{144F0DF2-C015-4C5E-8FE0-1F4B670553AC}"/>
    <cellStyle name="Comma 3 2 3 3 3 5" xfId="25175" xr:uid="{4259BC69-71C5-45D3-9BE3-33E6C4682D09}"/>
    <cellStyle name="Comma 3 2 3 3 3 5 2" xfId="28511" xr:uid="{55E66717-CAA0-4DF3-800A-5712EC9378BC}"/>
    <cellStyle name="Comma 3 2 3 3 3 6" xfId="26088" xr:uid="{C44AB656-D397-4786-ADA9-2BC3F5163ADB}"/>
    <cellStyle name="Comma 3 2 3 3 4" xfId="24865" xr:uid="{6F60EB20-696D-4325-81D5-48E4F909DEB2}"/>
    <cellStyle name="Comma 3 2 3 3 4 2" xfId="25176" xr:uid="{2426D865-E32D-4AC8-9118-75DDC87E8347}"/>
    <cellStyle name="Comma 3 2 3 3 4 2 2" xfId="26755" xr:uid="{016BD838-9199-4368-9FDD-BD480F93E281}"/>
    <cellStyle name="Comma 3 2 3 3 4 3" xfId="26258" xr:uid="{70433F6F-6FD1-4093-98A5-D93E0B8FE573}"/>
    <cellStyle name="Comma 3 2 3 3 5" xfId="24928" xr:uid="{567B513B-315A-4DA3-8AA9-EA337972313A}"/>
    <cellStyle name="Comma 3 2 3 3 5 2" xfId="26376" xr:uid="{3786FCD8-F73F-4D3B-A58A-05F0EF95A42C}"/>
    <cellStyle name="Comma 3 2 3 3 6" xfId="25177" xr:uid="{209B3AF4-AEC1-414F-899A-29B8A47DC9C3}"/>
    <cellStyle name="Comma 3 2 3 3 6 2" xfId="26752" xr:uid="{7F1A7A84-2777-4613-A65E-70E687CB3281}"/>
    <cellStyle name="Comma 3 2 3 3 7" xfId="25178" xr:uid="{462E9EC2-222B-4DA7-B527-EAE5D6E1506C}"/>
    <cellStyle name="Comma 3 2 3 3 7 2" xfId="27921" xr:uid="{717485C3-F7F5-454E-B06E-CBA153273E8D}"/>
    <cellStyle name="Comma 3 2 3 3 8" xfId="25179" xr:uid="{CD5F4300-35BD-441F-8058-AD03C62EF0C5}"/>
    <cellStyle name="Comma 3 2 3 3 8 2" xfId="28512" xr:uid="{BAF48A0C-95BE-4BEF-B8EF-02CFBF450155}"/>
    <cellStyle name="Comma 3 2 3 3 9" xfId="25180" xr:uid="{4DB41AC1-F381-44B0-B6EE-2B2475FC8F6F}"/>
    <cellStyle name="Comma 3 2 3 3 9 2" xfId="28513" xr:uid="{1A0C5E67-9F6A-4A46-A188-5CA3A03F6EDB}"/>
    <cellStyle name="Comma 3 2 3 4" xfId="126" xr:uid="{C5FE67FD-2973-46DD-A606-ACB423EB894A}"/>
    <cellStyle name="Comma 3 2 3 4 10" xfId="26002" xr:uid="{D5471952-354C-42B5-8CAD-6414BE91CFF1}"/>
    <cellStyle name="Comma 3 2 3 4 2" xfId="127" xr:uid="{F2F32F0C-48F7-4979-BB6D-5B0F7DFC0D21}"/>
    <cellStyle name="Comma 3 2 3 4 2 2" xfId="24932" xr:uid="{90984EB5-C7AA-41AE-B26B-EF9BBBEC17C7}"/>
    <cellStyle name="Comma 3 2 3 4 2 2 2" xfId="26085" xr:uid="{78DE4FA1-7DF2-4819-B1C1-6EA461A0A478}"/>
    <cellStyle name="Comma 3 2 3 4 2 3" xfId="25181" xr:uid="{E5B7EBBE-BDA7-436C-B2A7-CAD2433EF892}"/>
    <cellStyle name="Comma 3 2 3 4 2 3 2" xfId="26261" xr:uid="{3C985055-F612-4E51-8120-5FD57D117859}"/>
    <cellStyle name="Comma 3 2 3 4 2 4" xfId="25182" xr:uid="{9599DFC0-EFBA-46C3-B2AA-8C3CB20D665C}"/>
    <cellStyle name="Comma 3 2 3 4 2 4 2" xfId="26379" xr:uid="{FAFCE395-1B4A-4AC5-8D6C-775ABEE9EE70}"/>
    <cellStyle name="Comma 3 2 3 4 2 5" xfId="25183" xr:uid="{1589830D-14BD-411F-B471-2CF68DDF3EE2}"/>
    <cellStyle name="Comma 3 2 3 4 2 5 2" xfId="26757" xr:uid="{0CA101DD-50C8-4D77-85D7-8E1F0E8BA123}"/>
    <cellStyle name="Comma 3 2 3 4 2 6" xfId="25184" xr:uid="{FB333002-2782-4DAD-B04F-26B19E32D68E}"/>
    <cellStyle name="Comma 3 2 3 4 2 6 2" xfId="27924" xr:uid="{4B3C2D39-AC8C-4283-BD66-43A777D2B904}"/>
    <cellStyle name="Comma 3 2 3 4 2 7" xfId="25185" xr:uid="{D1FBF99B-BB92-4991-9053-7BC5BDB3FA3B}"/>
    <cellStyle name="Comma 3 2 3 4 2 7 2" xfId="28514" xr:uid="{DD4F24AE-AABA-4642-89CA-83A1FC21FC8E}"/>
    <cellStyle name="Comma 3 2 3 4 2 8" xfId="25186" xr:uid="{3364A42B-1E93-41EE-8709-E62CBF9A68C8}"/>
    <cellStyle name="Comma 3 2 3 4 2 8 2" xfId="28515" xr:uid="{88855A1C-9AB5-4D32-95C3-75DD71E4A970}"/>
    <cellStyle name="Comma 3 2 3 4 2 9" xfId="26003" xr:uid="{E4E01EB8-4A99-4328-BE7D-8F9C5FEA78DF}"/>
    <cellStyle name="Comma 3 2 3 4 3" xfId="3959" xr:uid="{E8474B13-AAF8-4EBB-AA0C-B07E92AAE760}"/>
    <cellStyle name="Comma 3 2 3 4 3 2" xfId="25187" xr:uid="{DABD7761-2711-4263-AADB-18A287901F81}"/>
    <cellStyle name="Comma 3 2 3 4 3 2 2" xfId="28233" xr:uid="{723E8C00-0CB5-464D-90F2-2F27ED1C44CA}"/>
    <cellStyle name="Comma 3 2 3 4 3 3" xfId="25188" xr:uid="{088FFA72-1206-47E5-968B-1A04C158914F}"/>
    <cellStyle name="Comma 3 2 3 4 3 3 2" xfId="28516" xr:uid="{0C99854C-AF92-424E-AE42-3B2C08ED3C29}"/>
    <cellStyle name="Comma 3 2 3 4 3 4" xfId="26086" xr:uid="{03E3EC37-727C-4590-ACE3-D040FC74D438}"/>
    <cellStyle name="Comma 3 2 3 4 4" xfId="24931" xr:uid="{BD9D1F5D-40D1-4329-9262-97CB3390B45C}"/>
    <cellStyle name="Comma 3 2 3 4 4 2" xfId="26260" xr:uid="{60413BCC-BC5F-401C-809E-DF7A828A1BBE}"/>
    <cellStyle name="Comma 3 2 3 4 5" xfId="25189" xr:uid="{33C8EB69-A434-4298-A760-A411A3CF8C42}"/>
    <cellStyle name="Comma 3 2 3 4 5 2" xfId="26378" xr:uid="{AF5462BD-9454-428E-838C-4435522BA775}"/>
    <cellStyle name="Comma 3 2 3 4 6" xfId="25190" xr:uid="{24BAC514-BD36-44C9-8B4B-B0DC114737A7}"/>
    <cellStyle name="Comma 3 2 3 4 6 2" xfId="26756" xr:uid="{1AE18FE5-2BE7-44CE-A654-4E9E5FFA5409}"/>
    <cellStyle name="Comma 3 2 3 4 7" xfId="25191" xr:uid="{E6F6CD8B-C15B-4AC8-8A24-609D3A210EB1}"/>
    <cellStyle name="Comma 3 2 3 4 7 2" xfId="27923" xr:uid="{E05F40E2-50C0-4A46-9604-34C00453C62D}"/>
    <cellStyle name="Comma 3 2 3 4 8" xfId="25192" xr:uid="{0069D6A5-1222-4DB6-9C00-D74C4F9DA203}"/>
    <cellStyle name="Comma 3 2 3 4 8 2" xfId="28517" xr:uid="{77292BC6-F84B-4BFC-ADD1-57DA6173C55D}"/>
    <cellStyle name="Comma 3 2 3 4 9" xfId="25193" xr:uid="{F644501D-DF87-43A2-9593-B15695C78F31}"/>
    <cellStyle name="Comma 3 2 3 4 9 2" xfId="28518" xr:uid="{211A579C-AAD4-48B7-949B-69B5A969C685}"/>
    <cellStyle name="Comma 3 2 3 5" xfId="3955" xr:uid="{81DBCE01-D2F8-42B3-AC85-D60ADBADA7D6}"/>
    <cellStyle name="Comma 3 2 3 5 2" xfId="24933" xr:uid="{7D46B1F6-4A88-493C-98EA-4B275B5D1BAF}"/>
    <cellStyle name="Comma 3 2 3 5 2 2" xfId="26758" xr:uid="{2179691C-B4FB-40DE-B32A-57C5EFDE95F3}"/>
    <cellStyle name="Comma 3 2 3 5 3" xfId="25194" xr:uid="{0C7CE740-3CF2-4C80-9F93-31E1962E201D}"/>
    <cellStyle name="Comma 3 2 3 5 3 2" xfId="28229" xr:uid="{18F5258F-EAD8-494B-8458-96F79B548594}"/>
    <cellStyle name="Comma 3 2 3 5 4" xfId="25195" xr:uid="{A738A584-0082-479B-9466-A3DA38FB3091}"/>
    <cellStyle name="Comma 3 2 3 5 4 2" xfId="28519" xr:uid="{053455CF-C220-499D-B5AE-703CB7F70C9A}"/>
    <cellStyle name="Comma 3 2 3 5 5" xfId="25196" xr:uid="{89F596EF-F097-48F5-8206-E0723616C72C}"/>
    <cellStyle name="Comma 3 2 3 5 5 2" xfId="28520" xr:uid="{B23CEEA1-EE0C-41A5-884D-990C5D3A9939}"/>
    <cellStyle name="Comma 3 2 3 5 6" xfId="26090" xr:uid="{FF338745-04D6-460C-A763-AC42ACD04C7C}"/>
    <cellStyle name="Comma 3 2 3 6" xfId="24926" xr:uid="{A29AB6D1-3C22-4186-87DD-996C089CFA35}"/>
    <cellStyle name="Comma 3 2 3 6 2" xfId="26256" xr:uid="{A472E7F5-4C12-4BDB-950C-25A9D0F4CA95}"/>
    <cellStyle name="Comma 3 2 3 7" xfId="25197" xr:uid="{59F4F641-5603-4D6C-9F3C-EC0239C0EB8A}"/>
    <cellStyle name="Comma 3 2 3 7 2" xfId="26374" xr:uid="{39BE8153-80F3-491D-A4CC-CF904366A417}"/>
    <cellStyle name="Comma 3 2 3 8" xfId="25198" xr:uid="{75250870-A08B-419A-A176-9FA5AA67BFE8}"/>
    <cellStyle name="Comma 3 2 3 8 2" xfId="26750" xr:uid="{B5820F3D-01DC-46E1-8F27-270359876A4F}"/>
    <cellStyle name="Comma 3 2 3 9" xfId="25199" xr:uid="{F680A49A-2366-4E31-9FCA-A3CB9CC165AB}"/>
    <cellStyle name="Comma 3 2 3 9 2" xfId="27919" xr:uid="{B15B0D87-F4D9-47A9-9C1A-44166AF407CC}"/>
    <cellStyle name="Comma 3 2 4" xfId="128" xr:uid="{A73EF3CE-DD84-4EFF-924F-F908C5AE8C23}"/>
    <cellStyle name="Comma 3 2 4 2" xfId="3960" xr:uid="{67EBCDEB-2BCF-4847-AA31-C535B8C39175}"/>
    <cellStyle name="Comma 3 2 4 2 2" xfId="24935" xr:uid="{F20698FE-6554-483A-A869-695190695699}"/>
    <cellStyle name="Comma 3 2 4 2 2 2" xfId="26760" xr:uid="{5DD53770-47EE-415B-9D1A-874CCEA3B34A}"/>
    <cellStyle name="Comma 3 2 4 2 3" xfId="25200" xr:uid="{C864ADD4-B5E0-4D4E-BEF0-DEBE30EB71B7}"/>
    <cellStyle name="Comma 3 2 4 2 3 2" xfId="28234" xr:uid="{FBF93857-1161-4E0F-878B-A4886269B992}"/>
    <cellStyle name="Comma 3 2 4 2 4" xfId="25201" xr:uid="{C6BC6A11-7596-402F-9A93-89D98D636546}"/>
    <cellStyle name="Comma 3 2 4 2 4 2" xfId="28521" xr:uid="{07AA287C-5307-407B-A4D1-A8DB34C5B068}"/>
    <cellStyle name="Comma 3 2 4 2 5" xfId="26084" xr:uid="{A5FE836C-256F-4151-9281-97D8B625AF5A}"/>
    <cellStyle name="Comma 3 2 4 3" xfId="24866" xr:uid="{CB62D6C6-8259-404B-A52A-D2833DB15904}"/>
    <cellStyle name="Comma 3 2 4 3 2" xfId="25202" xr:uid="{0B1FB051-25D9-40FC-99FA-05FC72866375}"/>
    <cellStyle name="Comma 3 2 4 3 2 2" xfId="26761" xr:uid="{236E252E-20BB-4299-B077-C12EDC97ADDE}"/>
    <cellStyle name="Comma 3 2 4 3 3" xfId="26262" xr:uid="{19C770C1-6FCF-4DC9-A01F-5DBEA5C79E86}"/>
    <cellStyle name="Comma 3 2 4 4" xfId="24934" xr:uid="{7E4954B0-E560-4722-B157-6AAFA245A38E}"/>
    <cellStyle name="Comma 3 2 4 4 2" xfId="26380" xr:uid="{BE092F02-1A1E-4E25-A7CD-0641B77AE524}"/>
    <cellStyle name="Comma 3 2 4 5" xfId="25203" xr:uid="{99CBAFB0-0F70-4DDF-9615-75188F1E7C69}"/>
    <cellStyle name="Comma 3 2 4 5 2" xfId="26759" xr:uid="{81C012E5-0552-4216-9290-5CEB53B77609}"/>
    <cellStyle name="Comma 3 2 4 6" xfId="25204" xr:uid="{65D0C38F-AAE0-4370-BEC0-986B28271406}"/>
    <cellStyle name="Comma 3 2 4 6 2" xfId="27925" xr:uid="{289DC453-394C-4A11-91DB-3918A4A68FF3}"/>
    <cellStyle name="Comma 3 2 4 7" xfId="25205" xr:uid="{CD2ECF5F-8139-4AD3-BFD3-B08647684885}"/>
    <cellStyle name="Comma 3 2 4 7 2" xfId="28522" xr:uid="{D89580A2-BA7A-4E70-ABD9-54C037501E84}"/>
    <cellStyle name="Comma 3 2 4 8" xfId="25206" xr:uid="{942E08BD-06C9-44D2-9E70-2A93092A7F70}"/>
    <cellStyle name="Comma 3 2 4 8 2" xfId="28523" xr:uid="{AD4071FE-7E83-4E3C-BE35-A93E13EFCDC4}"/>
    <cellStyle name="Comma 3 2 4 9" xfId="26004" xr:uid="{645EC2F2-35D7-4622-9775-F7A1C3141985}"/>
    <cellStyle name="Comma 3 2 5" xfId="3952" xr:uid="{2A3D195E-755F-4953-B2BF-97A7799585BB}"/>
    <cellStyle name="Comma 3 2 5 2" xfId="24936" xr:uid="{353C8DEF-2C78-45BE-B03F-43BF8D77081C}"/>
    <cellStyle name="Comma 3 2 5 2 2" xfId="26762" xr:uid="{CDC355BC-A6D5-442A-984A-D41361A79634}"/>
    <cellStyle name="Comma 3 2 5 3" xfId="25207" xr:uid="{3ACF7E53-7B7C-4818-81F1-56E27C4B88A2}"/>
    <cellStyle name="Comma 3 2 5 3 2" xfId="28226" xr:uid="{8EA4391D-BA24-4C94-8499-9A543374ED5B}"/>
    <cellStyle name="Comma 3 2 5 4" xfId="25208" xr:uid="{84328A11-FC5E-48A1-9CD7-2028B86704A7}"/>
    <cellStyle name="Comma 3 2 5 4 2" xfId="28524" xr:uid="{8BF99EFF-1E75-4DBF-8B7A-01759E5AB0BD}"/>
    <cellStyle name="Comma 3 2 5 5" xfId="25995" xr:uid="{E0F45B5B-2ECF-41D7-8867-F52653056848}"/>
    <cellStyle name="Comma 3 2 6" xfId="24864" xr:uid="{4CA54F4A-F372-499E-91DE-BE0E70C91E0B}"/>
    <cellStyle name="Comma 3 2 6 2" xfId="25209" xr:uid="{D2AAC6F8-B63B-4B23-9061-A26A7247BB73}"/>
    <cellStyle name="Comma 3 2 6 2 2" xfId="26747" xr:uid="{A3290A37-DA60-4300-A14F-E522BF6B797C}"/>
    <cellStyle name="Comma 3 2 6 3" xfId="26093" xr:uid="{B0CF3F4B-E643-4418-A0C0-C71FBD5FDC9C}"/>
    <cellStyle name="Comma 3 2 7" xfId="24899" xr:uid="{7DF34698-837C-49DC-8DB7-CF1E5C2B0231}"/>
    <cellStyle name="Comma 3 2 7 2" xfId="26253" xr:uid="{C1F898DA-E535-495D-B686-0780A62C7DFC}"/>
    <cellStyle name="Comma 3 2 8" xfId="25210" xr:uid="{BE31E466-DE99-4C0B-9617-BC8CEF9D47A7}"/>
    <cellStyle name="Comma 3 2 8 2" xfId="26371" xr:uid="{C73E9D29-58DE-4C46-8C2F-C77D5AFAC9E9}"/>
    <cellStyle name="Comma 3 2 9" xfId="8185" xr:uid="{623206B7-166B-44CC-A9E5-D2DD4A01AFC3}"/>
    <cellStyle name="Comma 3 2 9 2" xfId="26473" xr:uid="{5F2E1B70-BCD9-4ABD-8D25-DAA9FADD42A6}"/>
    <cellStyle name="Comma 3 20" xfId="25979" xr:uid="{89B1C956-07DC-4F37-8894-7953BD5D673E}"/>
    <cellStyle name="Comma 3 3" xfId="129" xr:uid="{D48BE05D-3E46-42BD-B6E2-1B1D810EF24F}"/>
    <cellStyle name="Comma 3 3 10" xfId="25211" xr:uid="{8917193B-B0DC-47CE-82A1-250437670CD0}"/>
    <cellStyle name="Comma 3 3 10 2" xfId="28525" xr:uid="{6EA4392F-AE80-4626-AD58-D0DAFE1A0051}"/>
    <cellStyle name="Comma 3 3 11" xfId="25212" xr:uid="{464571CE-6D57-4AE1-AE2D-58AA934145F4}"/>
    <cellStyle name="Comma 3 3 11 2" xfId="28526" xr:uid="{9900A2EB-F17B-4403-B78D-6ED2A281B571}"/>
    <cellStyle name="Comma 3 3 12" xfId="25981" xr:uid="{3B884938-F241-4571-8183-A95F13D99CA1}"/>
    <cellStyle name="Comma 3 3 2" xfId="130" xr:uid="{02823854-9024-4C1A-B8B0-6F07A32BE771}"/>
    <cellStyle name="Comma 3 3 2 10" xfId="26006" xr:uid="{1C2EDC9B-C067-4D41-A875-10BDE13E30D7}"/>
    <cellStyle name="Comma 3 3 2 2" xfId="131" xr:uid="{B5904A17-90B5-4D42-83E8-A97671854268}"/>
    <cellStyle name="Comma 3 3 2 2 2" xfId="3963" xr:uid="{59296652-D0CB-4F8A-AAB8-587A8576842F}"/>
    <cellStyle name="Comma 3 3 2 2 2 2" xfId="25213" xr:uid="{87539253-DAD1-42C6-9EB3-C0CFCD012C0A}"/>
    <cellStyle name="Comma 3 3 2 2 2 2 2" xfId="28237" xr:uid="{0EF44EBB-A3DE-47D1-AB42-CC06D9479466}"/>
    <cellStyle name="Comma 3 3 2 2 2 3" xfId="25214" xr:uid="{D588E60D-2E4B-4CF0-A786-2CAC033A9196}"/>
    <cellStyle name="Comma 3 3 2 2 2 3 2" xfId="28527" xr:uid="{5F77B94B-6126-4E8F-9C42-32D650D74DDE}"/>
    <cellStyle name="Comma 3 3 2 2 2 4" xfId="26081" xr:uid="{44C5DF2D-AAFA-4D0A-B982-DD93B5E6DC1C}"/>
    <cellStyle name="Comma 3 3 2 2 3" xfId="24939" xr:uid="{DFADDA9C-E7ED-43AB-B985-1ADBA55BB6D7}"/>
    <cellStyle name="Comma 3 3 2 2 3 2" xfId="26265" xr:uid="{3EC36A67-9850-4071-B7DD-74A7E2FC28F8}"/>
    <cellStyle name="Comma 3 3 2 2 4" xfId="25215" xr:uid="{2E80F47C-4163-4434-A3F8-62FAB459F6C1}"/>
    <cellStyle name="Comma 3 3 2 2 4 2" xfId="26383" xr:uid="{9649A9CF-9A78-4FFF-824F-264D9EBED4C6}"/>
    <cellStyle name="Comma 3 3 2 2 5" xfId="25216" xr:uid="{BE8DF917-799D-4428-AA68-391DE2518CAE}"/>
    <cellStyle name="Comma 3 3 2 2 5 2" xfId="26765" xr:uid="{7C01EE9E-92B6-4A6E-B029-F146A1A5A513}"/>
    <cellStyle name="Comma 3 3 2 2 6" xfId="25217" xr:uid="{44E26D8F-F207-4B93-90DE-1456EC5C1FF5}"/>
    <cellStyle name="Comma 3 3 2 2 6 2" xfId="27928" xr:uid="{3AB94CAB-9EE9-41BC-8F93-7807B9C3F72D}"/>
    <cellStyle name="Comma 3 3 2 2 7" xfId="25218" xr:uid="{1A92E249-FE9B-4459-A6E7-C345B3AEB3C5}"/>
    <cellStyle name="Comma 3 3 2 2 7 2" xfId="28528" xr:uid="{B778C2E6-E832-42C6-B1C2-8517C9CA7A9B}"/>
    <cellStyle name="Comma 3 3 2 2 8" xfId="25219" xr:uid="{E6D9E0E6-50AE-4EA5-A052-269691CBF244}"/>
    <cellStyle name="Comma 3 3 2 2 8 2" xfId="28529" xr:uid="{7E534414-0E30-4718-9B92-142E8D4E04B4}"/>
    <cellStyle name="Comma 3 3 2 2 9" xfId="26007" xr:uid="{ABC3B0D5-4964-4B3F-9E1D-F3BEF8FBBE67}"/>
    <cellStyle name="Comma 3 3 2 3" xfId="3962" xr:uid="{46FE9BD5-21C6-4BA3-A4B0-9597009EDD6F}"/>
    <cellStyle name="Comma 3 3 2 3 2" xfId="24938" xr:uid="{1208ADAD-6517-4AF4-96A5-37BE5B60C817}"/>
    <cellStyle name="Comma 3 3 2 3 2 2" xfId="26764" xr:uid="{2082ADCD-4476-49CA-BCA6-FBB0C5C43C25}"/>
    <cellStyle name="Comma 3 3 2 3 3" xfId="25220" xr:uid="{448E2E5E-31DF-4DBC-B40A-7A9DBC2435F7}"/>
    <cellStyle name="Comma 3 3 2 3 3 2" xfId="28236" xr:uid="{08A5B158-490D-4FF0-A3F0-2AAF18D6F371}"/>
    <cellStyle name="Comma 3 3 2 3 4" xfId="25221" xr:uid="{4801E680-FBDE-4DBD-AE18-1C50BF791802}"/>
    <cellStyle name="Comma 3 3 2 3 4 2" xfId="28530" xr:uid="{BE7D06EE-8A4C-422B-9666-796BDCF14A05}"/>
    <cellStyle name="Comma 3 3 2 3 5" xfId="26082" xr:uid="{63020F7E-06F6-4FB4-8770-9D6407CD96CA}"/>
    <cellStyle name="Comma 3 3 2 4" xfId="24902" xr:uid="{6F615105-34EF-45AE-954F-74511E88397B}"/>
    <cellStyle name="Comma 3 3 2 4 2" xfId="26264" xr:uid="{AA281279-0A15-43E4-B3C1-D417EEE5AE90}"/>
    <cellStyle name="Comma 3 3 2 5" xfId="25222" xr:uid="{CDE08292-55DA-4455-8438-492E5D9FED4D}"/>
    <cellStyle name="Comma 3 3 2 5 2" xfId="26382" xr:uid="{E0DA3DAF-B53D-419D-8922-9C603B007B5F}"/>
    <cellStyle name="Comma 3 3 2 6" xfId="25223" xr:uid="{F51359E6-D8D7-413B-BA04-07960178F516}"/>
    <cellStyle name="Comma 3 3 2 6 2" xfId="26476" xr:uid="{2227AC00-3C0D-4331-82F1-022C475C8FCD}"/>
    <cellStyle name="Comma 3 3 2 7" xfId="25224" xr:uid="{E80BC1D0-B714-45F0-BD5C-7672C8B1F2FC}"/>
    <cellStyle name="Comma 3 3 2 7 2" xfId="27927" xr:uid="{4088CDC4-A57D-4CAB-A6AF-F064F795CA48}"/>
    <cellStyle name="Comma 3 3 2 8" xfId="25225" xr:uid="{02903AD3-2E58-45C9-840B-6A141E9E7E58}"/>
    <cellStyle name="Comma 3 3 2 8 2" xfId="28531" xr:uid="{1D811C58-A053-488F-8B47-6F3BB5A9FFDD}"/>
    <cellStyle name="Comma 3 3 2 9" xfId="25226" xr:uid="{E228241B-A499-400C-ABA6-0B9727B3EE49}"/>
    <cellStyle name="Comma 3 3 2 9 2" xfId="28532" xr:uid="{FC7D71A4-DFD4-4F59-BC12-1DC6DA3D8256}"/>
    <cellStyle name="Comma 3 3 3" xfId="132" xr:uid="{A29D7835-3146-407F-9A5A-B15566016D38}"/>
    <cellStyle name="Comma 3 3 3 10" xfId="25227" xr:uid="{E891B43E-5868-42EC-BFFB-D2D0C15EB4A9}"/>
    <cellStyle name="Comma 3 3 3 10 2" xfId="28533" xr:uid="{A5473C9E-B989-40D6-9D7C-E5FF5C2A2AF4}"/>
    <cellStyle name="Comma 3 3 3 11" xfId="25228" xr:uid="{FC0B8E4B-3EFC-4D2F-A8E1-6DF08D60C3B2}"/>
    <cellStyle name="Comma 3 3 3 11 2" xfId="28534" xr:uid="{C0ACB6F7-7E3E-4877-9CBF-9BF85F9C3408}"/>
    <cellStyle name="Comma 3 3 3 12" xfId="26008" xr:uid="{5FCECD4F-2995-4352-A374-C355F0CC2BB2}"/>
    <cellStyle name="Comma 3 3 3 2" xfId="133" xr:uid="{A4A2B5DD-19C4-4C94-8117-59C5A0176AFC}"/>
    <cellStyle name="Comma 3 3 3 2 2" xfId="3965" xr:uid="{695380AB-985D-4018-9F24-1722AD170895}"/>
    <cellStyle name="Comma 3 3 3 2 2 2" xfId="25229" xr:uid="{F69E748C-7AA3-4DAB-A31B-FCEFE515B85A}"/>
    <cellStyle name="Comma 3 3 3 2 2 2 2" xfId="28239" xr:uid="{1BEA77D8-6EE0-4B6F-B6C4-D3CDB04C180D}"/>
    <cellStyle name="Comma 3 3 3 2 2 3" xfId="25230" xr:uid="{00CCDA03-843C-457B-AECC-58215C367835}"/>
    <cellStyle name="Comma 3 3 3 2 2 3 2" xfId="28535" xr:uid="{F40AF720-5A0C-4AA6-998E-5F96518A4527}"/>
    <cellStyle name="Comma 3 3 3 2 2 4" xfId="26118" xr:uid="{7466DD40-2CE4-41B9-A606-F89D18AEEDC4}"/>
    <cellStyle name="Comma 3 3 3 2 3" xfId="24941" xr:uid="{FA1259A8-80E3-48BD-BB84-B272DDB8D628}"/>
    <cellStyle name="Comma 3 3 3 2 3 2" xfId="26267" xr:uid="{D1580EBC-ABA9-474E-BEF1-0F3E10431C8D}"/>
    <cellStyle name="Comma 3 3 3 2 4" xfId="25231" xr:uid="{FB2B8239-0491-451D-8328-1787C5442584}"/>
    <cellStyle name="Comma 3 3 3 2 4 2" xfId="26385" xr:uid="{3E73FE53-23BB-4E99-8AEC-704BCA206E0F}"/>
    <cellStyle name="Comma 3 3 3 2 5" xfId="25232" xr:uid="{3A652972-0955-483E-BDA6-3EB963AE60AD}"/>
    <cellStyle name="Comma 3 3 3 2 5 2" xfId="26767" xr:uid="{8DDEE0CB-A471-49F9-8BBA-5280BB66DB44}"/>
    <cellStyle name="Comma 3 3 3 2 6" xfId="25233" xr:uid="{91CC6C97-EF6F-4A2C-8E31-EADB5DF9265C}"/>
    <cellStyle name="Comma 3 3 3 2 6 2" xfId="27930" xr:uid="{4CA754A2-2655-4099-AB61-F105F37BB38C}"/>
    <cellStyle name="Comma 3 3 3 2 7" xfId="25234" xr:uid="{45082389-22B4-4E6C-B6C6-A15BBE7E3A52}"/>
    <cellStyle name="Comma 3 3 3 2 7 2" xfId="28536" xr:uid="{10C7E1BB-2D72-42CE-B18D-726D27B2EF5F}"/>
    <cellStyle name="Comma 3 3 3 2 8" xfId="25235" xr:uid="{2AE0AFE6-76F1-4DCC-8EF8-09E521FB3978}"/>
    <cellStyle name="Comma 3 3 3 2 8 2" xfId="28537" xr:uid="{4E93FD0D-D82C-4CB6-9621-F483FCADA972}"/>
    <cellStyle name="Comma 3 3 3 2 9" xfId="26009" xr:uid="{9845F268-E860-4E68-B1F5-F386F2F10331}"/>
    <cellStyle name="Comma 3 3 3 3" xfId="134" xr:uid="{9C8E7427-93D0-40E5-B8D3-8BB25CFF5A42}"/>
    <cellStyle name="Comma 3 3 3 3 10" xfId="26010" xr:uid="{5D888EA4-C8BA-46B0-98EC-431FD6E2CEFA}"/>
    <cellStyle name="Comma 3 3 3 3 2" xfId="135" xr:uid="{E3EDFF03-D927-44F8-A1E4-D7B724D07FFF}"/>
    <cellStyle name="Comma 3 3 3 3 2 2" xfId="3967" xr:uid="{8CFF1C89-A371-41D9-BB40-634AE3C29ABF}"/>
    <cellStyle name="Comma 3 3 3 3 2 2 2" xfId="25236" xr:uid="{1B407CD9-FE31-4AE1-B70D-9472CF677155}"/>
    <cellStyle name="Comma 3 3 3 3 2 2 2 2" xfId="28241" xr:uid="{98187A9F-1C03-4EFC-8ADD-715D677D6A1B}"/>
    <cellStyle name="Comma 3 3 3 3 2 2 3" xfId="25237" xr:uid="{96D92112-9D3A-4785-87BC-7BAD1C8676EB}"/>
    <cellStyle name="Comma 3 3 3 3 2 2 3 2" xfId="28538" xr:uid="{60515DB2-96DE-496F-B2F3-B363EB5C4690}"/>
    <cellStyle name="Comma 3 3 3 3 2 2 4" xfId="26120" xr:uid="{C7B5E3A2-11BF-445A-949E-03C7D63E80B7}"/>
    <cellStyle name="Comma 3 3 3 3 2 3" xfId="24943" xr:uid="{6CFC37F7-63D3-49F8-9910-4AC2296D13AE}"/>
    <cellStyle name="Comma 3 3 3 3 2 3 2" xfId="26269" xr:uid="{5B3FAFE8-4E53-4769-9255-AEE5563298F4}"/>
    <cellStyle name="Comma 3 3 3 3 2 4" xfId="25238" xr:uid="{BAF2417F-C960-4FEA-B7C1-190AB5707C78}"/>
    <cellStyle name="Comma 3 3 3 3 2 4 2" xfId="26387" xr:uid="{D0B2B0FD-13DF-4E3B-BDAA-22B467C2C96D}"/>
    <cellStyle name="Comma 3 3 3 3 2 5" xfId="25239" xr:uid="{D103C4F2-F4D1-4329-8476-E65D044D12A6}"/>
    <cellStyle name="Comma 3 3 3 3 2 5 2" xfId="26769" xr:uid="{1ADE0976-A0BB-41DA-955F-B679CEEE3CA3}"/>
    <cellStyle name="Comma 3 3 3 3 2 6" xfId="25240" xr:uid="{5C9223F0-7E3B-4EF7-A635-B0DEEB72A319}"/>
    <cellStyle name="Comma 3 3 3 3 2 6 2" xfId="27932" xr:uid="{C52899A4-038B-43FA-9C0D-482D77DEF27D}"/>
    <cellStyle name="Comma 3 3 3 3 2 7" xfId="25241" xr:uid="{75C2243A-17C2-4ACB-A301-04601BF93575}"/>
    <cellStyle name="Comma 3 3 3 3 2 7 2" xfId="28539" xr:uid="{0B303375-2DE3-4D6C-BA20-0DC47563C9F0}"/>
    <cellStyle name="Comma 3 3 3 3 2 8" xfId="25242" xr:uid="{4092F648-398B-4A2E-914B-3915676E5450}"/>
    <cellStyle name="Comma 3 3 3 3 2 8 2" xfId="28540" xr:uid="{4878C993-CAD4-49EB-90E5-BAE35BE3B916}"/>
    <cellStyle name="Comma 3 3 3 3 2 9" xfId="26011" xr:uid="{CAED4101-AFC2-4B4D-AE6F-CDC0BF366292}"/>
    <cellStyle name="Comma 3 3 3 3 3" xfId="3966" xr:uid="{F179A3C7-673B-413B-B0B2-9A91912CD496}"/>
    <cellStyle name="Comma 3 3 3 3 3 2" xfId="24944" xr:uid="{4806A6BB-1C8A-4E08-AC3F-3FFC0012FF89}"/>
    <cellStyle name="Comma 3 3 3 3 3 2 2" xfId="26770" xr:uid="{A45511BF-E127-4368-9CD6-7B327E1FFFB5}"/>
    <cellStyle name="Comma 3 3 3 3 3 3" xfId="25243" xr:uid="{3B20F6F4-205D-4940-A7B3-71C6D8F74D56}"/>
    <cellStyle name="Comma 3 3 3 3 3 3 2" xfId="28240" xr:uid="{66CF9F6E-C6D1-4628-9013-BB8C2A75E5C7}"/>
    <cellStyle name="Comma 3 3 3 3 3 4" xfId="25244" xr:uid="{4A460306-0A63-464E-93B3-C1DA33A41307}"/>
    <cellStyle name="Comma 3 3 3 3 3 4 2" xfId="28541" xr:uid="{4A2891F5-B48F-4D10-93E4-D39017B3D247}"/>
    <cellStyle name="Comma 3 3 3 3 3 5" xfId="25245" xr:uid="{214E6DAA-C2F2-49AB-9E2D-FF5659DA362A}"/>
    <cellStyle name="Comma 3 3 3 3 3 5 2" xfId="28542" xr:uid="{77229F47-4F09-42C8-9F28-F56B9B42ECCD}"/>
    <cellStyle name="Comma 3 3 3 3 3 6" xfId="26119" xr:uid="{BA4D5A29-AA24-4A19-B66E-1B2D7F2B4A1F}"/>
    <cellStyle name="Comma 3 3 3 3 4" xfId="24867" xr:uid="{0883A03D-D9EC-4F7F-A838-98D64D3D60B7}"/>
    <cellStyle name="Comma 3 3 3 3 4 2" xfId="25246" xr:uid="{625954C1-20BC-4BF7-B551-DE045BCC6757}"/>
    <cellStyle name="Comma 3 3 3 3 4 2 2" xfId="26771" xr:uid="{CD7224B0-1096-448B-9ECF-5223BC44B673}"/>
    <cellStyle name="Comma 3 3 3 3 4 3" xfId="26268" xr:uid="{C267ED7D-239E-40B0-81B5-6E062F2298DD}"/>
    <cellStyle name="Comma 3 3 3 3 5" xfId="24942" xr:uid="{93BD0080-81C8-4950-99C8-BBD37962A899}"/>
    <cellStyle name="Comma 3 3 3 3 5 2" xfId="26386" xr:uid="{DCDFABDD-B3E1-4261-8BF1-0963E49FE409}"/>
    <cellStyle name="Comma 3 3 3 3 6" xfId="25247" xr:uid="{1B736274-EEA6-4048-9C2A-1A38646F7772}"/>
    <cellStyle name="Comma 3 3 3 3 6 2" xfId="26768" xr:uid="{5DBE8C80-EA32-4F13-85B3-66C91ACC4B9B}"/>
    <cellStyle name="Comma 3 3 3 3 7" xfId="25248" xr:uid="{F66F0F18-F691-4C2C-9A04-5502989877BE}"/>
    <cellStyle name="Comma 3 3 3 3 7 2" xfId="27931" xr:uid="{9FB0E5A6-DD6C-482E-A538-F76510A139C3}"/>
    <cellStyle name="Comma 3 3 3 3 8" xfId="25249" xr:uid="{081C2376-B6DB-4B55-A849-8C8609376927}"/>
    <cellStyle name="Comma 3 3 3 3 8 2" xfId="28543" xr:uid="{F4E467C8-F72A-4434-9B46-D492090705C6}"/>
    <cellStyle name="Comma 3 3 3 3 9" xfId="25250" xr:uid="{BCBD29BB-D39B-4A29-89E3-23D2BC8D97E7}"/>
    <cellStyle name="Comma 3 3 3 3 9 2" xfId="28544" xr:uid="{D8E4BA1A-2E93-4A28-8E6C-A715302D2AAC}"/>
    <cellStyle name="Comma 3 3 3 4" xfId="136" xr:uid="{1E6C73C9-2CB6-47B2-8815-74CC749990CE}"/>
    <cellStyle name="Comma 3 3 3 4 10" xfId="26012" xr:uid="{FD45F516-8FF6-45B8-AF91-1D8DE1633D5E}"/>
    <cellStyle name="Comma 3 3 3 4 2" xfId="137" xr:uid="{141AE015-C4D1-4B31-8F17-30D09437BE65}"/>
    <cellStyle name="Comma 3 3 3 4 2 2" xfId="24946" xr:uid="{0F9E07AC-D275-4D66-9C8C-8CF6FF5F3DD4}"/>
    <cellStyle name="Comma 3 3 3 4 2 2 2" xfId="26122" xr:uid="{0D10F829-E86F-4B39-89AE-A02FDC2E4D78}"/>
    <cellStyle name="Comma 3 3 3 4 2 3" xfId="25251" xr:uid="{D17053C0-5607-4E2F-84A9-F6BCE716A6E3}"/>
    <cellStyle name="Comma 3 3 3 4 2 3 2" xfId="26271" xr:uid="{15F18E18-F106-4526-A8BC-8BB5E0F3166E}"/>
    <cellStyle name="Comma 3 3 3 4 2 4" xfId="25252" xr:uid="{247E0197-8773-4FC8-9E1C-D419F4995BF5}"/>
    <cellStyle name="Comma 3 3 3 4 2 4 2" xfId="26389" xr:uid="{3BE99602-2DBD-488D-AFDA-19388CBDA805}"/>
    <cellStyle name="Comma 3 3 3 4 2 5" xfId="25253" xr:uid="{F1F4E3D8-0159-439A-9A46-8D8DB8525409}"/>
    <cellStyle name="Comma 3 3 3 4 2 5 2" xfId="26773" xr:uid="{F294E6F3-4630-429F-A785-98A874F713DD}"/>
    <cellStyle name="Comma 3 3 3 4 2 6" xfId="25254" xr:uid="{B56D630A-3B3A-4113-A289-3A27218FF56C}"/>
    <cellStyle name="Comma 3 3 3 4 2 6 2" xfId="27934" xr:uid="{A6E2ED69-BF4C-4F7F-9F4E-B04C84253F30}"/>
    <cellStyle name="Comma 3 3 3 4 2 7" xfId="25255" xr:uid="{9E4DAFAD-46D1-48CE-A87E-145FA57273E8}"/>
    <cellStyle name="Comma 3 3 3 4 2 7 2" xfId="28545" xr:uid="{9B5A3EBA-6FBE-4C9A-A5B7-EB5145FB06AC}"/>
    <cellStyle name="Comma 3 3 3 4 2 8" xfId="25256" xr:uid="{F46531CD-3F4E-4B1D-ABEA-CE095B28F111}"/>
    <cellStyle name="Comma 3 3 3 4 2 8 2" xfId="28546" xr:uid="{71F8608B-40B4-4A56-9732-A0CAB49A854B}"/>
    <cellStyle name="Comma 3 3 3 4 2 9" xfId="26013" xr:uid="{15A0092D-C4F2-4AC5-A25E-4B4B6612F900}"/>
    <cellStyle name="Comma 3 3 3 4 3" xfId="3968" xr:uid="{535ACF45-CF79-43A7-AF3D-79096E3D4CEA}"/>
    <cellStyle name="Comma 3 3 3 4 3 2" xfId="25257" xr:uid="{6C6DDA87-3E1A-4840-8394-310504A18B58}"/>
    <cellStyle name="Comma 3 3 3 4 3 2 2" xfId="28242" xr:uid="{A1ED8F37-8B2D-4B22-A388-6FDC06B92663}"/>
    <cellStyle name="Comma 3 3 3 4 3 3" xfId="25258" xr:uid="{D672D3D5-6912-4B79-8D61-849E8C9724B3}"/>
    <cellStyle name="Comma 3 3 3 4 3 3 2" xfId="28547" xr:uid="{825A8BBE-72D3-470F-B27F-0E90E04C427D}"/>
    <cellStyle name="Comma 3 3 3 4 3 4" xfId="26121" xr:uid="{0ED29B90-9182-48B9-82E1-122796F990DF}"/>
    <cellStyle name="Comma 3 3 3 4 4" xfId="24945" xr:uid="{8BC5CE77-2782-40A8-B104-33C28AEFFC03}"/>
    <cellStyle name="Comma 3 3 3 4 4 2" xfId="26270" xr:uid="{C5E144C3-B6D8-4ADB-A12F-9CE97C77C87A}"/>
    <cellStyle name="Comma 3 3 3 4 5" xfId="25259" xr:uid="{C6AAAFC9-1529-4589-8D7A-808B9BE0FDBD}"/>
    <cellStyle name="Comma 3 3 3 4 5 2" xfId="26388" xr:uid="{597283F6-3690-4A8B-AAF6-3892B81D783E}"/>
    <cellStyle name="Comma 3 3 3 4 6" xfId="25260" xr:uid="{0560A3D4-5470-4B44-B8E4-56C4BB66172E}"/>
    <cellStyle name="Comma 3 3 3 4 6 2" xfId="26772" xr:uid="{583F9692-73EE-406B-A208-5C5A8A025A6D}"/>
    <cellStyle name="Comma 3 3 3 4 7" xfId="25261" xr:uid="{BD55ABD9-98A7-4B82-A314-E51D8E9C639E}"/>
    <cellStyle name="Comma 3 3 3 4 7 2" xfId="27933" xr:uid="{D633C7F4-FB75-4EFC-AA43-49C6466CC477}"/>
    <cellStyle name="Comma 3 3 3 4 8" xfId="25262" xr:uid="{0284BD67-75B0-4E5C-8D4A-91FC7AE47F59}"/>
    <cellStyle name="Comma 3 3 3 4 8 2" xfId="28548" xr:uid="{7D7C7608-07AE-4287-8E39-CCACCF010DDC}"/>
    <cellStyle name="Comma 3 3 3 4 9" xfId="25263" xr:uid="{1BC9D82B-CFE1-45FE-A756-444636912E79}"/>
    <cellStyle name="Comma 3 3 3 4 9 2" xfId="28549" xr:uid="{816B2003-CEA5-46D0-AC06-9E931351CD86}"/>
    <cellStyle name="Comma 3 3 3 5" xfId="3964" xr:uid="{42F334A3-725C-41F2-B2A0-5C80599015AE}"/>
    <cellStyle name="Comma 3 3 3 5 2" xfId="24947" xr:uid="{98AAC0FF-B816-44A7-8B8C-C05EC6F05546}"/>
    <cellStyle name="Comma 3 3 3 5 2 2" xfId="26774" xr:uid="{DCAB8FD1-A74D-4B10-81BD-BD8DCB1968AA}"/>
    <cellStyle name="Comma 3 3 3 5 3" xfId="25264" xr:uid="{09CF0857-3E53-44BF-A0F8-0F83564CE43E}"/>
    <cellStyle name="Comma 3 3 3 5 3 2" xfId="28238" xr:uid="{95E48415-BDC0-48CE-9F90-E96FC84662CE}"/>
    <cellStyle name="Comma 3 3 3 5 4" xfId="25265" xr:uid="{7C763226-D336-4C90-9D9C-E3BC94676031}"/>
    <cellStyle name="Comma 3 3 3 5 4 2" xfId="28550" xr:uid="{3BC3C780-C99A-4F46-94B6-8393FA7FF9E8}"/>
    <cellStyle name="Comma 3 3 3 5 5" xfId="25266" xr:uid="{B134D61A-5DA9-433D-99F0-D8EE476546A5}"/>
    <cellStyle name="Comma 3 3 3 5 5 2" xfId="28551" xr:uid="{4F50065D-0ED2-41CF-99EF-300294DA9411}"/>
    <cellStyle name="Comma 3 3 3 5 6" xfId="26117" xr:uid="{1BE02F33-48F2-49A2-A396-2CA8E62AB57C}"/>
    <cellStyle name="Comma 3 3 3 6" xfId="24940" xr:uid="{C5BDD087-E0DA-4EA3-A53A-757AEB6B38F8}"/>
    <cellStyle name="Comma 3 3 3 6 2" xfId="26266" xr:uid="{FDDA694D-D501-48F1-9A25-246CEF5AF824}"/>
    <cellStyle name="Comma 3 3 3 7" xfId="25267" xr:uid="{6C1FC17C-42C3-4075-A2AE-E2BA0699E7D7}"/>
    <cellStyle name="Comma 3 3 3 7 2" xfId="26384" xr:uid="{F19222D9-B49D-4EDB-9F4F-856D2BD5BD28}"/>
    <cellStyle name="Comma 3 3 3 8" xfId="25268" xr:uid="{7AA75786-5698-48B0-A36A-75D73E8F372E}"/>
    <cellStyle name="Comma 3 3 3 8 2" xfId="26766" xr:uid="{EF8453C0-F622-45A2-8F3C-946AA2053936}"/>
    <cellStyle name="Comma 3 3 3 9" xfId="25269" xr:uid="{A286F3E2-645F-4274-A1DD-E3A07766E95D}"/>
    <cellStyle name="Comma 3 3 3 9 2" xfId="27929" xr:uid="{ED57BE5E-6A84-4BEF-B761-1C11FE06903D}"/>
    <cellStyle name="Comma 3 3 4" xfId="3961" xr:uid="{256D6783-B87D-4E65-9A0C-3BFA2F824630}"/>
    <cellStyle name="Comma 3 3 4 2" xfId="24937" xr:uid="{F6A7FA5B-E36D-43A7-A945-B1B0664D88C8}"/>
    <cellStyle name="Comma 3 3 4 2 2" xfId="25270" xr:uid="{BB780308-3077-4B4B-A3E7-FBD4FC3C5BCF}"/>
    <cellStyle name="Comma 3 3 4 2 2 2" xfId="28552" xr:uid="{8A616D9A-A678-402D-9BC2-D8854835FAD1}"/>
    <cellStyle name="Comma 3 3 4 2 3" xfId="26763" xr:uid="{7E1717A1-8C7C-4F96-BCC7-BE4DC4AEDE1C}"/>
    <cellStyle name="Comma 3 3 4 3" xfId="25271" xr:uid="{FA1663BF-F681-4CCC-B27C-2B6A810DDC34}"/>
    <cellStyle name="Comma 3 3 4 3 2" xfId="28235" xr:uid="{30F19781-65A3-4F0E-A1C8-0F45AF0A79E6}"/>
    <cellStyle name="Comma 3 3 4 4" xfId="8186" xr:uid="{7159C7C9-C892-4E5B-9F46-C3446725377B}"/>
    <cellStyle name="Comma 3 3 4 4 2" xfId="28553" xr:uid="{A1603D02-434B-41E6-B35D-DB2B59A9DBD4}"/>
    <cellStyle name="Comma 3 3 4 5" xfId="25272" xr:uid="{06F5931F-23B0-4C77-95A5-0C9DD0A40E83}"/>
    <cellStyle name="Comma 3 3 4 5 2" xfId="28554" xr:uid="{635DEBE4-4E30-43F9-9065-6B953C7E5261}"/>
    <cellStyle name="Comma 3 3 4 6" xfId="26005" xr:uid="{71E703C9-FA74-4002-890D-4C51C7358CAC}"/>
    <cellStyle name="Comma 3 3 5" xfId="24901" xr:uid="{CEEF618F-1B8C-43B3-AF30-A96E4C03FCBE}"/>
    <cellStyle name="Comma 3 3 5 2" xfId="26083" xr:uid="{BE032FD9-F906-41C1-AF94-2F92B08D81F8}"/>
    <cellStyle name="Comma 3 3 6" xfId="25273" xr:uid="{BA1A0F84-432D-4453-9659-153863080BFA}"/>
    <cellStyle name="Comma 3 3 6 2" xfId="26263" xr:uid="{6C114BD3-A3FB-4AFE-87B0-B1361F03C2CF}"/>
    <cellStyle name="Comma 3 3 7" xfId="25274" xr:uid="{6D31E6F9-516B-4EA8-A377-157C146ECA4E}"/>
    <cellStyle name="Comma 3 3 7 2" xfId="26381" xr:uid="{8BFEBD5D-5B13-4CE6-A955-CD13C4289601}"/>
    <cellStyle name="Comma 3 3 8" xfId="8187" xr:uid="{3978B0C1-39F8-497D-BEB3-7A8CAAB245C7}"/>
    <cellStyle name="Comma 3 3 8 2" xfId="26475" xr:uid="{67AF0200-D6FD-433B-AD1C-092942E3E131}"/>
    <cellStyle name="Comma 3 3 9" xfId="25275" xr:uid="{CBCB60CE-F061-49F0-8D7D-4A1A4D426EDC}"/>
    <cellStyle name="Comma 3 3 9 2" xfId="27926" xr:uid="{5108223D-45A9-4BD4-B69A-082259D50CE1}"/>
    <cellStyle name="Comma 3 4" xfId="138" xr:uid="{C6093F36-A0E3-47B0-B842-8CADDB2A0C57}"/>
    <cellStyle name="Comma 3 4 10" xfId="25276" xr:uid="{79D52191-A400-41A3-B0B4-6F3B92F82147}"/>
    <cellStyle name="Comma 3 4 10 2" xfId="28555" xr:uid="{1A839938-7E94-4093-BCE8-720C6A6DE7F4}"/>
    <cellStyle name="Comma 3 4 11" xfId="26014" xr:uid="{1B8CC42E-E806-434B-AA43-A135E8B05BBF}"/>
    <cellStyle name="Comma 3 4 2" xfId="139" xr:uid="{CBAAB6B4-1710-4118-964B-B8D0ACA03A6D}"/>
    <cellStyle name="Comma 3 4 2 10" xfId="25277" xr:uid="{0319AB1C-A605-4E05-AFBE-493F8CDEB2B7}"/>
    <cellStyle name="Comma 3 4 2 10 2" xfId="28556" xr:uid="{167EB3DF-3886-45D3-9185-6CCB7B8B421A}"/>
    <cellStyle name="Comma 3 4 2 11" xfId="25278" xr:uid="{AC0943F7-219B-4ABF-878B-945668D93137}"/>
    <cellStyle name="Comma 3 4 2 11 2" xfId="28557" xr:uid="{CE208472-D2D0-4A4D-9141-305384C7C413}"/>
    <cellStyle name="Comma 3 4 2 12" xfId="26015" xr:uid="{FD085A5C-D88F-452D-9AD8-920EFC6D5316}"/>
    <cellStyle name="Comma 3 4 2 2" xfId="140" xr:uid="{34DBC362-F559-4E08-8956-857B41700128}"/>
    <cellStyle name="Comma 3 4 2 2 2" xfId="3971" xr:uid="{E6E3E672-F059-4C52-9DBB-EEEE87D364B7}"/>
    <cellStyle name="Comma 3 4 2 2 2 2" xfId="25279" xr:uid="{648CA030-7498-42B7-AACE-F10BC2048AD1}"/>
    <cellStyle name="Comma 3 4 2 2 2 2 2" xfId="28245" xr:uid="{70DB362D-B6CD-41B0-B779-65EB00EC53C7}"/>
    <cellStyle name="Comma 3 4 2 2 2 3" xfId="25280" xr:uid="{D6DDDC60-B677-45C2-A6F8-DD7A148B27C2}"/>
    <cellStyle name="Comma 3 4 2 2 2 3 2" xfId="28558" xr:uid="{4E69D67F-3B41-4AF3-8290-C4EC9949D73E}"/>
    <cellStyle name="Comma 3 4 2 2 2 4" xfId="26125" xr:uid="{2B8417CA-0C49-4F65-A44A-F5B4EF8059A2}"/>
    <cellStyle name="Comma 3 4 2 2 3" xfId="24949" xr:uid="{30F590DA-F002-46C5-A4D5-657AA56E37E0}"/>
    <cellStyle name="Comma 3 4 2 2 3 2" xfId="26274" xr:uid="{CDB7AD44-5539-47EF-A67F-E8E06E9E56D0}"/>
    <cellStyle name="Comma 3 4 2 2 4" xfId="25281" xr:uid="{64A69313-51BB-4CF6-B037-A49E39C5C4C0}"/>
    <cellStyle name="Comma 3 4 2 2 4 2" xfId="26392" xr:uid="{80086E7F-6AA8-4E1B-BF46-00D94A9BC9AB}"/>
    <cellStyle name="Comma 3 4 2 2 5" xfId="25282" xr:uid="{31ACF193-AC70-4657-A69B-2DAA748308B6}"/>
    <cellStyle name="Comma 3 4 2 2 5 2" xfId="26777" xr:uid="{7BF0315C-0206-4A86-8134-BAB5151D5F1F}"/>
    <cellStyle name="Comma 3 4 2 2 6" xfId="25283" xr:uid="{74A79D41-19E9-46F0-B75E-2B732EB9BA90}"/>
    <cellStyle name="Comma 3 4 2 2 6 2" xfId="27937" xr:uid="{24E52F0B-94CA-4E51-BBE3-E655253BF2C1}"/>
    <cellStyle name="Comma 3 4 2 2 7" xfId="25284" xr:uid="{85130C89-EE0C-4B61-ADC5-4D48E4FD00CC}"/>
    <cellStyle name="Comma 3 4 2 2 7 2" xfId="28559" xr:uid="{57CB6AC1-CD5C-403A-8B34-D911ACF50D77}"/>
    <cellStyle name="Comma 3 4 2 2 8" xfId="25285" xr:uid="{DA05E6FE-7B49-47CD-BEA8-2C32793CF36C}"/>
    <cellStyle name="Comma 3 4 2 2 8 2" xfId="28560" xr:uid="{E6892591-D724-4A4D-A897-606AAC61048A}"/>
    <cellStyle name="Comma 3 4 2 2 9" xfId="26016" xr:uid="{14D1FA08-BC62-4570-907E-7B55DB441FEC}"/>
    <cellStyle name="Comma 3 4 2 3" xfId="141" xr:uid="{4AB11A44-51D2-4436-BCAD-B4143D9A6C04}"/>
    <cellStyle name="Comma 3 4 2 3 10" xfId="26017" xr:uid="{931D36E8-B09A-4111-A874-90A593D4D551}"/>
    <cellStyle name="Comma 3 4 2 3 2" xfId="142" xr:uid="{201F2B42-D7B3-4DDB-B965-A82BCEF293A9}"/>
    <cellStyle name="Comma 3 4 2 3 2 2" xfId="3973" xr:uid="{13D52415-0418-4C2F-8658-AA064B39C2C2}"/>
    <cellStyle name="Comma 3 4 2 3 2 2 2" xfId="25286" xr:uid="{954FF5B6-66D8-4CBA-9326-AC3552D4DB08}"/>
    <cellStyle name="Comma 3 4 2 3 2 2 2 2" xfId="28247" xr:uid="{C70165CA-3310-4D08-984E-9D568BEFED4E}"/>
    <cellStyle name="Comma 3 4 2 3 2 2 3" xfId="25287" xr:uid="{C05D7ADD-0607-4173-AA68-55D1ED61B140}"/>
    <cellStyle name="Comma 3 4 2 3 2 2 3 2" xfId="28561" xr:uid="{2530F49A-E0BB-4D20-99B6-0C059E9E2BEE}"/>
    <cellStyle name="Comma 3 4 2 3 2 2 4" xfId="26127" xr:uid="{325C6515-6A91-4612-A7F9-23CDEF68B5DF}"/>
    <cellStyle name="Comma 3 4 2 3 2 3" xfId="24951" xr:uid="{0A51EAFB-28FF-458B-9711-5A468E3C9B53}"/>
    <cellStyle name="Comma 3 4 2 3 2 3 2" xfId="26276" xr:uid="{33C15EBE-8299-46D2-8A2F-74D7A30C5720}"/>
    <cellStyle name="Comma 3 4 2 3 2 4" xfId="25288" xr:uid="{F9AFF8CF-46A1-448B-8BF1-8ED2166D3745}"/>
    <cellStyle name="Comma 3 4 2 3 2 4 2" xfId="26394" xr:uid="{A2BB482F-2D06-4892-B415-D64D0AE4B5A9}"/>
    <cellStyle name="Comma 3 4 2 3 2 5" xfId="25289" xr:uid="{744E0898-7F2D-448D-83E7-2AAFBEC7E7B8}"/>
    <cellStyle name="Comma 3 4 2 3 2 5 2" xfId="26779" xr:uid="{01461AD8-86FF-43B4-AE78-8E2B8BC0C2F2}"/>
    <cellStyle name="Comma 3 4 2 3 2 6" xfId="25290" xr:uid="{31BF649F-183A-4A46-B810-0F30B1BC0C31}"/>
    <cellStyle name="Comma 3 4 2 3 2 6 2" xfId="27939" xr:uid="{EED15282-F39D-4962-932C-12E9136A4F62}"/>
    <cellStyle name="Comma 3 4 2 3 2 7" xfId="25291" xr:uid="{3BA37B53-2E02-4714-8831-1BD1FE97EDE1}"/>
    <cellStyle name="Comma 3 4 2 3 2 7 2" xfId="28562" xr:uid="{DE0B0DCD-3686-4891-829B-31B7BEFB8B9D}"/>
    <cellStyle name="Comma 3 4 2 3 2 8" xfId="25292" xr:uid="{9E0D4BAE-927F-4697-98A5-051FE6CFEF86}"/>
    <cellStyle name="Comma 3 4 2 3 2 8 2" xfId="28563" xr:uid="{D533BDEE-1066-4AB8-B483-656410501498}"/>
    <cellStyle name="Comma 3 4 2 3 2 9" xfId="26018" xr:uid="{273855A6-2BC9-43CF-AD20-AE76448AAB92}"/>
    <cellStyle name="Comma 3 4 2 3 3" xfId="3972" xr:uid="{A45C0B00-D505-4F1F-B4BB-E062E03B7743}"/>
    <cellStyle name="Comma 3 4 2 3 3 2" xfId="24952" xr:uid="{9E80969B-FA66-4BBD-8CBB-48EB02615215}"/>
    <cellStyle name="Comma 3 4 2 3 3 2 2" xfId="26780" xr:uid="{A777494B-B424-402C-A306-0FF002F3E24A}"/>
    <cellStyle name="Comma 3 4 2 3 3 3" xfId="25293" xr:uid="{31A61396-BC67-49CC-885D-DA0C03DCD35C}"/>
    <cellStyle name="Comma 3 4 2 3 3 3 2" xfId="28246" xr:uid="{F312A999-959C-48F0-B837-CB1B8BAC2007}"/>
    <cellStyle name="Comma 3 4 2 3 3 4" xfId="25294" xr:uid="{421E7019-DA62-4BCC-9BCF-5AA1BB3223C0}"/>
    <cellStyle name="Comma 3 4 2 3 3 4 2" xfId="28564" xr:uid="{F83B1426-4646-418B-9DCD-3F317D4B1D45}"/>
    <cellStyle name="Comma 3 4 2 3 3 5" xfId="25295" xr:uid="{A050A080-CB34-4221-9354-31F15835930F}"/>
    <cellStyle name="Comma 3 4 2 3 3 5 2" xfId="28565" xr:uid="{9912EEAD-14A0-406C-895E-89E47C0AE671}"/>
    <cellStyle name="Comma 3 4 2 3 3 6" xfId="26126" xr:uid="{A988BFA7-2B04-4C09-B299-ABAC70137DC0}"/>
    <cellStyle name="Comma 3 4 2 3 4" xfId="24869" xr:uid="{C53B8AEC-93F0-42E3-99E5-F1CF287D05A9}"/>
    <cellStyle name="Comma 3 4 2 3 4 2" xfId="25296" xr:uid="{14E7BA06-A9EB-4C62-B0B2-364C89A5FFC1}"/>
    <cellStyle name="Comma 3 4 2 3 4 2 2" xfId="26781" xr:uid="{7E7FC8DE-CDFF-483C-B02E-F9B1B821C662}"/>
    <cellStyle name="Comma 3 4 2 3 4 3" xfId="26275" xr:uid="{685B5FD6-CB16-42EC-8FB1-1AD1F1C306F8}"/>
    <cellStyle name="Comma 3 4 2 3 5" xfId="24950" xr:uid="{A2794030-2887-4D6F-8549-9F5D8BDC0E0F}"/>
    <cellStyle name="Comma 3 4 2 3 5 2" xfId="26393" xr:uid="{882E6FBD-0F43-4E5C-A358-E9DD801A629D}"/>
    <cellStyle name="Comma 3 4 2 3 6" xfId="25297" xr:uid="{16DFE861-4DB3-4E5D-88C0-728FEAB4AD37}"/>
    <cellStyle name="Comma 3 4 2 3 6 2" xfId="26778" xr:uid="{A1569D18-6D6E-4BAC-89AB-C4DCA1E10AD0}"/>
    <cellStyle name="Comma 3 4 2 3 7" xfId="25298" xr:uid="{A6819EC5-B163-4C83-82CB-225175B83365}"/>
    <cellStyle name="Comma 3 4 2 3 7 2" xfId="27938" xr:uid="{72B0EEAE-73C7-4914-AE92-D8D648BDB4B1}"/>
    <cellStyle name="Comma 3 4 2 3 8" xfId="25299" xr:uid="{E71E51C0-AC07-4158-9677-0273AB885474}"/>
    <cellStyle name="Comma 3 4 2 3 8 2" xfId="28566" xr:uid="{5E860817-E362-42B8-BB62-797BFA9BFFB6}"/>
    <cellStyle name="Comma 3 4 2 3 9" xfId="25300" xr:uid="{04994B64-2853-485B-825C-672A4373EA5F}"/>
    <cellStyle name="Comma 3 4 2 3 9 2" xfId="28567" xr:uid="{321DA98F-9CEC-41A9-86E5-51F0CE423802}"/>
    <cellStyle name="Comma 3 4 2 4" xfId="143" xr:uid="{7699DC27-9CD1-4145-907D-AA354D95D33C}"/>
    <cellStyle name="Comma 3 4 2 4 10" xfId="26019" xr:uid="{7959CC16-4412-4BA6-9EA4-D9A1D17451F7}"/>
    <cellStyle name="Comma 3 4 2 4 2" xfId="144" xr:uid="{627A321E-FC8C-4CEB-AD31-5E2C7BB7368F}"/>
    <cellStyle name="Comma 3 4 2 4 2 2" xfId="24954" xr:uid="{82C58ADA-0737-4C30-B9FB-1FC7887C1C69}"/>
    <cellStyle name="Comma 3 4 2 4 2 2 2" xfId="26129" xr:uid="{E0AE7770-1861-4C38-9FDA-FF88C195D271}"/>
    <cellStyle name="Comma 3 4 2 4 2 3" xfId="25301" xr:uid="{1BF7192B-ECBE-4D77-AC6D-F7A48BB33B9B}"/>
    <cellStyle name="Comma 3 4 2 4 2 3 2" xfId="26278" xr:uid="{0C7CE92E-C70C-4A0C-9D5A-728CFBE5A1E0}"/>
    <cellStyle name="Comma 3 4 2 4 2 4" xfId="25302" xr:uid="{8B0781D0-C627-4857-AB5A-F646BCDD76AF}"/>
    <cellStyle name="Comma 3 4 2 4 2 4 2" xfId="26396" xr:uid="{7AB2BA00-9001-4306-BFF6-7DFAA1837D4C}"/>
    <cellStyle name="Comma 3 4 2 4 2 5" xfId="25303" xr:uid="{61B1654E-6E42-4886-999D-92324D698488}"/>
    <cellStyle name="Comma 3 4 2 4 2 5 2" xfId="26783" xr:uid="{18086EF0-D62C-4BBD-9DBD-3F5D8A46216F}"/>
    <cellStyle name="Comma 3 4 2 4 2 6" xfId="25304" xr:uid="{158BBAC2-D85F-4BC6-B192-835B8E4856E3}"/>
    <cellStyle name="Comma 3 4 2 4 2 6 2" xfId="27941" xr:uid="{340AF7E2-A007-4325-8CFA-BA98954B4FA6}"/>
    <cellStyle name="Comma 3 4 2 4 2 7" xfId="25305" xr:uid="{125CD4B3-6E0D-443C-A027-FC2529B70618}"/>
    <cellStyle name="Comma 3 4 2 4 2 7 2" xfId="28568" xr:uid="{DE42B0D3-051B-4E35-BD68-20769D66B8EA}"/>
    <cellStyle name="Comma 3 4 2 4 2 8" xfId="25306" xr:uid="{62FAE775-A43D-41BD-8A4D-32AC970D91C0}"/>
    <cellStyle name="Comma 3 4 2 4 2 8 2" xfId="28569" xr:uid="{19D89D8A-4241-4033-A36A-E8E56198EBFA}"/>
    <cellStyle name="Comma 3 4 2 4 2 9" xfId="26020" xr:uid="{DF9D39DB-3BF1-4B85-8E37-FB182094C751}"/>
    <cellStyle name="Comma 3 4 2 4 3" xfId="3974" xr:uid="{15EEF1D2-4648-44F9-BB2A-AF1FEA2D922A}"/>
    <cellStyle name="Comma 3 4 2 4 3 2" xfId="25307" xr:uid="{59E46E96-5E76-4356-A149-885AFB6A2F0A}"/>
    <cellStyle name="Comma 3 4 2 4 3 2 2" xfId="28248" xr:uid="{E64F1C64-4647-419B-8B8C-E83118B05C17}"/>
    <cellStyle name="Comma 3 4 2 4 3 3" xfId="25308" xr:uid="{CA45DBB1-C7F8-4882-A1A5-51B5C6329EAA}"/>
    <cellStyle name="Comma 3 4 2 4 3 3 2" xfId="28570" xr:uid="{915A61AB-2D0A-4C69-8800-67F8309E8A61}"/>
    <cellStyle name="Comma 3 4 2 4 3 4" xfId="26128" xr:uid="{51AACB84-0C05-4855-8028-337B220D4BDB}"/>
    <cellStyle name="Comma 3 4 2 4 4" xfId="24953" xr:uid="{E7032621-71F4-487E-9714-3A59D00DFD2F}"/>
    <cellStyle name="Comma 3 4 2 4 4 2" xfId="26277" xr:uid="{27BC2B36-13DA-42BE-8CE9-A1EAA9ADAB7B}"/>
    <cellStyle name="Comma 3 4 2 4 5" xfId="25309" xr:uid="{9D74A5FB-8C0F-4831-AA1D-532C022F599F}"/>
    <cellStyle name="Comma 3 4 2 4 5 2" xfId="26395" xr:uid="{82039277-232C-40C6-A918-513A1D66CC02}"/>
    <cellStyle name="Comma 3 4 2 4 6" xfId="25310" xr:uid="{F3817C8C-89E3-4735-8E36-D05AAEC3FF62}"/>
    <cellStyle name="Comma 3 4 2 4 6 2" xfId="26782" xr:uid="{2ED0B359-B757-4D5C-AD2C-8D351FDBCD4B}"/>
    <cellStyle name="Comma 3 4 2 4 7" xfId="25311" xr:uid="{12BA38E6-067C-423F-A404-14E9CBC9C5EA}"/>
    <cellStyle name="Comma 3 4 2 4 7 2" xfId="27940" xr:uid="{3C353C46-C96F-4CEC-8E75-967A302E4E96}"/>
    <cellStyle name="Comma 3 4 2 4 8" xfId="25312" xr:uid="{267FE8FB-B1C0-4A54-8001-949268E19C1D}"/>
    <cellStyle name="Comma 3 4 2 4 8 2" xfId="28571" xr:uid="{48438551-E2F7-45F1-806C-8B72883E1D0B}"/>
    <cellStyle name="Comma 3 4 2 4 9" xfId="25313" xr:uid="{A28863C5-1541-44DF-A825-6F62B523B722}"/>
    <cellStyle name="Comma 3 4 2 4 9 2" xfId="28572" xr:uid="{EB589B94-8D8A-4963-B909-7CD32C4A56B6}"/>
    <cellStyle name="Comma 3 4 2 5" xfId="3970" xr:uid="{93701A7C-5850-4EA7-927A-F262F265DCC9}"/>
    <cellStyle name="Comma 3 4 2 5 2" xfId="24955" xr:uid="{6E66996F-881A-41D0-BA6F-2A5D93E5C5FF}"/>
    <cellStyle name="Comma 3 4 2 5 2 2" xfId="26784" xr:uid="{91583222-6086-4954-B2BB-9452D200B91C}"/>
    <cellStyle name="Comma 3 4 2 5 3" xfId="25314" xr:uid="{A76416A8-A648-4883-9F95-D0E0A29D0E9D}"/>
    <cellStyle name="Comma 3 4 2 5 3 2" xfId="28244" xr:uid="{24D1B029-9EA9-4500-BEF9-855E60C7647E}"/>
    <cellStyle name="Comma 3 4 2 5 4" xfId="25315" xr:uid="{D6EA46C6-AF57-4147-963A-F2238810DEC8}"/>
    <cellStyle name="Comma 3 4 2 5 4 2" xfId="28573" xr:uid="{3D9190E6-48F9-421F-88E6-6215D5F336C3}"/>
    <cellStyle name="Comma 3 4 2 5 5" xfId="25316" xr:uid="{C8150080-3300-4B2D-85A1-83B3F57219F7}"/>
    <cellStyle name="Comma 3 4 2 5 5 2" xfId="28574" xr:uid="{2F157E1C-5715-4405-9E11-96D2EF882C50}"/>
    <cellStyle name="Comma 3 4 2 5 6" xfId="26124" xr:uid="{17506B0C-C8F5-44A9-9FD5-7E0D1DA0FF14}"/>
    <cellStyle name="Comma 3 4 2 6" xfId="24948" xr:uid="{16D0F9E0-8A86-48DA-B2F5-AE7F73BE3337}"/>
    <cellStyle name="Comma 3 4 2 6 2" xfId="26273" xr:uid="{DF3A4AA2-BC6D-4BB4-9271-AC0C6C969D47}"/>
    <cellStyle name="Comma 3 4 2 7" xfId="25317" xr:uid="{13A2791C-1EE2-4195-B45E-A4BB3F259D6F}"/>
    <cellStyle name="Comma 3 4 2 7 2" xfId="26391" xr:uid="{5C2DC1D1-28C2-4BD1-A9A3-38E5D7684B81}"/>
    <cellStyle name="Comma 3 4 2 8" xfId="25318" xr:uid="{80A7766A-10B8-4FA0-8D03-DF4DFBA3047A}"/>
    <cellStyle name="Comma 3 4 2 8 2" xfId="26776" xr:uid="{6FB68D9B-721D-4DAD-A010-14601B447638}"/>
    <cellStyle name="Comma 3 4 2 9" xfId="25319" xr:uid="{A3D58889-7768-4711-A5C9-1D821BA2A01F}"/>
    <cellStyle name="Comma 3 4 2 9 2" xfId="27936" xr:uid="{2002AA36-7195-4ECC-8E00-AA38D48FE534}"/>
    <cellStyle name="Comma 3 4 3" xfId="145" xr:uid="{3198460F-17C1-44B5-8AD0-E6A2F34B9FE2}"/>
    <cellStyle name="Comma 3 4 3 2" xfId="3975" xr:uid="{BD726D7A-72DD-4BFB-9BE5-4FB8987BFE53}"/>
    <cellStyle name="Comma 3 4 3 2 2" xfId="25320" xr:uid="{5BC84FA3-322E-4AE9-B2CD-83D39BB2F3ED}"/>
    <cellStyle name="Comma 3 4 3 2 2 2" xfId="28249" xr:uid="{ACC74262-F998-40BE-9C66-714B01DF8418}"/>
    <cellStyle name="Comma 3 4 3 2 3" xfId="25321" xr:uid="{BAA7E0B4-983D-4E41-9B4C-56D3413C1C79}"/>
    <cellStyle name="Comma 3 4 3 2 3 2" xfId="28575" xr:uid="{A1F33640-59F8-45CE-A909-38A862BDD799}"/>
    <cellStyle name="Comma 3 4 3 2 4" xfId="26130" xr:uid="{674C2E51-8803-4CF7-B948-DDC9D360802C}"/>
    <cellStyle name="Comma 3 4 3 3" xfId="24956" xr:uid="{0231A1D3-E483-4B58-A784-EEA1D0442C5E}"/>
    <cellStyle name="Comma 3 4 3 3 2" xfId="26279" xr:uid="{E120502C-5A1A-433E-979A-B00FC82676AA}"/>
    <cellStyle name="Comma 3 4 3 4" xfId="25322" xr:uid="{EDF36805-7BA5-4EA7-AA07-CEE9B95049D3}"/>
    <cellStyle name="Comma 3 4 3 4 2" xfId="26397" xr:uid="{C6795819-FD60-45B5-BD24-CFA252ADF27A}"/>
    <cellStyle name="Comma 3 4 3 5" xfId="25323" xr:uid="{8AA26D31-BFD1-4B23-ADCE-C9F8FE07ECE5}"/>
    <cellStyle name="Comma 3 4 3 5 2" xfId="26785" xr:uid="{F28D7A77-A17E-4FA7-A717-F45581CE116A}"/>
    <cellStyle name="Comma 3 4 3 6" xfId="25324" xr:uid="{9C8142C0-F501-40A3-94BC-2D26097BAAC2}"/>
    <cellStyle name="Comma 3 4 3 6 2" xfId="27942" xr:uid="{9022E4E9-1B72-4A94-98B2-3462592A660F}"/>
    <cellStyle name="Comma 3 4 3 7" xfId="25325" xr:uid="{E82E9460-4A81-49DC-B238-4F1BA776D591}"/>
    <cellStyle name="Comma 3 4 3 7 2" xfId="28576" xr:uid="{D0594B53-B777-4430-92B2-3D2BF8BE5094}"/>
    <cellStyle name="Comma 3 4 3 8" xfId="25326" xr:uid="{270ECA14-5CF5-489A-92CF-5B952ABCCC08}"/>
    <cellStyle name="Comma 3 4 3 8 2" xfId="28577" xr:uid="{715E95A0-C968-429D-9965-657031070B59}"/>
    <cellStyle name="Comma 3 4 3 9" xfId="26021" xr:uid="{9406FCEE-AED7-41E3-B277-E8486BEDF0D9}"/>
    <cellStyle name="Comma 3 4 4" xfId="3969" xr:uid="{F4DFC4B6-6AC5-4B64-BCE7-12ADF2976F89}"/>
    <cellStyle name="Comma 3 4 4 2" xfId="24870" xr:uid="{2B8AEEBB-7A7C-47BA-A040-74DCF3DD482E}"/>
    <cellStyle name="Comma 3 4 4 2 2" xfId="26787" xr:uid="{BF8F51DC-B7DF-4742-98AA-62FBF4ABCF97}"/>
    <cellStyle name="Comma 3 4 4 3" xfId="24957" xr:uid="{285B55BE-57AA-4CC8-90B8-3AD8DC51A151}"/>
    <cellStyle name="Comma 3 4 4 3 2" xfId="26786" xr:uid="{0526F46A-4D54-419B-9227-710E91099322}"/>
    <cellStyle name="Comma 3 4 4 4" xfId="25327" xr:uid="{B4973AB3-242E-450B-9EC1-56C7D7C9B835}"/>
    <cellStyle name="Comma 3 4 4 4 2" xfId="28243" xr:uid="{08E21C68-079E-4C05-839D-29A1B3CF62B8}"/>
    <cellStyle name="Comma 3 4 4 5" xfId="25328" xr:uid="{D0013118-639E-458C-894D-273175115CAE}"/>
    <cellStyle name="Comma 3 4 4 5 2" xfId="28578" xr:uid="{BCE322E2-330A-4EC3-9F73-63E1683875BC}"/>
    <cellStyle name="Comma 3 4 4 6" xfId="25329" xr:uid="{1C9D69F4-D4F7-4129-BB70-77C3C640E36C}"/>
    <cellStyle name="Comma 3 4 4 6 2" xfId="28579" xr:uid="{DFA711C8-C995-45B6-82A9-325A2B4D9C2F}"/>
    <cellStyle name="Comma 3 4 4 7" xfId="26123" xr:uid="{2F120580-A936-4934-9BA1-3820007E0F58}"/>
    <cellStyle name="Comma 3 4 5" xfId="24868" xr:uid="{AA0E1D75-02A1-4FE1-8FF9-ED4EB0A63C26}"/>
    <cellStyle name="Comma 3 4 5 2" xfId="25330" xr:uid="{D63C722A-8C65-44AE-B71E-7D32A5C7FD6D}"/>
    <cellStyle name="Comma 3 4 5 2 2" xfId="26775" xr:uid="{D5FCBFED-1B56-4E42-BDBD-EF9B7EACF98F}"/>
    <cellStyle name="Comma 3 4 5 3" xfId="26272" xr:uid="{7D5C03EE-69E3-4A58-AD9D-4C6E5A17B7F2}"/>
    <cellStyle name="Comma 3 4 6" xfId="24903" xr:uid="{6C06D962-DCE6-4FD3-BB5A-50D469985AFB}"/>
    <cellStyle name="Comma 3 4 6 2" xfId="26390" xr:uid="{61185839-E0C8-4F8C-BE19-B112A889F6B5}"/>
    <cellStyle name="Comma 3 4 7" xfId="8188" xr:uid="{27A5D60C-C149-4C76-B225-A4048C876172}"/>
    <cellStyle name="Comma 3 4 7 2" xfId="26477" xr:uid="{FB1137FE-30C5-4B82-8C3D-B564D041E1C4}"/>
    <cellStyle name="Comma 3 4 8" xfId="25331" xr:uid="{1524F8F0-699A-4E85-AB8B-464C98368DC5}"/>
    <cellStyle name="Comma 3 4 8 2" xfId="27935" xr:uid="{4AF66C44-4B9D-4D73-A455-2E4AC897FADF}"/>
    <cellStyle name="Comma 3 4 9" xfId="8189" xr:uid="{6A541E41-5B1C-4551-81CF-2B62995CE0B4}"/>
    <cellStyle name="Comma 3 4 9 2" xfId="28580" xr:uid="{DB5E2F0C-E3A7-4619-9E64-96E34FFF91CB}"/>
    <cellStyle name="Comma 3 5" xfId="146" xr:uid="{8216EA39-CCA7-410A-934B-8777A1077FA5}"/>
    <cellStyle name="Comma 3 5 10" xfId="25332" xr:uid="{713B3FAF-4C28-4BDA-BD44-2CDE7783D832}"/>
    <cellStyle name="Comma 3 5 10 2" xfId="28581" xr:uid="{75CF864A-73FA-4FE1-9D5E-651DA3BFE874}"/>
    <cellStyle name="Comma 3 5 11" xfId="25333" xr:uid="{7B3353F0-52B7-4ADE-9B22-BA2F6102FEF2}"/>
    <cellStyle name="Comma 3 5 11 2" xfId="28582" xr:uid="{A33BAEE7-6E8C-4BA8-8B11-E914076BDEE2}"/>
    <cellStyle name="Comma 3 5 12" xfId="26022" xr:uid="{75B84E69-5C8E-4308-BF43-397AFA1D8C99}"/>
    <cellStyle name="Comma 3 5 2" xfId="147" xr:uid="{286B72FE-3C5B-466B-B4A8-8CA4C7A740E9}"/>
    <cellStyle name="Comma 3 5 2 2" xfId="3977" xr:uid="{D8F5466A-3BF7-40EE-8D97-DA3906CCD8FA}"/>
    <cellStyle name="Comma 3 5 2 2 2" xfId="25334" xr:uid="{0E6D469B-6B01-4C76-8266-C57581D7AEDB}"/>
    <cellStyle name="Comma 3 5 2 2 2 2" xfId="28251" xr:uid="{CBAEA610-5EDB-44BF-BA03-AE2C5AFED555}"/>
    <cellStyle name="Comma 3 5 2 2 3" xfId="25335" xr:uid="{85DF0F26-6336-4F55-82FB-49488B7EF5B8}"/>
    <cellStyle name="Comma 3 5 2 2 3 2" xfId="28583" xr:uid="{2D2C36F8-EC5C-485C-8888-32A117969285}"/>
    <cellStyle name="Comma 3 5 2 2 4" xfId="26132" xr:uid="{A58A0CAE-1181-43CB-9B90-477A0C4C8DB6}"/>
    <cellStyle name="Comma 3 5 2 3" xfId="24959" xr:uid="{1B0F7EF5-010D-4DA7-B70E-7C72655F07CC}"/>
    <cellStyle name="Comma 3 5 2 3 2" xfId="26281" xr:uid="{4A8EB26F-60BE-4625-941E-0D78065F8A1F}"/>
    <cellStyle name="Comma 3 5 2 4" xfId="25336" xr:uid="{47CB63E8-9CD5-4A63-A13A-9EE6D773E4D4}"/>
    <cellStyle name="Comma 3 5 2 4 2" xfId="26399" xr:uid="{E8D54842-B2AC-416E-A17E-5290F1EBA98A}"/>
    <cellStyle name="Comma 3 5 2 5" xfId="25337" xr:uid="{3A0D2400-DDD6-4937-AAE1-24E9DC898F44}"/>
    <cellStyle name="Comma 3 5 2 5 2" xfId="26789" xr:uid="{6785BA82-66DB-48AA-92EC-4B05166BAB93}"/>
    <cellStyle name="Comma 3 5 2 6" xfId="25338" xr:uid="{CC0ABCA8-F08F-40F7-835A-C82846ED04B9}"/>
    <cellStyle name="Comma 3 5 2 6 2" xfId="27944" xr:uid="{D80810CC-7C67-42B1-94FC-5FBBF8D6F461}"/>
    <cellStyle name="Comma 3 5 2 7" xfId="25339" xr:uid="{7ACBB650-053E-40EA-A9CD-0D15768FCAB6}"/>
    <cellStyle name="Comma 3 5 2 7 2" xfId="28584" xr:uid="{FBA2731D-5948-4778-AE7A-F2FD34A42748}"/>
    <cellStyle name="Comma 3 5 2 8" xfId="25340" xr:uid="{1324C766-47AA-449A-BC5A-A097B66C02AB}"/>
    <cellStyle name="Comma 3 5 2 8 2" xfId="28585" xr:uid="{B27FE678-3B3A-49CA-A21C-1438B3E7ECB5}"/>
    <cellStyle name="Comma 3 5 2 9" xfId="26023" xr:uid="{1C50D5FE-9E28-4D30-A383-E49D71F1363A}"/>
    <cellStyle name="Comma 3 5 3" xfId="148" xr:uid="{3220F999-E28B-44DA-88BA-23066F90F56E}"/>
    <cellStyle name="Comma 3 5 3 10" xfId="26024" xr:uid="{CD9AA66B-1495-449A-AA29-4FB40A3AEF77}"/>
    <cellStyle name="Comma 3 5 3 2" xfId="149" xr:uid="{B294747F-7926-48FA-8DAA-1EF60142D683}"/>
    <cellStyle name="Comma 3 5 3 2 2" xfId="3979" xr:uid="{1838A93C-A9D8-469A-A517-111990342B8E}"/>
    <cellStyle name="Comma 3 5 3 2 2 2" xfId="25341" xr:uid="{28D5D6C6-8FCD-4533-85FF-775BF45CB46A}"/>
    <cellStyle name="Comma 3 5 3 2 2 2 2" xfId="28253" xr:uid="{D79F1CDE-A2EE-4F9A-95DA-F41D0100D3F4}"/>
    <cellStyle name="Comma 3 5 3 2 2 3" xfId="25342" xr:uid="{06C8318C-2EDA-4D7A-826F-2E81888D03F9}"/>
    <cellStyle name="Comma 3 5 3 2 2 3 2" xfId="28586" xr:uid="{45C67D42-079E-43B9-A751-805660AAF6B3}"/>
    <cellStyle name="Comma 3 5 3 2 2 4" xfId="26134" xr:uid="{364070F5-BADC-40CE-A701-61D685907D3A}"/>
    <cellStyle name="Comma 3 5 3 2 3" xfId="24961" xr:uid="{6A6D305A-C3EB-4194-8506-0AE03F6DEA77}"/>
    <cellStyle name="Comma 3 5 3 2 3 2" xfId="26283" xr:uid="{F64C8CC5-C796-4975-A9D1-0FB9EB8F2695}"/>
    <cellStyle name="Comma 3 5 3 2 4" xfId="25343" xr:uid="{7069AD77-F42D-4403-B855-E8DE961E369B}"/>
    <cellStyle name="Comma 3 5 3 2 4 2" xfId="26401" xr:uid="{D6F014DF-B6A5-4836-B985-6276CC53593E}"/>
    <cellStyle name="Comma 3 5 3 2 5" xfId="25344" xr:uid="{752C7AFA-0565-4A59-96C0-E7F5F55DAB46}"/>
    <cellStyle name="Comma 3 5 3 2 5 2" xfId="26791" xr:uid="{0753CEC5-B35F-4FFE-93B5-F4AAA9CF1D13}"/>
    <cellStyle name="Comma 3 5 3 2 6" xfId="25345" xr:uid="{5C9ADE70-4F92-4C5C-9D8A-18F184A9D937}"/>
    <cellStyle name="Comma 3 5 3 2 6 2" xfId="27946" xr:uid="{4D6D9B7D-401C-42E2-8593-EA82994C6248}"/>
    <cellStyle name="Comma 3 5 3 2 7" xfId="25346" xr:uid="{12ADC7B1-F436-44A2-98B1-F1D07B8F3AA9}"/>
    <cellStyle name="Comma 3 5 3 2 7 2" xfId="28587" xr:uid="{CE0913CF-B83D-4DDE-B2E0-4D2C0C9284D6}"/>
    <cellStyle name="Comma 3 5 3 2 8" xfId="25347" xr:uid="{1ECF1922-CA40-4A30-9C66-5001FBBEA6F1}"/>
    <cellStyle name="Comma 3 5 3 2 8 2" xfId="28588" xr:uid="{E4450DB3-EF30-4D3F-86DE-849136DE4EF3}"/>
    <cellStyle name="Comma 3 5 3 2 9" xfId="26025" xr:uid="{55D5579B-835E-4838-9D14-FC03E231E661}"/>
    <cellStyle name="Comma 3 5 3 3" xfId="3978" xr:uid="{287D8EA8-B79E-433B-B6BD-17D2B41EBF71}"/>
    <cellStyle name="Comma 3 5 3 3 2" xfId="24962" xr:uid="{A624C7EA-7E1A-4B95-8132-3972E996920B}"/>
    <cellStyle name="Comma 3 5 3 3 2 2" xfId="26792" xr:uid="{053EB531-FFCA-432F-B28A-7F2A2F188686}"/>
    <cellStyle name="Comma 3 5 3 3 3" xfId="25348" xr:uid="{32BF4E9D-A1C1-4D6C-81C5-989174E27B53}"/>
    <cellStyle name="Comma 3 5 3 3 3 2" xfId="28252" xr:uid="{04999EDD-801C-477A-9A18-8DB3164543C3}"/>
    <cellStyle name="Comma 3 5 3 3 4" xfId="25349" xr:uid="{D948F45B-B327-47BA-9145-D627E7CD3793}"/>
    <cellStyle name="Comma 3 5 3 3 4 2" xfId="28589" xr:uid="{1AF43A74-E3D2-46B1-9959-FC8FBFDA9A2F}"/>
    <cellStyle name="Comma 3 5 3 3 5" xfId="25350" xr:uid="{21C15F14-15D7-4B52-8916-7C6004541689}"/>
    <cellStyle name="Comma 3 5 3 3 5 2" xfId="28590" xr:uid="{262B4861-24CC-4D83-9C66-452333587F00}"/>
    <cellStyle name="Comma 3 5 3 3 6" xfId="26133" xr:uid="{5883883A-F4EB-4310-8926-854B9A89152A}"/>
    <cellStyle name="Comma 3 5 3 4" xfId="24871" xr:uid="{87B2EEFE-8F6E-43F7-876F-B995EC3E55F6}"/>
    <cellStyle name="Comma 3 5 3 4 2" xfId="25351" xr:uid="{1F6C8138-D705-466F-835D-4E0BD3A7CEE0}"/>
    <cellStyle name="Comma 3 5 3 4 2 2" xfId="26793" xr:uid="{15B29C1B-B065-4225-BCF6-F2AD14E1520F}"/>
    <cellStyle name="Comma 3 5 3 4 3" xfId="26282" xr:uid="{42B07E90-8F5C-4D70-A905-BEC870EB7884}"/>
    <cellStyle name="Comma 3 5 3 5" xfId="24960" xr:uid="{183514E8-1B27-492D-AFAD-25150B93680C}"/>
    <cellStyle name="Comma 3 5 3 5 2" xfId="26400" xr:uid="{BA2A6722-FE86-439B-A375-D0207F79E7F7}"/>
    <cellStyle name="Comma 3 5 3 6" xfId="25352" xr:uid="{7CB53565-1F82-4E5D-8ED3-5989EFC0979C}"/>
    <cellStyle name="Comma 3 5 3 6 2" xfId="26790" xr:uid="{9ED4D873-F260-41C9-9BC6-AC5A9DB7CF8C}"/>
    <cellStyle name="Comma 3 5 3 7" xfId="25353" xr:uid="{7DA4661A-72E0-4594-BA81-991CD5A59CFF}"/>
    <cellStyle name="Comma 3 5 3 7 2" xfId="27945" xr:uid="{B8EE252A-46A2-48D2-A9BA-CAF81AAC6012}"/>
    <cellStyle name="Comma 3 5 3 8" xfId="25354" xr:uid="{CA56DA39-6615-482F-9B91-D3CC11A3ABA9}"/>
    <cellStyle name="Comma 3 5 3 8 2" xfId="28591" xr:uid="{4050B68C-B68D-43FC-992E-7DB20A3E7BEB}"/>
    <cellStyle name="Comma 3 5 3 9" xfId="25355" xr:uid="{2AD906BC-1486-4654-8283-74246FCC6E4D}"/>
    <cellStyle name="Comma 3 5 3 9 2" xfId="28592" xr:uid="{C4674913-497A-41E0-ADAE-280CB6AE39C8}"/>
    <cellStyle name="Comma 3 5 4" xfId="150" xr:uid="{C3BBDCE5-134C-42D9-8DC3-8FEB5F4F00CF}"/>
    <cellStyle name="Comma 3 5 4 10" xfId="26026" xr:uid="{B697D228-DAC6-4FC3-BA9C-8DF7B434C5DB}"/>
    <cellStyle name="Comma 3 5 4 2" xfId="151" xr:uid="{24AD1CDE-1536-4046-B7C3-CB858810B73B}"/>
    <cellStyle name="Comma 3 5 4 2 2" xfId="24964" xr:uid="{122850A2-633A-47EF-9F66-64BED57DB613}"/>
    <cellStyle name="Comma 3 5 4 2 2 2" xfId="26136" xr:uid="{754AE734-1AAF-4260-953D-AE7235CFE759}"/>
    <cellStyle name="Comma 3 5 4 2 3" xfId="25356" xr:uid="{06527D9D-D802-474A-B951-E745DCCDD302}"/>
    <cellStyle name="Comma 3 5 4 2 3 2" xfId="26285" xr:uid="{7F26D78C-3F3C-41B8-9A88-D28911CB044B}"/>
    <cellStyle name="Comma 3 5 4 2 4" xfId="25357" xr:uid="{798FC3F4-3F2C-4ABA-BCCE-D3EBABF75183}"/>
    <cellStyle name="Comma 3 5 4 2 4 2" xfId="26403" xr:uid="{8F9671E1-7EF2-489A-BD5F-280C055D2908}"/>
    <cellStyle name="Comma 3 5 4 2 5" xfId="25358" xr:uid="{C1AD2DCF-5256-4E4B-84FC-D5C526D17E5E}"/>
    <cellStyle name="Comma 3 5 4 2 5 2" xfId="26795" xr:uid="{0C3B40D8-63D9-44C7-A729-EE84FAFFE2E4}"/>
    <cellStyle name="Comma 3 5 4 2 6" xfId="25359" xr:uid="{DECB2054-3A9C-4974-8C1B-4732426924DD}"/>
    <cellStyle name="Comma 3 5 4 2 6 2" xfId="27948" xr:uid="{FDB08F34-DB07-48E8-A1C4-39E2C48B4195}"/>
    <cellStyle name="Comma 3 5 4 2 7" xfId="25360" xr:uid="{1C3E6ABD-D743-4CDB-BC6B-C892DAF78D69}"/>
    <cellStyle name="Comma 3 5 4 2 7 2" xfId="28593" xr:uid="{61583FDB-19DB-4CF4-807B-4EB2611C22A4}"/>
    <cellStyle name="Comma 3 5 4 2 8" xfId="25361" xr:uid="{9DAEAF47-8958-4688-98E1-45067B93CDAE}"/>
    <cellStyle name="Comma 3 5 4 2 8 2" xfId="28594" xr:uid="{88E91109-F23A-4ACC-8DEF-7714B25929FA}"/>
    <cellStyle name="Comma 3 5 4 2 9" xfId="26027" xr:uid="{8AF41B02-FB3C-4AF7-9720-94FFBA7567D3}"/>
    <cellStyle name="Comma 3 5 4 3" xfId="3980" xr:uid="{F2EA1CC3-AEB6-4299-A750-E94FF55225FB}"/>
    <cellStyle name="Comma 3 5 4 3 2" xfId="25362" xr:uid="{22065EF2-DA67-4CC7-87C7-9FA4148F6FE7}"/>
    <cellStyle name="Comma 3 5 4 3 2 2" xfId="28254" xr:uid="{AE527A9E-3ED2-4E00-A7B5-A0E2B10E8A68}"/>
    <cellStyle name="Comma 3 5 4 3 3" xfId="25363" xr:uid="{5F82FDDB-FDEE-446A-8F31-46AD9E5D23E2}"/>
    <cellStyle name="Comma 3 5 4 3 3 2" xfId="28595" xr:uid="{1FC54902-0025-4270-8283-27E87329F9AE}"/>
    <cellStyle name="Comma 3 5 4 3 4" xfId="26135" xr:uid="{C5528BEC-19E7-445A-9B68-1B31B040101F}"/>
    <cellStyle name="Comma 3 5 4 4" xfId="24963" xr:uid="{1DB03CDE-610E-480B-A5B0-D43E50178168}"/>
    <cellStyle name="Comma 3 5 4 4 2" xfId="26284" xr:uid="{69DECCF5-4096-42BF-AE41-6BA20E9EC65E}"/>
    <cellStyle name="Comma 3 5 4 5" xfId="25364" xr:uid="{34C70E3F-7A09-48C3-9876-5743E10AC3A5}"/>
    <cellStyle name="Comma 3 5 4 5 2" xfId="26402" xr:uid="{CBABC8FE-B751-4C14-B929-48BEE0234EBE}"/>
    <cellStyle name="Comma 3 5 4 6" xfId="25365" xr:uid="{AB06420E-179F-4982-B266-825B4A453C19}"/>
    <cellStyle name="Comma 3 5 4 6 2" xfId="26794" xr:uid="{EE910E68-0FD0-45E5-92F5-5C2171A26134}"/>
    <cellStyle name="Comma 3 5 4 7" xfId="25366" xr:uid="{A21BFC37-EB72-4BD3-9585-B09D2A1A73B1}"/>
    <cellStyle name="Comma 3 5 4 7 2" xfId="27947" xr:uid="{E73A4FF0-91FA-430A-B6CE-5555D5EEA7AE}"/>
    <cellStyle name="Comma 3 5 4 8" xfId="25367" xr:uid="{C13B7B0B-D3B7-4FB4-9194-A89DA8842BE5}"/>
    <cellStyle name="Comma 3 5 4 8 2" xfId="28596" xr:uid="{D04A5492-54F3-4A73-BEBD-47EB8255925C}"/>
    <cellStyle name="Comma 3 5 4 9" xfId="25368" xr:uid="{CB7A7B7B-D8AC-469B-8DD9-B13712812D02}"/>
    <cellStyle name="Comma 3 5 4 9 2" xfId="28597" xr:uid="{E31E4909-A03A-46BF-A3ED-1DBAD8AEB9FF}"/>
    <cellStyle name="Comma 3 5 5" xfId="3976" xr:uid="{3D40FA86-12C0-454E-9143-3FE84187463C}"/>
    <cellStyle name="Comma 3 5 5 2" xfId="24965" xr:uid="{D6348A2F-89EC-4B6A-8F3D-EE0291A9EAB9}"/>
    <cellStyle name="Comma 3 5 5 2 2" xfId="26796" xr:uid="{30903790-A60F-48EF-9CF7-61F493B6DD20}"/>
    <cellStyle name="Comma 3 5 5 3" xfId="25369" xr:uid="{0E778E25-F7F3-40BD-B541-ACAC492EC712}"/>
    <cellStyle name="Comma 3 5 5 3 2" xfId="28250" xr:uid="{2D045438-90B2-4A74-9921-95906F8C9BE4}"/>
    <cellStyle name="Comma 3 5 5 4" xfId="25370" xr:uid="{69C841BC-89B8-40EA-86E4-D5F75EB8F028}"/>
    <cellStyle name="Comma 3 5 5 4 2" xfId="28598" xr:uid="{2AE6CA7B-270F-4621-9C51-583F86801375}"/>
    <cellStyle name="Comma 3 5 5 5" xfId="25371" xr:uid="{C9C8E5D0-EF4B-49F1-9BDF-003AE741D79F}"/>
    <cellStyle name="Comma 3 5 5 5 2" xfId="28599" xr:uid="{61057B65-82EC-4743-9127-C9213DEF4D79}"/>
    <cellStyle name="Comma 3 5 5 6" xfId="26131" xr:uid="{3A011BC7-8395-49E6-ABF7-533339B32016}"/>
    <cellStyle name="Comma 3 5 6" xfId="24958" xr:uid="{95E3E3C8-13BE-44B3-891F-086379424230}"/>
    <cellStyle name="Comma 3 5 6 2" xfId="26280" xr:uid="{4122445A-AE6E-4AED-9E4E-774275F74DC0}"/>
    <cellStyle name="Comma 3 5 7" xfId="25372" xr:uid="{0DFCBD88-5D1E-4742-B659-9F582D325FA8}"/>
    <cellStyle name="Comma 3 5 7 2" xfId="26398" xr:uid="{1454CB68-050D-4A31-934A-75FFE4B7D030}"/>
    <cellStyle name="Comma 3 5 8" xfId="25373" xr:uid="{862874F4-C378-484A-966A-9E69DA9A98E4}"/>
    <cellStyle name="Comma 3 5 8 2" xfId="26788" xr:uid="{208289B5-897D-44C2-B044-0FEF048BD1FE}"/>
    <cellStyle name="Comma 3 5 9" xfId="25374" xr:uid="{BE652EDA-1D63-4533-8FD3-F646FA0BB56C}"/>
    <cellStyle name="Comma 3 5 9 2" xfId="27943" xr:uid="{73CAB948-CD16-43DC-8B3D-A8A7C23116C5}"/>
    <cellStyle name="Comma 3 6" xfId="152" xr:uid="{2E511DA8-851F-43F8-8913-627103CBDF86}"/>
    <cellStyle name="Comma 3 6 10" xfId="26028" xr:uid="{7E8B5F1B-D3F9-48E7-84AE-2487EB0DF454}"/>
    <cellStyle name="Comma 3 6 2" xfId="153" xr:uid="{2BE736D2-DA57-4EAE-8137-E2EF386E95AD}"/>
    <cellStyle name="Comma 3 6 2 2" xfId="3982" xr:uid="{758A2772-F98E-4CA2-A5A6-839B624BCE78}"/>
    <cellStyle name="Comma 3 6 2 2 2" xfId="25375" xr:uid="{D17DA58C-5C1B-4B57-B3EF-E1B334B3A69C}"/>
    <cellStyle name="Comma 3 6 2 2 2 2" xfId="28256" xr:uid="{4FC00F45-51F1-4540-BC53-55E95BDF2396}"/>
    <cellStyle name="Comma 3 6 2 2 3" xfId="25376" xr:uid="{9C86678F-DA49-41AC-A61D-63F1959B99B4}"/>
    <cellStyle name="Comma 3 6 2 2 3 2" xfId="28600" xr:uid="{3FC675F1-CBD1-4027-9A8A-AAB22E0B99C5}"/>
    <cellStyle name="Comma 3 6 2 2 4" xfId="26138" xr:uid="{F87CC055-5D6C-44F8-AE6E-25C463DB3618}"/>
    <cellStyle name="Comma 3 6 2 3" xfId="24967" xr:uid="{AE323EAC-51E6-47C8-87D1-3380C317F6B2}"/>
    <cellStyle name="Comma 3 6 2 3 2" xfId="26287" xr:uid="{DB002A55-C64F-4173-9F74-E9771E4126BF}"/>
    <cellStyle name="Comma 3 6 2 4" xfId="25377" xr:uid="{242A2967-3B13-4E4A-B499-419B9F7D70C2}"/>
    <cellStyle name="Comma 3 6 2 4 2" xfId="26405" xr:uid="{F714251A-6F2F-4762-8CD1-4F0A4707AA86}"/>
    <cellStyle name="Comma 3 6 2 5" xfId="25378" xr:uid="{DFE9D1B1-505B-4583-8713-B8C9CC7216ED}"/>
    <cellStyle name="Comma 3 6 2 5 2" xfId="26798" xr:uid="{CD3E7CB0-79B2-4F64-9023-7B9B7B87896F}"/>
    <cellStyle name="Comma 3 6 2 6" xfId="25379" xr:uid="{968054FE-02B2-4DA3-89B2-505A99626446}"/>
    <cellStyle name="Comma 3 6 2 6 2" xfId="27950" xr:uid="{C396E0D7-3BD3-4BA0-A1FD-A12AAA357342}"/>
    <cellStyle name="Comma 3 6 2 7" xfId="25380" xr:uid="{9EDF2750-8DA1-4BB5-8223-4272D83CCD3B}"/>
    <cellStyle name="Comma 3 6 2 7 2" xfId="28601" xr:uid="{9B396F72-D396-4F31-973D-D50D244DDD3E}"/>
    <cellStyle name="Comma 3 6 2 8" xfId="25381" xr:uid="{F0768AEE-6B46-47AF-AE7C-6B2EC3DF389E}"/>
    <cellStyle name="Comma 3 6 2 8 2" xfId="28602" xr:uid="{5A4ADAAC-F256-45EF-BEA5-FB62E1803117}"/>
    <cellStyle name="Comma 3 6 2 9" xfId="26029" xr:uid="{367AADB2-5970-46ED-AA87-CAE46A7F6FA5}"/>
    <cellStyle name="Comma 3 6 3" xfId="3981" xr:uid="{02A6C170-CDCC-4345-B6AD-0415B40C1051}"/>
    <cellStyle name="Comma 3 6 3 2" xfId="24968" xr:uid="{9EBB2EA6-1E51-47BE-996A-44BD3E17909D}"/>
    <cellStyle name="Comma 3 6 3 2 2" xfId="26799" xr:uid="{D6789060-D888-401D-BA0C-F803B6E7AA09}"/>
    <cellStyle name="Comma 3 6 3 3" xfId="25382" xr:uid="{4BD6C086-21DD-46F1-8091-BDBF202D8337}"/>
    <cellStyle name="Comma 3 6 3 3 2" xfId="28255" xr:uid="{F8162C83-B3D2-442F-B043-8532288D5F36}"/>
    <cellStyle name="Comma 3 6 3 4" xfId="25383" xr:uid="{DFB21977-3FBA-4869-917A-A191630C553E}"/>
    <cellStyle name="Comma 3 6 3 4 2" xfId="28603" xr:uid="{A3F10A9E-F8BB-4247-A08E-0B1AA891CDAA}"/>
    <cellStyle name="Comma 3 6 3 5" xfId="25384" xr:uid="{08FD83F7-EA8B-4DF3-A7D2-B2A080937FB6}"/>
    <cellStyle name="Comma 3 6 3 5 2" xfId="28604" xr:uid="{E2D54506-0164-41C3-AA97-2089E139FB57}"/>
    <cellStyle name="Comma 3 6 3 6" xfId="26137" xr:uid="{55C7A7F7-ED07-4BF2-80D0-F5B8BC9A34EE}"/>
    <cellStyle name="Comma 3 6 4" xfId="24872" xr:uid="{44D12F7F-5A07-40F2-8E9B-A06B7550A535}"/>
    <cellStyle name="Comma 3 6 4 2" xfId="25385" xr:uid="{2F99DDCB-CDAE-46F2-A4CF-667B06222990}"/>
    <cellStyle name="Comma 3 6 4 2 2" xfId="26800" xr:uid="{E88B1349-EEFC-4028-A26B-20DD94EC51BF}"/>
    <cellStyle name="Comma 3 6 4 3" xfId="26286" xr:uid="{3FD80FBC-46AC-473C-985F-6AEF06DFF4DA}"/>
    <cellStyle name="Comma 3 6 5" xfId="24966" xr:uid="{8EF0EA3C-478A-4A5A-82EA-9DFB5F93AE8B}"/>
    <cellStyle name="Comma 3 6 5 2" xfId="26404" xr:uid="{B941AED7-BD6B-4CEC-A5A2-405E6F2A8391}"/>
    <cellStyle name="Comma 3 6 6" xfId="25386" xr:uid="{53882F34-A98D-4D80-BE73-D021A26FA5E8}"/>
    <cellStyle name="Comma 3 6 6 2" xfId="26797" xr:uid="{FEB29D91-39A4-4E7E-9424-F45DEF19F6E6}"/>
    <cellStyle name="Comma 3 6 7" xfId="25387" xr:uid="{92D7A59B-4605-4213-B0F5-D438758862FE}"/>
    <cellStyle name="Comma 3 6 7 2" xfId="27949" xr:uid="{C040CEEE-FC06-4169-826B-8736F7250F9E}"/>
    <cellStyle name="Comma 3 6 8" xfId="25388" xr:uid="{FFFCE5D0-85F8-490C-867E-2BA453AFA875}"/>
    <cellStyle name="Comma 3 6 8 2" xfId="28605" xr:uid="{628923EE-5A84-4AF9-8471-1D1E9DE3A13A}"/>
    <cellStyle name="Comma 3 6 9" xfId="25389" xr:uid="{5255FC29-2A0E-4E6E-A003-C4C8591388C0}"/>
    <cellStyle name="Comma 3 6 9 2" xfId="28606" xr:uid="{450E0807-EE5B-44DC-A9C0-8C8A4E2FB430}"/>
    <cellStyle name="Comma 3 7" xfId="154" xr:uid="{4AB53733-6BB2-461D-BBF8-41667B51FD46}"/>
    <cellStyle name="Comma 3 7 10" xfId="26030" xr:uid="{F2AA7786-6B35-4C76-85C0-58120FDA688D}"/>
    <cellStyle name="Comma 3 7 2" xfId="155" xr:uid="{C616FD52-ED77-4847-B857-2E93706BAFA2}"/>
    <cellStyle name="Comma 3 7 2 2" xfId="24970" xr:uid="{EE1BFB21-E643-4566-9983-536733E584BA}"/>
    <cellStyle name="Comma 3 7 2 2 2" xfId="26140" xr:uid="{4F2ED7A0-2DCA-4A30-B62F-638ACDDE1EAE}"/>
    <cellStyle name="Comma 3 7 2 3" xfId="25390" xr:uid="{10F90339-7D0B-4C25-BFD3-F16CE9D424D4}"/>
    <cellStyle name="Comma 3 7 2 3 2" xfId="26289" xr:uid="{BD41AB84-00A8-4135-A9AD-F4B2AEF47A1F}"/>
    <cellStyle name="Comma 3 7 2 4" xfId="25391" xr:uid="{30007361-3167-42E9-8E52-2EBA516B4DEC}"/>
    <cellStyle name="Comma 3 7 2 4 2" xfId="26407" xr:uid="{E17F3C00-DBFB-41A0-AD6E-67C76336A692}"/>
    <cellStyle name="Comma 3 7 2 5" xfId="25392" xr:uid="{D201B4BB-903D-46B4-A4AA-072C43C0704E}"/>
    <cellStyle name="Comma 3 7 2 5 2" xfId="26802" xr:uid="{6C32CCD1-37B6-4E1A-B1A9-E2C0E088C6E8}"/>
    <cellStyle name="Comma 3 7 2 6" xfId="25393" xr:uid="{A4C25FFD-3E5B-4EA1-A332-6A261E05773F}"/>
    <cellStyle name="Comma 3 7 2 6 2" xfId="27952" xr:uid="{8269B6A2-80B3-4D4C-BB95-7DF5D612DFA3}"/>
    <cellStyle name="Comma 3 7 2 7" xfId="25394" xr:uid="{14117C3D-BCA8-4C2F-AEB0-4E94C58A1D82}"/>
    <cellStyle name="Comma 3 7 2 7 2" xfId="28607" xr:uid="{CB8F2F7A-1C86-49BD-A765-B9FA2A50DEFB}"/>
    <cellStyle name="Comma 3 7 2 8" xfId="25395" xr:uid="{FBAEA29B-ED91-465C-B353-6A14B5BAA6F6}"/>
    <cellStyle name="Comma 3 7 2 8 2" xfId="28608" xr:uid="{CD29BF14-1A99-4EA7-A117-52A4EE06A091}"/>
    <cellStyle name="Comma 3 7 2 9" xfId="26031" xr:uid="{A3DD21A9-A75D-4ADA-A9CF-748016179191}"/>
    <cellStyle name="Comma 3 7 3" xfId="3983" xr:uid="{187F346A-7DD1-4FC3-8B0A-CD8F44BC889F}"/>
    <cellStyle name="Comma 3 7 3 2" xfId="24971" xr:uid="{BEEA7A54-BD1A-4A77-B0A7-1C40BBF97D53}"/>
    <cellStyle name="Comma 3 7 3 2 2" xfId="26803" xr:uid="{6E1EE694-DC1D-4B9E-9DDE-344E56A6691E}"/>
    <cellStyle name="Comma 3 7 3 3" xfId="25396" xr:uid="{531FA47F-4094-4D9A-B76E-5B6F3FB20B93}"/>
    <cellStyle name="Comma 3 7 3 3 2" xfId="28257" xr:uid="{CBBDD16B-A13A-40EA-9CD3-E9EC388A9B98}"/>
    <cellStyle name="Comma 3 7 3 4" xfId="25397" xr:uid="{6882B564-6D78-4FE5-B07B-1C5A1B0E4E46}"/>
    <cellStyle name="Comma 3 7 3 4 2" xfId="28609" xr:uid="{6C04C17A-10A3-4DAA-AF5D-9286D73EBE31}"/>
    <cellStyle name="Comma 3 7 3 5" xfId="26139" xr:uid="{456E2DC0-FD63-4451-B0FE-BFB55EEEA6DC}"/>
    <cellStyle name="Comma 3 7 4" xfId="24873" xr:uid="{677057F7-AAD8-4CDD-B3B7-ABA04CD655FB}"/>
    <cellStyle name="Comma 3 7 4 2" xfId="25398" xr:uid="{D589595E-5FF8-4419-8670-965E15C32B5F}"/>
    <cellStyle name="Comma 3 7 4 2 2" xfId="26804" xr:uid="{8F427DCA-6E72-4E8F-BA6B-9A6FAA510A53}"/>
    <cellStyle name="Comma 3 7 4 3" xfId="26288" xr:uid="{6F16AF81-9667-44D3-9918-94BA269D3212}"/>
    <cellStyle name="Comma 3 7 5" xfId="24969" xr:uid="{503C4901-AA4C-40B4-86BF-D5EB54DB1092}"/>
    <cellStyle name="Comma 3 7 5 2" xfId="26406" xr:uid="{A833FA8B-EED4-4CBF-82BF-DEB7A4A51D80}"/>
    <cellStyle name="Comma 3 7 6" xfId="25399" xr:uid="{667D358F-C7E3-4E0A-9AE7-DD07BED9F2AA}"/>
    <cellStyle name="Comma 3 7 6 2" xfId="26801" xr:uid="{460A39D8-8B63-4D7B-B502-D4BEE05FA2E9}"/>
    <cellStyle name="Comma 3 7 7" xfId="25400" xr:uid="{4A6815C7-2928-4248-9EC2-1CA51E62308D}"/>
    <cellStyle name="Comma 3 7 7 2" xfId="27951" xr:uid="{FAE61624-53DD-4347-A510-65162B20D33A}"/>
    <cellStyle name="Comma 3 7 8" xfId="25401" xr:uid="{5B6342DE-4718-4AED-A65E-89F4365E1E33}"/>
    <cellStyle name="Comma 3 7 8 2" xfId="28610" xr:uid="{DB887231-9830-44EB-97D4-A6AECC33904E}"/>
    <cellStyle name="Comma 3 7 9" xfId="25402" xr:uid="{895E9623-2309-4E31-A200-EB60DBC9A1C1}"/>
    <cellStyle name="Comma 3 7 9 2" xfId="28611" xr:uid="{53D93CE3-01AC-4EB1-B7CF-233D8D55AEE0}"/>
    <cellStyle name="Comma 3 8" xfId="156" xr:uid="{992D0E4A-343D-44B4-B3EA-F36E34B481CB}"/>
    <cellStyle name="Comma 3 8 10" xfId="26032" xr:uid="{8C3C8FCE-F9D4-4533-84DA-8DB2C1AC0B86}"/>
    <cellStyle name="Comma 3 8 2" xfId="157" xr:uid="{A6574645-0C45-441F-90D0-983A4212BC97}"/>
    <cellStyle name="Comma 3 8 2 2" xfId="24973" xr:uid="{26ABCC83-B5A4-437D-965E-FDE3D0C6825D}"/>
    <cellStyle name="Comma 3 8 2 2 2" xfId="26142" xr:uid="{BD7FE8D7-BE21-455B-A30C-DE8B3C0F71EE}"/>
    <cellStyle name="Comma 3 8 2 3" xfId="25403" xr:uid="{FEE1AFBE-C1F7-4120-B93D-86F44724FCDC}"/>
    <cellStyle name="Comma 3 8 2 3 2" xfId="26291" xr:uid="{B40D2708-424D-40B5-A28B-4610078B4BB3}"/>
    <cellStyle name="Comma 3 8 2 4" xfId="25404" xr:uid="{C5E365D3-F928-4CF8-82C2-577F12ED46F9}"/>
    <cellStyle name="Comma 3 8 2 4 2" xfId="26409" xr:uid="{5129757B-A463-4815-81E4-4BDD336E473A}"/>
    <cellStyle name="Comma 3 8 2 5" xfId="25405" xr:uid="{F1A880C2-5228-41F3-ADBA-33EB51660F9F}"/>
    <cellStyle name="Comma 3 8 2 5 2" xfId="26806" xr:uid="{125E8BDC-AA0A-43DE-84B3-71C96DAF8A29}"/>
    <cellStyle name="Comma 3 8 2 6" xfId="25406" xr:uid="{C6BD3C99-E368-4E9E-AA0B-B112ADA67EB8}"/>
    <cellStyle name="Comma 3 8 2 6 2" xfId="27954" xr:uid="{17EE38B5-025A-46BE-BD98-B1CB267077D2}"/>
    <cellStyle name="Comma 3 8 2 7" xfId="25407" xr:uid="{74F681B5-EB11-49AD-9905-8A4489655F8C}"/>
    <cellStyle name="Comma 3 8 2 7 2" xfId="28612" xr:uid="{43C834B1-25A3-4B63-95AC-F2B6BD94097C}"/>
    <cellStyle name="Comma 3 8 2 8" xfId="25408" xr:uid="{C7D811AB-7BF4-429D-BE30-78382812EA0A}"/>
    <cellStyle name="Comma 3 8 2 8 2" xfId="28613" xr:uid="{F764B7FE-14A8-4452-8D72-D2F82A3B7F74}"/>
    <cellStyle name="Comma 3 8 2 9" xfId="26033" xr:uid="{630ABE71-F006-4D1B-866F-12A8D1A44F18}"/>
    <cellStyle name="Comma 3 8 3" xfId="24889" xr:uid="{10723370-5E61-4BF7-9035-A4798040AB49}"/>
    <cellStyle name="Comma 3 8 3 2" xfId="25409" xr:uid="{971F9E5B-C54E-4FE3-910F-6F73FE2B043F}"/>
    <cellStyle name="Comma 3 8 3 2 2" xfId="28258" xr:uid="{8ED6B29F-5353-4540-8421-94119D034CBE}"/>
    <cellStyle name="Comma 3 8 3 3" xfId="25410" xr:uid="{FB01AE0F-801E-4C12-9558-69B860B9EE21}"/>
    <cellStyle name="Comma 3 8 3 3 2" xfId="28614" xr:uid="{E4F33B73-66B8-4515-A957-8E8D9C434BCC}"/>
    <cellStyle name="Comma 3 8 3 4" xfId="26141" xr:uid="{04EBCAC5-4F40-4B6D-9D76-DDE17D3D2713}"/>
    <cellStyle name="Comma 3 8 4" xfId="24972" xr:uid="{E539322E-FF4F-4DC1-B185-EC0B1F014E2D}"/>
    <cellStyle name="Comma 3 8 4 2" xfId="26290" xr:uid="{8CB99797-200F-4E89-A1A8-9F006DBFEC4A}"/>
    <cellStyle name="Comma 3 8 5" xfId="25411" xr:uid="{B575EC12-1EB9-4C08-B08C-F54D7E7F8515}"/>
    <cellStyle name="Comma 3 8 5 2" xfId="26408" xr:uid="{687064B7-0D05-4CB5-A6F2-C7E421D6C502}"/>
    <cellStyle name="Comma 3 8 6" xfId="25412" xr:uid="{BBE0E627-F794-40A4-AFC5-8675FABA12F9}"/>
    <cellStyle name="Comma 3 8 6 2" xfId="26805" xr:uid="{5D9D20FC-1E2C-4851-B218-BFBDC77A58A6}"/>
    <cellStyle name="Comma 3 8 7" xfId="25413" xr:uid="{77C8B8B8-CDDE-4FF9-8D2C-A83236EEE4FB}"/>
    <cellStyle name="Comma 3 8 7 2" xfId="27953" xr:uid="{FBECFF60-7E53-4731-A162-3246ACB767A9}"/>
    <cellStyle name="Comma 3 8 8" xfId="25414" xr:uid="{53EF99BC-AEA9-4A22-AD9C-5C27D6665828}"/>
    <cellStyle name="Comma 3 8 8 2" xfId="28615" xr:uid="{F49979BB-4ED3-49B2-849D-6B4235F7D915}"/>
    <cellStyle name="Comma 3 8 9" xfId="25415" xr:uid="{7B412CFD-1D4F-430F-85E4-FBC570A4ADF1}"/>
    <cellStyle name="Comma 3 8 9 2" xfId="28616" xr:uid="{2E90F062-492F-49B1-BE30-CF65A5B946C4}"/>
    <cellStyle name="Comma 3 9" xfId="158" xr:uid="{1B18BDC7-0008-497A-B9CB-46C1FA237A35}"/>
    <cellStyle name="Comma 3 9 10" xfId="26034" xr:uid="{D48750D6-8D27-4257-A313-AE8E2D8E0F41}"/>
    <cellStyle name="Comma 3 9 2" xfId="159" xr:uid="{9721EFFD-4C09-4322-A908-C6584CDDFBB6}"/>
    <cellStyle name="Comma 3 9 2 2" xfId="24975" xr:uid="{BE2776F6-F4FB-4060-86D8-B7BEB1CE4CE7}"/>
    <cellStyle name="Comma 3 9 2 2 2" xfId="26144" xr:uid="{F4EC7FD9-8E02-4784-BC2E-F9F06B6B5CE2}"/>
    <cellStyle name="Comma 3 9 2 3" xfId="25416" xr:uid="{D136EC2E-229C-4FA7-85B1-48B0C876ACF9}"/>
    <cellStyle name="Comma 3 9 2 3 2" xfId="26293" xr:uid="{BE554A9F-AAFC-4665-8F8F-7049FD781CB6}"/>
    <cellStyle name="Comma 3 9 2 4" xfId="25417" xr:uid="{ED705636-0C01-477E-8876-7260C075E711}"/>
    <cellStyle name="Comma 3 9 2 4 2" xfId="26411" xr:uid="{865CAA5D-832D-4889-A537-4B33D8926D76}"/>
    <cellStyle name="Comma 3 9 2 5" xfId="25418" xr:uid="{01CB6EF8-C417-4F89-912E-9A09EC8E23A0}"/>
    <cellStyle name="Comma 3 9 2 5 2" xfId="26808" xr:uid="{D3C47A7D-9311-4DF6-BCB8-66AFED670DA9}"/>
    <cellStyle name="Comma 3 9 2 6" xfId="25419" xr:uid="{7E046601-D11D-46F0-B9E2-6295B174E62B}"/>
    <cellStyle name="Comma 3 9 2 6 2" xfId="27956" xr:uid="{EBE4A6E0-40EE-4E65-8AC1-9CFB08BA11F5}"/>
    <cellStyle name="Comma 3 9 2 7" xfId="25420" xr:uid="{0FC44F37-7804-4CAD-B167-AD621DE25616}"/>
    <cellStyle name="Comma 3 9 2 7 2" xfId="28617" xr:uid="{8717AC45-2202-483D-AE23-F7D9066F8077}"/>
    <cellStyle name="Comma 3 9 2 8" xfId="25421" xr:uid="{2110DA52-C2FE-436C-ABF6-73790571CD44}"/>
    <cellStyle name="Comma 3 9 2 8 2" xfId="28618" xr:uid="{693A70C7-ED5F-461D-89DD-AE7C5091C84E}"/>
    <cellStyle name="Comma 3 9 2 9" xfId="26035" xr:uid="{8EE8BAE2-E809-4EB7-8CFC-64E6D23BBE8C}"/>
    <cellStyle name="Comma 3 9 3" xfId="24890" xr:uid="{01969055-B03D-42E9-A576-748B8527410C}"/>
    <cellStyle name="Comma 3 9 3 2" xfId="25422" xr:uid="{064E8DD7-5F10-42B3-A45B-25B42713CBE6}"/>
    <cellStyle name="Comma 3 9 3 2 2" xfId="28259" xr:uid="{4C88305C-A685-45C1-B519-391642439E43}"/>
    <cellStyle name="Comma 3 9 3 3" xfId="25423" xr:uid="{47E0DEBF-3430-4CCD-AD6B-6D8F391F2B5D}"/>
    <cellStyle name="Comma 3 9 3 3 2" xfId="28619" xr:uid="{B6DD6085-663C-4EBB-9FF9-5772EF7758BD}"/>
    <cellStyle name="Comma 3 9 3 4" xfId="26143" xr:uid="{37EA1BEB-FC45-41D4-AEFC-10E9B728A9CC}"/>
    <cellStyle name="Comma 3 9 4" xfId="24974" xr:uid="{5CF80529-6433-47CE-BB24-2C63A06E5B94}"/>
    <cellStyle name="Comma 3 9 4 2" xfId="26292" xr:uid="{48AAA17F-CD30-49FD-BEE0-F985C9F17D00}"/>
    <cellStyle name="Comma 3 9 5" xfId="25424" xr:uid="{A0B43F60-59CD-4CF4-AFFD-C1AAE87BB32D}"/>
    <cellStyle name="Comma 3 9 5 2" xfId="26410" xr:uid="{3A2B13E2-76AB-4292-BFB5-126EC014760E}"/>
    <cellStyle name="Comma 3 9 6" xfId="25425" xr:uid="{AD283BDD-70FC-4EA4-A225-86B1F4892880}"/>
    <cellStyle name="Comma 3 9 6 2" xfId="26807" xr:uid="{2F5F3000-FCD8-4DCB-86C4-801C5D9D845C}"/>
    <cellStyle name="Comma 3 9 7" xfId="25426" xr:uid="{FD1A16A1-C6E7-4C58-8F03-6652E31C50A7}"/>
    <cellStyle name="Comma 3 9 7 2" xfId="27955" xr:uid="{4657CD83-10DE-4C78-BE2E-AF03B1BF9C83}"/>
    <cellStyle name="Comma 3 9 8" xfId="25427" xr:uid="{6C721711-AD9B-4789-8BDD-C2C354A41982}"/>
    <cellStyle name="Comma 3 9 8 2" xfId="28620" xr:uid="{6CFE753E-155B-4471-9CC0-EB337B052F89}"/>
    <cellStyle name="Comma 3 9 9" xfId="25428" xr:uid="{2B8C0AAF-A9CD-4F01-A29C-0C9121ACD4EC}"/>
    <cellStyle name="Comma 3 9 9 2" xfId="28621" xr:uid="{66166A47-DDA2-42B6-930B-E77E4A0204FA}"/>
    <cellStyle name="Comma 4" xfId="24856" xr:uid="{E62DD741-4E77-4BD6-ACF8-ABA2F3F3EA42}"/>
    <cellStyle name="Comma 4 10" xfId="8190" xr:uid="{B95E9D63-AFE7-47D2-878A-B94B4AEEDF3F}"/>
    <cellStyle name="Comma 4 10 2" xfId="26478" xr:uid="{98F30BEE-A9F9-4F0A-A4A1-612DBD1732A8}"/>
    <cellStyle name="Comma 4 11" xfId="25429" xr:uid="{5ACEE3EA-7DD5-4F86-BD45-C934D29BE3A1}"/>
    <cellStyle name="Comma 4 11 2" xfId="27957" xr:uid="{FB0DDB61-97B0-44D4-A7FC-2B835165E167}"/>
    <cellStyle name="Comma 4 12" xfId="8191" xr:uid="{110BB3BD-99D3-42BD-93BA-9C342B72A97F}"/>
    <cellStyle name="Comma 4 12 2" xfId="28622" xr:uid="{F8250083-CD7E-4AFA-8FAD-DCB3AF5D2C83}"/>
    <cellStyle name="Comma 4 13" xfId="25982" xr:uid="{58D352ED-84B0-4C16-AA48-7BDFB6BD7F7D}"/>
    <cellStyle name="Comma 4 2" xfId="160" xr:uid="{289392CB-5FB2-46E1-AE07-94492B24CE9B}"/>
    <cellStyle name="Comma 4 2 10" xfId="26036" xr:uid="{2ACB6A55-12AD-4B00-A714-A39AA994632A}"/>
    <cellStyle name="Comma 4 2 2" xfId="161" xr:uid="{9C021D71-349A-4C65-99C9-7A9232814F17}"/>
    <cellStyle name="Comma 4 2 2 2" xfId="3985" xr:uid="{C2AC24D3-750E-47C8-85D8-20B14FA0BF8E}"/>
    <cellStyle name="Comma 4 2 2 2 2" xfId="25430" xr:uid="{A0F71D26-ED6F-49AF-B06C-59AB26531D78}"/>
    <cellStyle name="Comma 4 2 2 2 2 2" xfId="28262" xr:uid="{E68F825B-FFB9-4A19-AF8F-3354A5B0F7A7}"/>
    <cellStyle name="Comma 4 2 2 2 3" xfId="25431" xr:uid="{68761588-4544-484B-9925-7C70AF83C5D7}"/>
    <cellStyle name="Comma 4 2 2 2 3 2" xfId="28623" xr:uid="{1D39FB64-CC74-46EE-9BEB-D94171EC9284}"/>
    <cellStyle name="Comma 4 2 2 2 4" xfId="26146" xr:uid="{6E4338C8-6912-42C6-A8B6-4D5DA8C18F79}"/>
    <cellStyle name="Comma 4 2 2 3" xfId="24906" xr:uid="{7A3C173A-4F10-4C12-99E8-33D013069653}"/>
    <cellStyle name="Comma 4 2 2 3 2" xfId="26296" xr:uid="{7F60D9AC-804C-4DE8-A7AA-C0AE0E582921}"/>
    <cellStyle name="Comma 4 2 2 4" xfId="25432" xr:uid="{301CEA05-3FC0-44E8-96CA-D6733891C8EC}"/>
    <cellStyle name="Comma 4 2 2 4 2" xfId="26414" xr:uid="{1523D363-9218-421D-81EC-612BC2DADD36}"/>
    <cellStyle name="Comma 4 2 2 5" xfId="25433" xr:uid="{D1F3687E-3259-4611-9184-2E917ED89021}"/>
    <cellStyle name="Comma 4 2 2 5 2" xfId="26480" xr:uid="{486001EF-78AE-41B6-96EC-295B23F8597B}"/>
    <cellStyle name="Comma 4 2 2 6" xfId="25434" xr:uid="{65DEC7C4-915C-404E-95F5-66FA839BABAB}"/>
    <cellStyle name="Comma 4 2 2 6 2" xfId="27959" xr:uid="{8FEB528A-C97D-4363-8F8F-79AD2641C86F}"/>
    <cellStyle name="Comma 4 2 2 7" xfId="25435" xr:uid="{3197794D-5328-4D00-BDA7-25C2E57D8EFD}"/>
    <cellStyle name="Comma 4 2 2 7 2" xfId="28624" xr:uid="{E9637C4F-5780-4C73-B1CE-FEC1617358B7}"/>
    <cellStyle name="Comma 4 2 2 8" xfId="26037" xr:uid="{DFFE398F-CDFD-48BD-B68B-218755FF2CC1}"/>
    <cellStyle name="Comma 4 2 3" xfId="25032" xr:uid="{43B62407-68F3-4769-AFCD-CF1ADC8CED67}"/>
    <cellStyle name="Comma 4 2 3 2" xfId="24891" xr:uid="{9C646650-3902-4A93-8E36-FA493AA6C13C}"/>
    <cellStyle name="Comma 4 2 3 2 2" xfId="25436" xr:uid="{23C40236-F5CE-4D6E-845A-390C57C03E0D}"/>
    <cellStyle name="Comma 4 2 3 2 2 2" xfId="28263" xr:uid="{A05480AE-CA5D-4AD9-9E22-E9D397A0AB40}"/>
    <cellStyle name="Comma 4 2 3 2 3" xfId="25437" xr:uid="{DEB6457C-F76F-4F4A-8A37-EC4D3026CF7D}"/>
    <cellStyle name="Comma 4 2 3 2 3 2" xfId="28625" xr:uid="{355B080F-F166-4DF5-B14C-8283CFFCA620}"/>
    <cellStyle name="Comma 4 2 3 2 4" xfId="26147" xr:uid="{262BBA83-A616-4094-8C1F-1F4DDD9CCC63}"/>
    <cellStyle name="Comma 4 2 3 3" xfId="24907" xr:uid="{D5D1394B-B7A9-4096-9570-2411A9A78BC2}"/>
    <cellStyle name="Comma 4 2 3 3 2" xfId="26297" xr:uid="{684B3C29-473F-46D0-9E29-745E20B9ACFE}"/>
    <cellStyle name="Comma 4 2 3 4" xfId="25438" xr:uid="{B79A29A5-BE8A-4E90-B609-96C70F476CE8}"/>
    <cellStyle name="Comma 4 2 3 4 2" xfId="26415" xr:uid="{0070B638-E17B-4FB3-9DB6-B99D80316C52}"/>
    <cellStyle name="Comma 4 2 3 5" xfId="25439" xr:uid="{69B65CA4-8D5C-4DDA-9FE7-B81AF1D826C2}"/>
    <cellStyle name="Comma 4 2 3 5 2" xfId="26481" xr:uid="{5FDE3454-0EB7-4E5F-8ECC-4C6CF1310239}"/>
    <cellStyle name="Comma 4 2 3 6" xfId="25440" xr:uid="{BBEBAA3E-37E2-491A-8DBD-00E2F5912DE5}"/>
    <cellStyle name="Comma 4 2 3 6 2" xfId="27960" xr:uid="{287AFE08-6CF4-4087-8F4C-D27542F3F32A}"/>
    <cellStyle name="Comma 4 2 3 7" xfId="25441" xr:uid="{1A2C9487-5A0B-490D-A96F-39735C3346EA}"/>
    <cellStyle name="Comma 4 2 3 7 2" xfId="28626" xr:uid="{3CE236C8-5331-42E2-8BBF-A62CD7F34A2B}"/>
    <cellStyle name="Comma 4 2 3 8" xfId="26038" xr:uid="{FD72A857-575E-4145-B14C-9B3A772CE6AB}"/>
    <cellStyle name="Comma 4 2 4" xfId="3984" xr:uid="{21C2883F-3DA5-4EC5-B2B1-8DD288D16DFD}"/>
    <cellStyle name="Comma 4 2 4 2" xfId="25442" xr:uid="{A3D2B4BC-42AE-464E-8446-2335D2233584}"/>
    <cellStyle name="Comma 4 2 4 2 2" xfId="28261" xr:uid="{67348578-1DFE-41BA-98AA-9449793BAC6B}"/>
    <cellStyle name="Comma 4 2 4 3" xfId="25443" xr:uid="{CC4B4AF3-946D-4D0E-8003-7A90AF77A57A}"/>
    <cellStyle name="Comma 4 2 4 3 2" xfId="28627" xr:uid="{31C6E3F0-6C9E-4C42-A2F1-6FE809B98D92}"/>
    <cellStyle name="Comma 4 2 4 4" xfId="26145" xr:uid="{30F5AC63-993A-442D-B6D6-2CE98BC585A6}"/>
    <cellStyle name="Comma 4 2 5" xfId="24905" xr:uid="{A6C8704B-DC09-4795-A47C-0C9874DE6363}"/>
    <cellStyle name="Comma 4 2 5 2" xfId="26295" xr:uid="{F2E84AFF-B739-41A4-8E51-FDCE8C4BF2CE}"/>
    <cellStyle name="Comma 4 2 6" xfId="25444" xr:uid="{F7BC5014-758C-4699-B245-BB0C4922CFB5}"/>
    <cellStyle name="Comma 4 2 6 2" xfId="26413" xr:uid="{A36F15F5-FC7D-4FF8-A0A1-E36BA7989E2D}"/>
    <cellStyle name="Comma 4 2 7" xfId="25445" xr:uid="{01C3E942-9C30-479C-A110-E8E4A5F6D84B}"/>
    <cellStyle name="Comma 4 2 7 2" xfId="26479" xr:uid="{C69F2835-6110-470C-875A-3DC9A98CA5DF}"/>
    <cellStyle name="Comma 4 2 8" xfId="25446" xr:uid="{EB0CB441-105B-4831-979C-8C9D14C8D96E}"/>
    <cellStyle name="Comma 4 2 8 2" xfId="27958" xr:uid="{79ED7362-B894-48B0-A4D3-F74E6DA58614}"/>
    <cellStyle name="Comma 4 2 9" xfId="25447" xr:uid="{E49723A4-8850-4621-9FB5-1DDCB2F4D676}"/>
    <cellStyle name="Comma 4 2 9 2" xfId="28628" xr:uid="{F3E3F159-8E27-4DEE-8D2E-4400C6E85F08}"/>
    <cellStyle name="Comma 4 3" xfId="25033" xr:uid="{6BF90A4D-A0A2-4925-859D-613C90ECD412}"/>
    <cellStyle name="Comma 4 3 10" xfId="26039" xr:uid="{39426BF2-AC6D-4E09-A222-F3C8E0B95069}"/>
    <cellStyle name="Comma 4 3 2" xfId="25035" xr:uid="{7E98202B-4B6A-4C8A-BD62-53F3519F293A}"/>
    <cellStyle name="Comma 4 3 2 2" xfId="24893" xr:uid="{737AF58F-69D6-4DA5-B3CC-806ABFAEC4DC}"/>
    <cellStyle name="Comma 4 3 2 2 2" xfId="25448" xr:uid="{D1AC9D40-481A-4BD5-B59B-C10E5470910B}"/>
    <cellStyle name="Comma 4 3 2 2 2 2" xfId="28265" xr:uid="{0F519D07-5D24-4F0B-B071-DE9658CEEFD7}"/>
    <cellStyle name="Comma 4 3 2 2 3" xfId="25449" xr:uid="{49E4A3CD-3B4B-4110-8C0F-7D38BA56D17A}"/>
    <cellStyle name="Comma 4 3 2 2 3 2" xfId="28629" xr:uid="{ACFFEB0D-3296-428D-BF9C-5F147B588730}"/>
    <cellStyle name="Comma 4 3 2 2 4" xfId="26149" xr:uid="{BB13FC6B-2C46-4527-BAEA-90255CC67371}"/>
    <cellStyle name="Comma 4 3 2 3" xfId="24976" xr:uid="{9E3C3A4E-A916-4B0E-BFC1-803365AACDD9}"/>
    <cellStyle name="Comma 4 3 2 3 2" xfId="26299" xr:uid="{CD0FB3B8-E4CC-4299-94D2-53DE5FE68E91}"/>
    <cellStyle name="Comma 4 3 2 4" xfId="25450" xr:uid="{A69D3115-294D-48DC-A579-CA0EA9619E94}"/>
    <cellStyle name="Comma 4 3 2 4 2" xfId="26417" xr:uid="{341E5CAF-27CC-4F1C-83F8-6EA1BA14CE20}"/>
    <cellStyle name="Comma 4 3 2 5" xfId="25451" xr:uid="{797FBBB0-A26D-48CF-BECF-6063B06E860D}"/>
    <cellStyle name="Comma 4 3 2 5 2" xfId="26809" xr:uid="{B69D4CC8-B552-4CB3-AF1A-E3A1CA6F92A6}"/>
    <cellStyle name="Comma 4 3 2 6" xfId="25452" xr:uid="{9D970F13-FF11-46DD-A950-5F46B91C068C}"/>
    <cellStyle name="Comma 4 3 2 6 2" xfId="27962" xr:uid="{21682CAD-2884-4352-A0DB-4919F5AB18EF}"/>
    <cellStyle name="Comma 4 3 2 7" xfId="25453" xr:uid="{88538F1A-F5A3-43B5-B350-38B60C6D8FCD}"/>
    <cellStyle name="Comma 4 3 2 7 2" xfId="28630" xr:uid="{F384FE9D-54C8-42BC-BAFC-2ACFA3CF5AE0}"/>
    <cellStyle name="Comma 4 3 2 8" xfId="26040" xr:uid="{0BAAA33B-E723-4CD8-BE1A-81A537D20E24}"/>
    <cellStyle name="Comma 4 3 3" xfId="162" xr:uid="{132A1D40-7276-452A-BD1D-CB54976B1E3D}"/>
    <cellStyle name="Comma 4 3 3 2" xfId="3986" xr:uid="{B13F125A-7D43-4A8F-A870-48F29643A02F}"/>
    <cellStyle name="Comma 4 3 3 2 2" xfId="25454" xr:uid="{89D17EA6-6E52-42CA-958B-B3D39209427D}"/>
    <cellStyle name="Comma 4 3 3 2 2 2" xfId="28266" xr:uid="{49431510-8DC1-4EC7-A777-A6F313B3E6B6}"/>
    <cellStyle name="Comma 4 3 3 2 3" xfId="25455" xr:uid="{9D310E4B-263A-4DE5-A46C-596582A9A760}"/>
    <cellStyle name="Comma 4 3 3 2 3 2" xfId="28631" xr:uid="{700F4338-852F-464C-84D7-E86D9E5099F0}"/>
    <cellStyle name="Comma 4 3 3 2 4" xfId="26150" xr:uid="{7781B610-E299-4F59-8DE1-B8737078420C}"/>
    <cellStyle name="Comma 4 3 3 3" xfId="24977" xr:uid="{1AC7FC44-CBAE-430A-A59F-772971C0C569}"/>
    <cellStyle name="Comma 4 3 3 3 2" xfId="26300" xr:uid="{CD56BD99-64CB-4FAB-A74F-C8FBA744849B}"/>
    <cellStyle name="Comma 4 3 3 4" xfId="25456" xr:uid="{145F9275-F010-4D1C-85E5-1155F9177BCF}"/>
    <cellStyle name="Comma 4 3 3 4 2" xfId="26418" xr:uid="{79E3CC4A-D7D9-4718-AAD4-AD26B8D84268}"/>
    <cellStyle name="Comma 4 3 3 5" xfId="25457" xr:uid="{C8EEA3CA-2E36-433D-BE8D-61920BF0EA4D}"/>
    <cellStyle name="Comma 4 3 3 5 2" xfId="26810" xr:uid="{5ECA8226-0D0C-4E47-B9B2-B8882AA1E17C}"/>
    <cellStyle name="Comma 4 3 3 6" xfId="25458" xr:uid="{464EEE64-D666-40A9-B42E-DDE215F1EF84}"/>
    <cellStyle name="Comma 4 3 3 6 2" xfId="27963" xr:uid="{66AE5A44-21A5-45B8-8F1E-F46859901D5D}"/>
    <cellStyle name="Comma 4 3 3 7" xfId="25459" xr:uid="{6DE42D9D-3328-4947-BE35-1F2F7232F020}"/>
    <cellStyle name="Comma 4 3 3 7 2" xfId="28632" xr:uid="{6D2CF16D-7FB3-4061-B308-92DFA490AA6F}"/>
    <cellStyle name="Comma 4 3 3 8" xfId="26041" xr:uid="{6EE5DF18-FE02-4CD4-9F22-8CB4478E16CA}"/>
    <cellStyle name="Comma 4 3 4" xfId="24892" xr:uid="{FA960CBF-D2CF-4671-8C86-8D797FC2575B}"/>
    <cellStyle name="Comma 4 3 4 2" xfId="25460" xr:uid="{CF460730-1185-49DB-9A62-1AB16E9BCDF6}"/>
    <cellStyle name="Comma 4 3 4 2 2" xfId="28264" xr:uid="{243E2D84-736C-4BFC-BE79-12226648A847}"/>
    <cellStyle name="Comma 4 3 4 3" xfId="25461" xr:uid="{D72F8897-A0C6-4053-BF38-E874FC38116E}"/>
    <cellStyle name="Comma 4 3 4 3 2" xfId="28633" xr:uid="{53B6C61E-B411-4ECF-A7B3-BDC2DCE00610}"/>
    <cellStyle name="Comma 4 3 4 4" xfId="26148" xr:uid="{A1AFCCC2-A854-447E-B6E7-AE084DE00547}"/>
    <cellStyle name="Comma 4 3 5" xfId="24908" xr:uid="{F5F0180C-F3DB-4D66-BC66-98DF0D5B97EF}"/>
    <cellStyle name="Comma 4 3 5 2" xfId="26298" xr:uid="{9B618681-1064-4179-B21E-DC7F87A9BD09}"/>
    <cellStyle name="Comma 4 3 6" xfId="25462" xr:uid="{44630E6A-D9E6-4537-A55B-6996E22AA327}"/>
    <cellStyle name="Comma 4 3 6 2" xfId="26416" xr:uid="{4EF4FE92-E990-4FD2-B775-743F69DFCD50}"/>
    <cellStyle name="Comma 4 3 7" xfId="25463" xr:uid="{E0C855A5-0920-4A90-B755-71A5300BDFEF}"/>
    <cellStyle name="Comma 4 3 7 2" xfId="26482" xr:uid="{1FE6B181-0E8A-4BD5-9B54-1B1863AC5E5B}"/>
    <cellStyle name="Comma 4 3 8" xfId="25464" xr:uid="{0609583E-C605-4E0A-BBCC-E88AB61EAABF}"/>
    <cellStyle name="Comma 4 3 8 2" xfId="27961" xr:uid="{EC3BA004-B149-4500-A4DB-8B99EC5618E8}"/>
    <cellStyle name="Comma 4 3 9" xfId="25465" xr:uid="{95E4FC54-10D7-40E8-A75A-704EFB2AC5DA}"/>
    <cellStyle name="Comma 4 3 9 2" xfId="28634" xr:uid="{4CD1F30F-7EFC-4B96-9FD6-C26AA3DF30EA}"/>
    <cellStyle name="Comma 4 4" xfId="163" xr:uid="{C56ADEC9-E2AF-46C5-9522-EF293F9B6D17}"/>
    <cellStyle name="Comma 4 4 10" xfId="25466" xr:uid="{37BA3835-C948-4409-BCFD-13058EE5B443}"/>
    <cellStyle name="Comma 4 4 10 2" xfId="28635" xr:uid="{903E1033-8701-4672-9275-CFBBA2C1DC3E}"/>
    <cellStyle name="Comma 4 4 11" xfId="26042" xr:uid="{77E4DFC1-40FA-48D5-B506-9787AE4474F3}"/>
    <cellStyle name="Comma 4 4 2" xfId="164" xr:uid="{FD52E0B6-5947-4292-B78F-4AA8136EA410}"/>
    <cellStyle name="Comma 4 4 2 2" xfId="3988" xr:uid="{2DA86E14-5827-46AC-855B-87E386448BA2}"/>
    <cellStyle name="Comma 4 4 2 2 2" xfId="25467" xr:uid="{FC598E05-DD9C-46B6-8A71-5480CE0B5369}"/>
    <cellStyle name="Comma 4 4 2 2 2 2" xfId="28268" xr:uid="{215CDB6A-F115-438D-B294-147DFF9D21E8}"/>
    <cellStyle name="Comma 4 4 2 2 3" xfId="25468" xr:uid="{3B4AC24A-53C2-418A-AD36-AAE365913050}"/>
    <cellStyle name="Comma 4 4 2 2 3 2" xfId="28636" xr:uid="{13DE64FF-1C0C-491E-AF29-8A134C81EB32}"/>
    <cellStyle name="Comma 4 4 2 2 4" xfId="26152" xr:uid="{87708A5C-0B06-4397-B2BE-09411FC60010}"/>
    <cellStyle name="Comma 4 4 2 3" xfId="24979" xr:uid="{934D9DE6-D3C9-415A-AD0A-B7F26675E225}"/>
    <cellStyle name="Comma 4 4 2 3 2" xfId="26302" xr:uid="{16B89900-674D-462F-A48D-0EB0A3B84F43}"/>
    <cellStyle name="Comma 4 4 2 4" xfId="25469" xr:uid="{662C0F8A-1327-4F76-B893-44F0C4BF28A4}"/>
    <cellStyle name="Comma 4 4 2 4 2" xfId="26420" xr:uid="{67AF6B6D-5687-40CD-A311-07809F71F15D}"/>
    <cellStyle name="Comma 4 4 2 5" xfId="25470" xr:uid="{55020FC6-1A81-4DCD-A341-C32FFDCCA9EE}"/>
    <cellStyle name="Comma 4 4 2 5 2" xfId="26812" xr:uid="{A34461C9-C895-4A73-8067-67F0B4886481}"/>
    <cellStyle name="Comma 4 4 2 6" xfId="25471" xr:uid="{59303553-76C9-4AC0-842E-CB4AF5E18D6E}"/>
    <cellStyle name="Comma 4 4 2 6 2" xfId="27965" xr:uid="{AADB5D56-5F5F-4DF9-BF22-60459D24CF77}"/>
    <cellStyle name="Comma 4 4 2 7" xfId="25472" xr:uid="{A55B2E20-36F8-4594-B9AB-C70F619D88EC}"/>
    <cellStyle name="Comma 4 4 2 7 2" xfId="28637" xr:uid="{F8DF362E-20A9-4B68-8352-8642CF3A274A}"/>
    <cellStyle name="Comma 4 4 2 8" xfId="26043" xr:uid="{37316176-B759-40B8-8691-CA8985BD9204}"/>
    <cellStyle name="Comma 4 4 3" xfId="165" xr:uid="{DE4F3751-AC35-4D40-A127-EACE53CF814E}"/>
    <cellStyle name="Comma 4 4 3 2" xfId="166" xr:uid="{1A234EC2-5500-41CF-BDE0-E0AB3CF51E31}"/>
    <cellStyle name="Comma 4 4 3 2 2" xfId="3990" xr:uid="{38A23337-B72C-490E-908A-5F567389A313}"/>
    <cellStyle name="Comma 4 4 3 2 2 2" xfId="25473" xr:uid="{9996E8DC-9EA3-4120-BC5F-E7B47B41FEBB}"/>
    <cellStyle name="Comma 4 4 3 2 2 2 2" xfId="28270" xr:uid="{1F71687F-EF31-454A-B1F7-395C4ED3962D}"/>
    <cellStyle name="Comma 4 4 3 2 2 3" xfId="25474" xr:uid="{680C0184-0DF0-4823-AA20-F4752EAE7BAE}"/>
    <cellStyle name="Comma 4 4 3 2 2 3 2" xfId="28638" xr:uid="{01EE2BAD-2FCA-487F-8764-C210EFEF8A98}"/>
    <cellStyle name="Comma 4 4 3 2 2 4" xfId="26154" xr:uid="{850230C8-61CA-42F8-9020-B710891C53A8}"/>
    <cellStyle name="Comma 4 4 3 2 3" xfId="24981" xr:uid="{98A9FFCF-9448-44F5-B7A1-DC9CF7FACF68}"/>
    <cellStyle name="Comma 4 4 3 2 3 2" xfId="26304" xr:uid="{AA432629-E99E-49F3-A7EF-862063B028EC}"/>
    <cellStyle name="Comma 4 4 3 2 4" xfId="25475" xr:uid="{0024D590-22AE-4264-AB1E-CA068D1057AF}"/>
    <cellStyle name="Comma 4 4 3 2 4 2" xfId="26422" xr:uid="{CED954BA-0CE7-4B4D-AC60-1C3976490BEF}"/>
    <cellStyle name="Comma 4 4 3 2 5" xfId="25476" xr:uid="{CC1E8724-A091-45C9-A827-426FB2B31F8D}"/>
    <cellStyle name="Comma 4 4 3 2 5 2" xfId="26814" xr:uid="{3C4AF4F1-9F62-4269-9A59-C4C80C527FB9}"/>
    <cellStyle name="Comma 4 4 3 2 6" xfId="25477" xr:uid="{244FE31B-4FEB-4FB3-9E05-A037EB57C5BB}"/>
    <cellStyle name="Comma 4 4 3 2 6 2" xfId="27967" xr:uid="{764867E1-89A4-4F32-9C3C-CC9B4F153A73}"/>
    <cellStyle name="Comma 4 4 3 2 7" xfId="25478" xr:uid="{F4274E1C-2330-48B4-81AE-6F7CE830C1CD}"/>
    <cellStyle name="Comma 4 4 3 2 7 2" xfId="28639" xr:uid="{CD2CEBBC-DCD5-43F5-AB20-423E11606A78}"/>
    <cellStyle name="Comma 4 4 3 2 8" xfId="26045" xr:uid="{19BD527A-8C45-428D-9683-5EEA0814D1F1}"/>
    <cellStyle name="Comma 4 4 3 3" xfId="3989" xr:uid="{97AB35A9-BC4E-48E7-8298-F7DD705FB065}"/>
    <cellStyle name="Comma 4 4 3 3 2" xfId="24982" xr:uid="{8CB0A45E-4120-428A-A5B5-A574D26F07A3}"/>
    <cellStyle name="Comma 4 4 3 3 2 2" xfId="26815" xr:uid="{DFA6655D-5BDF-4F9B-B33A-88BAAFEBE883}"/>
    <cellStyle name="Comma 4 4 3 3 3" xfId="25479" xr:uid="{EC16C777-558E-4588-A9F1-11E33266B1EF}"/>
    <cellStyle name="Comma 4 4 3 3 3 2" xfId="28269" xr:uid="{9162E197-A293-48F6-9DF0-CA51D190EBD5}"/>
    <cellStyle name="Comma 4 4 3 3 4" xfId="25480" xr:uid="{03BD2926-BA13-4C77-85B7-C88057F12C9F}"/>
    <cellStyle name="Comma 4 4 3 3 4 2" xfId="28640" xr:uid="{2B934004-EB67-4FB2-B896-E080DCEF7DCE}"/>
    <cellStyle name="Comma 4 4 3 3 5" xfId="26153" xr:uid="{EA03A95B-0D9C-4EBF-96E0-7CA57648FBC3}"/>
    <cellStyle name="Comma 4 4 3 4" xfId="24874" xr:uid="{16AEF943-9C59-418E-AA60-B9546ADBB0A9}"/>
    <cellStyle name="Comma 4 4 3 4 2" xfId="25481" xr:uid="{366EDAF2-CFD9-4F28-BCB6-0EEB1732419A}"/>
    <cellStyle name="Comma 4 4 3 4 2 2" xfId="26816" xr:uid="{7AFD0F44-F8B4-45DE-A2B5-D2A2E55982B2}"/>
    <cellStyle name="Comma 4 4 3 4 3" xfId="26303" xr:uid="{82C858FD-A128-47E1-A857-8E80B346A250}"/>
    <cellStyle name="Comma 4 4 3 5" xfId="24980" xr:uid="{66DDAD64-1E75-462F-AB27-3C8F6404FA60}"/>
    <cellStyle name="Comma 4 4 3 5 2" xfId="26421" xr:uid="{097A32DC-B258-4763-8210-D23554C0C3CD}"/>
    <cellStyle name="Comma 4 4 3 6" xfId="25482" xr:uid="{FE1B5ED6-2C06-4B66-8EB7-2740710E4D62}"/>
    <cellStyle name="Comma 4 4 3 6 2" xfId="26813" xr:uid="{6B4DD2FA-8F7D-4D0A-BCBA-08218B506E7D}"/>
    <cellStyle name="Comma 4 4 3 7" xfId="25483" xr:uid="{A597AE3C-85CA-4F25-92DC-841C8C464156}"/>
    <cellStyle name="Comma 4 4 3 7 2" xfId="27966" xr:uid="{9D26AF8D-F7AA-416D-83A0-B4A2293738EB}"/>
    <cellStyle name="Comma 4 4 3 8" xfId="25484" xr:uid="{B2F5C820-072F-4864-AE37-928053662C95}"/>
    <cellStyle name="Comma 4 4 3 8 2" xfId="28641" xr:uid="{C7836272-5A87-4D41-BD40-FCD8BFB8068F}"/>
    <cellStyle name="Comma 4 4 3 9" xfId="26044" xr:uid="{4D497F63-8025-4F53-95F6-312ADD3F05F5}"/>
    <cellStyle name="Comma 4 4 4" xfId="167" xr:uid="{00BB9508-4276-4DAE-82C1-02F05FC0E691}"/>
    <cellStyle name="Comma 4 4 4 2" xfId="168" xr:uid="{3B8A1512-58CD-4605-B15D-CAB58E327992}"/>
    <cellStyle name="Comma 4 4 4 2 2" xfId="24984" xr:uid="{841255EE-B333-42B1-A8FD-21EEDE311F1A}"/>
    <cellStyle name="Comma 4 4 4 2 2 2" xfId="26156" xr:uid="{2534429F-9ECC-4A69-9360-8E0B51E5C2A6}"/>
    <cellStyle name="Comma 4 4 4 2 3" xfId="25485" xr:uid="{E53371AE-E8B3-47B0-9D1C-BD896A78E83B}"/>
    <cellStyle name="Comma 4 4 4 2 3 2" xfId="26306" xr:uid="{945DC192-97E5-4E03-A9AB-D80BB24EBF95}"/>
    <cellStyle name="Comma 4 4 4 2 4" xfId="25486" xr:uid="{5E2D9899-9230-402B-8D00-FAA4C9D59B4F}"/>
    <cellStyle name="Comma 4 4 4 2 4 2" xfId="26424" xr:uid="{61641680-DD69-4EF8-BEC4-32332ACE7CBD}"/>
    <cellStyle name="Comma 4 4 4 2 5" xfId="25487" xr:uid="{5761DD65-3081-4880-97E6-B61C2B5BE37F}"/>
    <cellStyle name="Comma 4 4 4 2 5 2" xfId="26818" xr:uid="{6D2C70E5-14BC-46AB-AFFE-BBCF250B3041}"/>
    <cellStyle name="Comma 4 4 4 2 6" xfId="25488" xr:uid="{35211906-5089-493B-ACD2-5A8D3611E2B5}"/>
    <cellStyle name="Comma 4 4 4 2 6 2" xfId="27969" xr:uid="{53EBF7E0-1CAB-4BAF-B1FE-523EB60903BF}"/>
    <cellStyle name="Comma 4 4 4 2 7" xfId="25489" xr:uid="{932FBB06-B3C3-4D4C-809D-E0269A89C6B0}"/>
    <cellStyle name="Comma 4 4 4 2 7 2" xfId="28642" xr:uid="{02989EC7-CD4D-4303-A3C0-9ECD795AD813}"/>
    <cellStyle name="Comma 4 4 4 2 8" xfId="26047" xr:uid="{53F6F8E5-C90D-4C86-BD69-4229F2688539}"/>
    <cellStyle name="Comma 4 4 4 3" xfId="3991" xr:uid="{25491281-42F9-466E-8072-250544E7C60B}"/>
    <cellStyle name="Comma 4 4 4 3 2" xfId="25490" xr:uid="{32043A54-8B9E-4C7E-AC8B-37EAD798EDA6}"/>
    <cellStyle name="Comma 4 4 4 3 2 2" xfId="28271" xr:uid="{7690438A-29DC-441A-93BA-FDAC062AB8BA}"/>
    <cellStyle name="Comma 4 4 4 3 3" xfId="25491" xr:uid="{2AE25716-84AB-44D8-939C-0789DB7638E9}"/>
    <cellStyle name="Comma 4 4 4 3 3 2" xfId="28643" xr:uid="{53138D35-E509-482A-9906-77DD564A93DA}"/>
    <cellStyle name="Comma 4 4 4 3 4" xfId="26155" xr:uid="{4CB4C1CA-9103-4C04-9781-3AE18167EA3A}"/>
    <cellStyle name="Comma 4 4 4 4" xfId="24983" xr:uid="{BBCF2DDC-61DD-4C87-90D2-F0CC855989D5}"/>
    <cellStyle name="Comma 4 4 4 4 2" xfId="26305" xr:uid="{BB2893A4-316A-4593-981F-63969DFD5F6F}"/>
    <cellStyle name="Comma 4 4 4 5" xfId="25492" xr:uid="{24A92445-518F-43DC-ADCF-2D2730B84A28}"/>
    <cellStyle name="Comma 4 4 4 5 2" xfId="26423" xr:uid="{E71B77FF-728C-4765-A5F5-FCDED068BC4E}"/>
    <cellStyle name="Comma 4 4 4 6" xfId="25493" xr:uid="{BAA1FBF4-7E8D-46D6-B46A-C3BB80251AB7}"/>
    <cellStyle name="Comma 4 4 4 6 2" xfId="26817" xr:uid="{0140BDBC-8E97-48DA-BCC0-DA104B4BE5D6}"/>
    <cellStyle name="Comma 4 4 4 7" xfId="25494" xr:uid="{F4785058-FB65-43F5-B4E7-F0F5AD879018}"/>
    <cellStyle name="Comma 4 4 4 7 2" xfId="27968" xr:uid="{D0E645B0-0514-47D8-9D2E-8B59F0EF8985}"/>
    <cellStyle name="Comma 4 4 4 8" xfId="25495" xr:uid="{2E6835DF-A9B3-476C-8232-0254E2162459}"/>
    <cellStyle name="Comma 4 4 4 8 2" xfId="28644" xr:uid="{7D4947B7-6227-4FD4-A688-E928BD009F6E}"/>
    <cellStyle name="Comma 4 4 4 9" xfId="26046" xr:uid="{1018CF3D-4AF4-44D7-B864-2A0CD92D40EA}"/>
    <cellStyle name="Comma 4 4 5" xfId="3987" xr:uid="{4A9A3E81-164F-4C8B-A534-25E906BD550B}"/>
    <cellStyle name="Comma 4 4 5 2" xfId="24985" xr:uid="{11BFA375-BA1B-4D79-AB17-1295EE104CAE}"/>
    <cellStyle name="Comma 4 4 5 2 2" xfId="26819" xr:uid="{403579E9-F221-4B05-BD0B-67264D04F8D8}"/>
    <cellStyle name="Comma 4 4 5 3" xfId="25496" xr:uid="{EF3C1C5C-F0FB-40BF-BC79-5097CDC7AE55}"/>
    <cellStyle name="Comma 4 4 5 3 2" xfId="28267" xr:uid="{54A1FA50-2F16-4CE4-80DD-A9114E3C9F10}"/>
    <cellStyle name="Comma 4 4 5 4" xfId="25497" xr:uid="{F0BE97D6-F439-4257-87DD-D05D44195235}"/>
    <cellStyle name="Comma 4 4 5 4 2" xfId="28645" xr:uid="{C8A6FD07-FB25-49A5-8B04-D6596653DE3B}"/>
    <cellStyle name="Comma 4 4 5 5" xfId="26151" xr:uid="{39F79003-7680-4729-BBB4-7FDD5A08CC1B}"/>
    <cellStyle name="Comma 4 4 6" xfId="24978" xr:uid="{0504F244-7D05-4594-B2BF-8BC0B9DEBD82}"/>
    <cellStyle name="Comma 4 4 6 2" xfId="26301" xr:uid="{C2F48C69-3663-4F89-B612-8DF2279565BD}"/>
    <cellStyle name="Comma 4 4 7" xfId="25498" xr:uid="{01130976-B54F-45AB-A263-C3A3C9F34CA3}"/>
    <cellStyle name="Comma 4 4 7 2" xfId="26419" xr:uid="{31810DEB-E3E1-45E3-B67F-B0A20B006F60}"/>
    <cellStyle name="Comma 4 4 8" xfId="25499" xr:uid="{AAA5A6EC-4A79-448B-AD29-1F844AA14DBE}"/>
    <cellStyle name="Comma 4 4 8 2" xfId="26811" xr:uid="{1192B8CD-704A-40BB-91F9-16CD5F1D4503}"/>
    <cellStyle name="Comma 4 4 9" xfId="25500" xr:uid="{4FF54F48-6D99-488C-B17F-D7095EFEB8EE}"/>
    <cellStyle name="Comma 4 4 9 2" xfId="27964" xr:uid="{E6AC3E06-94D5-423D-A89D-55CB30A3E4E4}"/>
    <cellStyle name="Comma 4 5" xfId="169" xr:uid="{BC4EFD39-1ED0-48CA-A449-88DDC1107600}"/>
    <cellStyle name="Comma 4 5 2" xfId="3992" xr:uid="{CC1714B7-E1F9-4486-A031-DBAAF3B919EA}"/>
    <cellStyle name="Comma 4 5 2 2" xfId="24987" xr:uid="{D4F6BB2E-C3F5-4BFC-80DB-0C78A07E5E76}"/>
    <cellStyle name="Comma 4 5 2 2 2" xfId="26821" xr:uid="{2C2F9DB6-DEF0-451E-86C1-A4AA7177A2AF}"/>
    <cellStyle name="Comma 4 5 2 3" xfId="25501" xr:uid="{11CA2895-7933-4412-9913-76F73403342C}"/>
    <cellStyle name="Comma 4 5 2 3 2" xfId="28272" xr:uid="{3AD07165-582C-4027-82C1-99BDBE0D936C}"/>
    <cellStyle name="Comma 4 5 2 4" xfId="25502" xr:uid="{C505D84F-B99E-49B0-B30F-8BE58A254087}"/>
    <cellStyle name="Comma 4 5 2 4 2" xfId="28646" xr:uid="{E3F10503-1A86-4E3C-BDE5-A0B8E04C2BBA}"/>
    <cellStyle name="Comma 4 5 2 5" xfId="26157" xr:uid="{248130D0-38CB-414F-A4F9-DB5C5D4E3456}"/>
    <cellStyle name="Comma 4 5 3" xfId="24875" xr:uid="{ED7DC2B7-BD07-4C14-AAF4-5F651BFDFEA2}"/>
    <cellStyle name="Comma 4 5 3 2" xfId="25503" xr:uid="{5C900708-8FE4-447B-AB85-406D0515BE9D}"/>
    <cellStyle name="Comma 4 5 3 2 2" xfId="26822" xr:uid="{C1FBA7CE-6A39-4836-819F-CC0345BAB752}"/>
    <cellStyle name="Comma 4 5 3 3" xfId="26307" xr:uid="{987FE5A1-65AE-4A21-A20A-97DA3D841885}"/>
    <cellStyle name="Comma 4 5 4" xfId="24986" xr:uid="{17652EE9-B04C-4F42-A1FB-16CECE9254E5}"/>
    <cellStyle name="Comma 4 5 4 2" xfId="26425" xr:uid="{97418465-5778-46C0-9233-2AD559045267}"/>
    <cellStyle name="Comma 4 5 5" xfId="25504" xr:uid="{CAD2E354-890C-438A-9ADE-759D20A32FC7}"/>
    <cellStyle name="Comma 4 5 5 2" xfId="26820" xr:uid="{4037A3BA-4B07-4CE8-8D25-EB77842183F5}"/>
    <cellStyle name="Comma 4 5 6" xfId="25505" xr:uid="{F6351EE1-20B8-4795-9D78-1827C16491B2}"/>
    <cellStyle name="Comma 4 5 6 2" xfId="27970" xr:uid="{3E4B6B5D-7978-4BF0-B00F-7C3F3AA1BA9D}"/>
    <cellStyle name="Comma 4 5 7" xfId="25506" xr:uid="{5FBB0CA6-4D45-469C-A1BF-3939835CE0B8}"/>
    <cellStyle name="Comma 4 5 7 2" xfId="28647" xr:uid="{AE96C69D-513B-42B6-93FF-21E2B88352A3}"/>
    <cellStyle name="Comma 4 5 8" xfId="26048" xr:uid="{BBAFAAA4-547E-4749-B9DE-A993765C8CAE}"/>
    <cellStyle name="Comma 4 6" xfId="24860" xr:uid="{9BD7F0CB-9BC7-4A7E-9BD5-1B18BFF07ACC}"/>
    <cellStyle name="Comma 4 6 2" xfId="24988" xr:uid="{F01BEF29-92A8-4C0A-838D-9A75E110422A}"/>
    <cellStyle name="Comma 4 6 2 2" xfId="26823" xr:uid="{27BBD7C2-EE9E-48A1-AF81-9EBAA9060B05}"/>
    <cellStyle name="Comma 4 6 3" xfId="25507" xr:uid="{2657FC17-8A9B-46D2-8294-BB9298998455}"/>
    <cellStyle name="Comma 4 6 3 2" xfId="28260" xr:uid="{11CFAE9A-02A0-41F6-B896-F364DD316106}"/>
    <cellStyle name="Comma 4 6 4" xfId="25508" xr:uid="{9F473E71-D167-46AB-BBA7-B50FB788713F}"/>
    <cellStyle name="Comma 4 6 4 2" xfId="28648" xr:uid="{59CF4516-287C-4CC7-9367-F0A80E5B541B}"/>
    <cellStyle name="Comma 4 6 5" xfId="25971" xr:uid="{14C25AB3-F66C-443E-983D-EE411127C7C6}"/>
    <cellStyle name="Comma 4 7" xfId="24876" xr:uid="{5DF83B4A-A2C3-4D89-9D66-E6E3A29E5820}"/>
    <cellStyle name="Comma 4 7 2" xfId="25509" xr:uid="{4650BBFB-18E3-4BFF-B7E7-3EBE6CA665F4}"/>
    <cellStyle name="Comma 4 7 2 2" xfId="26824" xr:uid="{9AAFB432-5EA8-4751-BCC4-53B2D01FB3FB}"/>
    <cellStyle name="Comma 4 7 3" xfId="25972" xr:uid="{B17AAE32-06CF-42EA-A671-B21D33583DE0}"/>
    <cellStyle name="Comma 4 8" xfId="24904" xr:uid="{19E5279D-F496-4BDD-BE17-A13476E88028}"/>
    <cellStyle name="Comma 4 8 2" xfId="26294" xr:uid="{9A02C597-9028-48DF-8098-26FF5E20A6A0}"/>
    <cellStyle name="Comma 4 9" xfId="25510" xr:uid="{F9BE34BF-1E05-442F-8A60-6DB26F52F1B9}"/>
    <cellStyle name="Comma 4 9 2" xfId="26412" xr:uid="{EB0D60E6-0471-4880-9BBA-E8AA98428442}"/>
    <cellStyle name="Comma 5" xfId="24857" xr:uid="{60F5EF53-FCD2-4ED0-A1F4-0E29721FF7F9}"/>
    <cellStyle name="Comma 5 10" xfId="24877" xr:uid="{70FAE150-1106-4048-849D-0A590D057F21}"/>
    <cellStyle name="Comma 5 10 2" xfId="25511" xr:uid="{99BE990A-32AD-4D6A-BD10-ACACF70D5ADC}"/>
    <cellStyle name="Comma 5 10 2 2" xfId="26826" xr:uid="{73D985C2-ECB6-4BDF-9FDC-4055183EF764}"/>
    <cellStyle name="Comma 5 10 3" xfId="25973" xr:uid="{E9777DD1-1918-4284-944A-8F5A040F6B8D}"/>
    <cellStyle name="Comma 5 11" xfId="24878" xr:uid="{ED45E9E6-987A-49B7-8640-8AB5F60FEDAA}"/>
    <cellStyle name="Comma 5 11 2" xfId="25512" xr:uid="{936B3BE5-8F77-48BD-A7A1-C94A39E6E6FC}"/>
    <cellStyle name="Comma 5 11 2 2" xfId="26827" xr:uid="{1DEFFF7B-8968-4951-9FFC-A725DB7C8C50}"/>
    <cellStyle name="Comma 5 11 3" xfId="25974" xr:uid="{588AE4A0-7BD6-42F4-B557-CADF3BFAB62E}"/>
    <cellStyle name="Comma 5 12" xfId="25036" xr:uid="{750196A6-6CDA-4166-860F-05573C4FD40D}"/>
    <cellStyle name="Comma 5 12 2" xfId="26825" xr:uid="{F3DB386F-5867-420E-8BDD-814DCD592EB3}"/>
    <cellStyle name="Comma 5 13" xfId="24909" xr:uid="{A757860C-E6B4-4FAD-945C-AAE978374AA2}"/>
    <cellStyle name="Comma 5 13 2" xfId="26483" xr:uid="{56E98395-6353-4C43-A506-B5940E63CFD8}"/>
    <cellStyle name="Comma 5 14" xfId="25513" xr:uid="{E4A0DF3E-2E48-42C5-8076-F3AF9F4A468D}"/>
    <cellStyle name="Comma 5 14 2" xfId="27971" xr:uid="{8AB82964-5B30-41EE-9E77-4D1EAD087C01}"/>
    <cellStyle name="Comma 5 15" xfId="8192" xr:uid="{E3B1BEA3-729E-45FF-8A32-6F015C523136}"/>
    <cellStyle name="Comma 5 15 2" xfId="28649" xr:uid="{EA347CEA-8405-4045-AE78-E4E485870746}"/>
    <cellStyle name="Comma 5 16" xfId="25514" xr:uid="{8B38B8DB-7D04-4383-B3DB-D41A7818902A}"/>
    <cellStyle name="Comma 5 16 2" xfId="28650" xr:uid="{E051E942-76C1-4868-B398-CFEE2E82FCCD}"/>
    <cellStyle name="Comma 5 17" xfId="25967" xr:uid="{285A5291-75B4-4243-B873-6FD9882718B8}"/>
    <cellStyle name="Comma 5 2" xfId="170" xr:uid="{41D5B316-5594-4F25-AD48-8563EACC0155}"/>
    <cellStyle name="Comma 5 2 2" xfId="171" xr:uid="{12C1B299-DF5F-48FB-B5DE-04011A1F2265}"/>
    <cellStyle name="Comma 5 2 2 2" xfId="172" xr:uid="{D0F976A8-27E2-4C2F-B1CD-31AA2C945584}"/>
    <cellStyle name="Comma 5 2 2 2 2" xfId="4516" xr:uid="{28A7FF75-1149-4E91-A632-1511F445042F}"/>
    <cellStyle name="Comma 5 2 2 3" xfId="4515" xr:uid="{E3C646C2-EB62-41CC-A94E-0D045D8A5E6F}"/>
    <cellStyle name="Comma 5 2 3" xfId="173" xr:uid="{A7053268-E6F6-4DBE-B78B-32A52CB1FD1C}"/>
    <cellStyle name="Comma 5 2 3 2" xfId="4518" xr:uid="{E5400879-2F77-418A-A464-4ABCCAC76959}"/>
    <cellStyle name="Comma 5 2 3 3" xfId="4519" xr:uid="{9039A5E1-BDF7-440F-8C4B-898946C695AB}"/>
    <cellStyle name="Comma 5 2 3 4" xfId="4517" xr:uid="{19AEC477-78A6-44F6-A074-798414236016}"/>
    <cellStyle name="Comma 5 2 4" xfId="174" xr:uid="{04A72E0A-14E9-481B-A7BB-1F4CEDB7696F}"/>
    <cellStyle name="Comma 5 2 4 2" xfId="3993" xr:uid="{A1DA41BE-07DF-4ABB-BFA8-C07206165E68}"/>
    <cellStyle name="Comma 5 2 4 2 2" xfId="25515" xr:uid="{CF9436A0-8842-477E-94CC-56EE563BF9D6}"/>
    <cellStyle name="Comma 5 2 4 2 2 2" xfId="28274" xr:uid="{338AE94A-1A02-47B5-900B-069738F7A8BA}"/>
    <cellStyle name="Comma 5 2 4 2 3" xfId="25516" xr:uid="{86D90562-3FAF-4C9D-8A2A-5F53C2158B52}"/>
    <cellStyle name="Comma 5 2 4 2 3 2" xfId="28651" xr:uid="{04039708-D628-427D-BF5D-CA77D6FE8CBD}"/>
    <cellStyle name="Comma 5 2 4 2 4" xfId="26159" xr:uid="{75D908F8-C21A-4A9F-A8A7-AF214F1B544E}"/>
    <cellStyle name="Comma 5 2 4 3" xfId="24989" xr:uid="{8D6CA624-E318-45A7-A7A4-3749BA7CC48D}"/>
    <cellStyle name="Comma 5 2 4 3 2" xfId="26308" xr:uid="{5E8F10B2-EC36-43A0-8E85-9192FD7ADF1A}"/>
    <cellStyle name="Comma 5 2 4 4" xfId="25517" xr:uid="{79F33A27-A24C-4E83-B297-E8805604C031}"/>
    <cellStyle name="Comma 5 2 4 4 2" xfId="26426" xr:uid="{61EBBDFD-A384-4A2D-8570-122FCA269029}"/>
    <cellStyle name="Comma 5 2 4 5" xfId="25518" xr:uid="{4E70F44E-E7D6-4BD0-89B1-CB5E90F5719F}"/>
    <cellStyle name="Comma 5 2 4 5 2" xfId="26828" xr:uid="{DCA2C3FF-5B87-441D-A6E4-129B0CAF0630}"/>
    <cellStyle name="Comma 5 2 4 6" xfId="25519" xr:uid="{248B3A6D-F177-4737-860B-5C2B88A158FF}"/>
    <cellStyle name="Comma 5 2 4 6 2" xfId="27972" xr:uid="{D4AC3412-34C0-48B5-8816-47684F1EDE90}"/>
    <cellStyle name="Comma 5 2 4 7" xfId="25520" xr:uid="{4F9E5645-EABC-4FC2-B7D3-2CB275AC2979}"/>
    <cellStyle name="Comma 5 2 4 7 2" xfId="28652" xr:uid="{56D7E130-BC66-4251-9A52-8A6F3EED9F99}"/>
    <cellStyle name="Comma 5 2 4 8" xfId="26049" xr:uid="{E2742C13-B298-42DA-98BC-6C443FD21A44}"/>
    <cellStyle name="Comma 5 2 5" xfId="4514" xr:uid="{8736BA6C-A1E2-439D-93C6-6D02C70A080D}"/>
    <cellStyle name="Comma 5 2 6" xfId="4263" xr:uid="{B9C3D82A-4075-4555-97F9-845C9F06B978}"/>
    <cellStyle name="Comma 5 3" xfId="175" xr:uid="{B96CC2A6-5838-4981-9CB7-0EE1B229810C}"/>
    <cellStyle name="Comma 5 3 10" xfId="25521" xr:uid="{15B808CA-A120-4AF8-B8E7-660C481A04C1}"/>
    <cellStyle name="Comma 5 3 10 2" xfId="28653" xr:uid="{385FAE69-EBFA-4FC2-B22C-F962FEB65A17}"/>
    <cellStyle name="Comma 5 3 11" xfId="26050" xr:uid="{5B3C5808-89B3-43E2-A0FD-1373068E8665}"/>
    <cellStyle name="Comma 5 3 2" xfId="176" xr:uid="{8454FF49-A7B8-4F91-928E-075273CE976D}"/>
    <cellStyle name="Comma 5 3 2 2" xfId="3995" xr:uid="{1CFCDFC3-655E-4455-B48C-DCB47C0CEBED}"/>
    <cellStyle name="Comma 5 3 2 2 2" xfId="25522" xr:uid="{1E507969-3ECA-4ACD-AEB5-EA6016BAC2F5}"/>
    <cellStyle name="Comma 5 3 2 2 2 2" xfId="28276" xr:uid="{974B4034-89BD-4AD6-BAAB-0385CE1E64E2}"/>
    <cellStyle name="Comma 5 3 2 2 3" xfId="25523" xr:uid="{AA0F1A02-63D4-4133-9EFB-21E2172CABD0}"/>
    <cellStyle name="Comma 5 3 2 2 3 2" xfId="28654" xr:uid="{7CDD64AA-2B23-4DD7-83B8-A3E1F82E627F}"/>
    <cellStyle name="Comma 5 3 2 2 4" xfId="26161" xr:uid="{FB134E7A-1AE6-4BF6-9FC9-F81D86BF9FE5}"/>
    <cellStyle name="Comma 5 3 2 3" xfId="24991" xr:uid="{32C21532-467E-48F1-9EC7-E7718003AF9D}"/>
    <cellStyle name="Comma 5 3 2 3 2" xfId="26310" xr:uid="{C6B11921-2F40-4663-9AF4-E3337A899607}"/>
    <cellStyle name="Comma 5 3 2 4" xfId="25524" xr:uid="{40A523CC-5D07-4977-8E23-5AB15DD9BFE6}"/>
    <cellStyle name="Comma 5 3 2 4 2" xfId="26428" xr:uid="{DA763D25-DCB5-4D18-B9D7-341A16817250}"/>
    <cellStyle name="Comma 5 3 2 5" xfId="25525" xr:uid="{248A0C23-B6F8-4F38-868E-3566F0179E93}"/>
    <cellStyle name="Comma 5 3 2 5 2" xfId="26830" xr:uid="{DC3B7C3B-90EA-4E5F-84CA-612F8992013A}"/>
    <cellStyle name="Comma 5 3 2 6" xfId="25526" xr:uid="{A2EAFC0C-6336-4E15-8C5F-CEC032DD88E2}"/>
    <cellStyle name="Comma 5 3 2 6 2" xfId="27974" xr:uid="{F0230E08-EBA2-411F-8CD2-D42C6AE39283}"/>
    <cellStyle name="Comma 5 3 2 7" xfId="25527" xr:uid="{A5965294-90BC-4EFC-93A7-5D5E599CE021}"/>
    <cellStyle name="Comma 5 3 2 7 2" xfId="28655" xr:uid="{2805C0BA-16AC-4D35-AA40-DEF268AF6009}"/>
    <cellStyle name="Comma 5 3 2 8" xfId="26051" xr:uid="{F93901C0-3E43-4F14-A714-09D9465D0881}"/>
    <cellStyle name="Comma 5 3 3" xfId="177" xr:uid="{047C6943-483F-4056-A37F-9B9225E15FBB}"/>
    <cellStyle name="Comma 5 3 3 2" xfId="178" xr:uid="{EF336BAD-F4FC-4E87-B2D6-896B6F0D37D5}"/>
    <cellStyle name="Comma 5 3 3 2 2" xfId="3997" xr:uid="{6649FE2C-86D7-4AC2-94AE-5037EA8A9941}"/>
    <cellStyle name="Comma 5 3 3 2 2 2" xfId="25528" xr:uid="{DEC18750-F816-4EC6-9B64-24277E0A3E7E}"/>
    <cellStyle name="Comma 5 3 3 2 2 2 2" xfId="28278" xr:uid="{0F6144AF-968C-4792-9249-DC37D3B66DE6}"/>
    <cellStyle name="Comma 5 3 3 2 2 3" xfId="25529" xr:uid="{08E3AEB8-94BC-4A78-A8DD-65A222DC30EB}"/>
    <cellStyle name="Comma 5 3 3 2 2 3 2" xfId="28656" xr:uid="{DE7140C4-EE11-4BD3-BFB9-C008B8AB160C}"/>
    <cellStyle name="Comma 5 3 3 2 2 4" xfId="26163" xr:uid="{A2E8E5C6-3E8E-452B-8141-68A7A077F49C}"/>
    <cellStyle name="Comma 5 3 3 2 3" xfId="24993" xr:uid="{5DF4F193-D850-4E72-8A4A-B9568E09AA6F}"/>
    <cellStyle name="Comma 5 3 3 2 3 2" xfId="26312" xr:uid="{BE714F43-8710-4D9A-B184-2BE16E4A5337}"/>
    <cellStyle name="Comma 5 3 3 2 4" xfId="25530" xr:uid="{C39422E2-9BBE-4F5E-B7C8-FEBFF2DECA25}"/>
    <cellStyle name="Comma 5 3 3 2 4 2" xfId="26430" xr:uid="{EB95C45C-193C-4E41-BE95-A1EC67CE92A6}"/>
    <cellStyle name="Comma 5 3 3 2 5" xfId="25531" xr:uid="{30CFD560-7EA8-4D0B-958D-3DA26075321B}"/>
    <cellStyle name="Comma 5 3 3 2 5 2" xfId="26832" xr:uid="{B6C9C966-430D-4F4C-910C-FEE1CE034D3F}"/>
    <cellStyle name="Comma 5 3 3 2 6" xfId="25532" xr:uid="{00D8B9EE-6E90-4F36-BE59-35E67765AC27}"/>
    <cellStyle name="Comma 5 3 3 2 6 2" xfId="27976" xr:uid="{7207F12D-8904-4E0F-A242-2FAF582989E0}"/>
    <cellStyle name="Comma 5 3 3 2 7" xfId="25533" xr:uid="{BBA641C2-0ED3-4D6F-975C-EC9D1AB2079C}"/>
    <cellStyle name="Comma 5 3 3 2 7 2" xfId="28657" xr:uid="{AAD034DD-9929-4151-A913-BE1AFDEED36D}"/>
    <cellStyle name="Comma 5 3 3 2 8" xfId="26053" xr:uid="{67830BA2-605D-47B2-AA3A-3BE03464F8D4}"/>
    <cellStyle name="Comma 5 3 3 3" xfId="3996" xr:uid="{416C1979-5BC9-463D-AD09-F929075AA291}"/>
    <cellStyle name="Comma 5 3 3 3 2" xfId="24994" xr:uid="{B93D0E44-9339-4F94-AC92-2C21E1560EB3}"/>
    <cellStyle name="Comma 5 3 3 3 2 2" xfId="26833" xr:uid="{47C803DA-6FA3-4C26-A4DB-4E215EB5853F}"/>
    <cellStyle name="Comma 5 3 3 3 3" xfId="25534" xr:uid="{60487745-E71A-48ED-817A-61754DB95BAE}"/>
    <cellStyle name="Comma 5 3 3 3 3 2" xfId="28277" xr:uid="{E84FA7D5-2C0A-4465-BF1F-11B0711C98D2}"/>
    <cellStyle name="Comma 5 3 3 3 4" xfId="25535" xr:uid="{59FD3DBF-564F-444F-B166-3A421DCA12D7}"/>
    <cellStyle name="Comma 5 3 3 3 4 2" xfId="28658" xr:uid="{8939B6C1-F865-465F-9BCB-1259C44EA1C7}"/>
    <cellStyle name="Comma 5 3 3 3 5" xfId="26162" xr:uid="{07F07655-D5A1-4D3E-A2D2-F8F7FD6AF551}"/>
    <cellStyle name="Comma 5 3 3 4" xfId="24879" xr:uid="{69E4E0DE-AA03-4622-BD72-A1722B47805C}"/>
    <cellStyle name="Comma 5 3 3 4 2" xfId="25536" xr:uid="{27714502-E108-433E-AA8E-DB3D6F238913}"/>
    <cellStyle name="Comma 5 3 3 4 2 2" xfId="26834" xr:uid="{CDBFE6EF-DBE2-49BD-916A-2D15010F6F0F}"/>
    <cellStyle name="Comma 5 3 3 4 3" xfId="26311" xr:uid="{CEFF9EF2-D541-463E-A5B8-283308460443}"/>
    <cellStyle name="Comma 5 3 3 5" xfId="24992" xr:uid="{E881D136-C8CE-4C57-84CF-BBD330C90AF1}"/>
    <cellStyle name="Comma 5 3 3 5 2" xfId="26429" xr:uid="{750DFD88-2125-4061-835E-842EFCF557D3}"/>
    <cellStyle name="Comma 5 3 3 6" xfId="25537" xr:uid="{47C98486-FE9F-420B-8E0E-37D32DF89406}"/>
    <cellStyle name="Comma 5 3 3 6 2" xfId="26831" xr:uid="{67604979-D422-4EF6-94B6-B87B67849334}"/>
    <cellStyle name="Comma 5 3 3 7" xfId="25538" xr:uid="{C93B8527-025A-4ACF-B600-74BAEAFD712F}"/>
    <cellStyle name="Comma 5 3 3 7 2" xfId="27975" xr:uid="{6B19B978-B971-430E-AF05-14B17865B6B8}"/>
    <cellStyle name="Comma 5 3 3 8" xfId="25539" xr:uid="{B710CD80-422F-44A6-910A-1A9EA6CFBA56}"/>
    <cellStyle name="Comma 5 3 3 8 2" xfId="28659" xr:uid="{A09F3057-E801-4989-B746-0363B0FDD72E}"/>
    <cellStyle name="Comma 5 3 3 9" xfId="26052" xr:uid="{47A2F486-F11E-4311-B21C-32BE05A49D6C}"/>
    <cellStyle name="Comma 5 3 4" xfId="179" xr:uid="{02732CE8-03BD-41F5-B304-4C49AC3DEA6B}"/>
    <cellStyle name="Comma 5 3 4 2" xfId="180" xr:uid="{3F3094C1-8634-4F55-8F43-F41A83F03346}"/>
    <cellStyle name="Comma 5 3 4 2 2" xfId="24996" xr:uid="{2ABE2E9B-7FEC-46BF-B004-C20E06B8FA61}"/>
    <cellStyle name="Comma 5 3 4 2 2 2" xfId="26165" xr:uid="{F78021E4-0BD0-4EFE-9E99-258893991882}"/>
    <cellStyle name="Comma 5 3 4 2 3" xfId="25540" xr:uid="{4EA5FF77-9524-4CCA-8DD6-7C2093D48FB5}"/>
    <cellStyle name="Comma 5 3 4 2 3 2" xfId="26314" xr:uid="{7E8C4578-FB06-4FC1-8EB5-E8836CFEDC5F}"/>
    <cellStyle name="Comma 5 3 4 2 4" xfId="25541" xr:uid="{6B424D7D-D390-401E-AAB8-9DB272E34C09}"/>
    <cellStyle name="Comma 5 3 4 2 4 2" xfId="26432" xr:uid="{4834F6FF-61BA-4EF5-9A33-D07F48B1C0C6}"/>
    <cellStyle name="Comma 5 3 4 2 5" xfId="25542" xr:uid="{A3C5459D-3DDA-42C2-BAFA-CB45C4C68E76}"/>
    <cellStyle name="Comma 5 3 4 2 5 2" xfId="26836" xr:uid="{7D9A7747-6656-4949-A02D-76C402C65A31}"/>
    <cellStyle name="Comma 5 3 4 2 6" xfId="25543" xr:uid="{78762D2D-D462-438A-AE9F-A9F81AAE2D09}"/>
    <cellStyle name="Comma 5 3 4 2 6 2" xfId="27978" xr:uid="{1D37661F-F158-4874-B302-A89DC81FA021}"/>
    <cellStyle name="Comma 5 3 4 2 7" xfId="25544" xr:uid="{C403FA38-4F88-494D-BAAF-F481F277BB0E}"/>
    <cellStyle name="Comma 5 3 4 2 7 2" xfId="28660" xr:uid="{6CA9CDF6-62EE-4A71-8294-26C73EDE5618}"/>
    <cellStyle name="Comma 5 3 4 2 8" xfId="26055" xr:uid="{03123482-B780-4681-A2FF-44D7A66666E0}"/>
    <cellStyle name="Comma 5 3 4 3" xfId="3998" xr:uid="{8276584B-F56A-464A-8099-DD319D7E7BEC}"/>
    <cellStyle name="Comma 5 3 4 3 2" xfId="25545" xr:uid="{FC40A0A0-CE2C-425A-BF21-D1449105EEF1}"/>
    <cellStyle name="Comma 5 3 4 3 2 2" xfId="28279" xr:uid="{CDEC22D5-DFA7-401E-9736-9D4B86D72EBE}"/>
    <cellStyle name="Comma 5 3 4 3 3" xfId="25546" xr:uid="{E0B975E2-4F5C-43A4-AD53-878479810FE6}"/>
    <cellStyle name="Comma 5 3 4 3 3 2" xfId="28661" xr:uid="{BAC0D7E5-E3A4-4262-B805-502D336E79D3}"/>
    <cellStyle name="Comma 5 3 4 3 4" xfId="26164" xr:uid="{250BE764-DEA5-4A60-B21F-60B54A2650F7}"/>
    <cellStyle name="Comma 5 3 4 4" xfId="24995" xr:uid="{070FB948-F433-48C5-B2E2-BB2CE107CA8D}"/>
    <cellStyle name="Comma 5 3 4 4 2" xfId="26313" xr:uid="{667BC926-0A39-4EEF-8AB0-8A6958F5E652}"/>
    <cellStyle name="Comma 5 3 4 5" xfId="25547" xr:uid="{229D8A92-623F-428E-A657-0A54ABB38CCA}"/>
    <cellStyle name="Comma 5 3 4 5 2" xfId="26431" xr:uid="{70C92FAD-F2B8-4621-AB0C-A48CB345C31D}"/>
    <cellStyle name="Comma 5 3 4 6" xfId="25548" xr:uid="{0DAC584A-C213-4292-812A-DD278F01B8B6}"/>
    <cellStyle name="Comma 5 3 4 6 2" xfId="26835" xr:uid="{56DF0BA8-5492-4974-AC24-97A4B6E9B115}"/>
    <cellStyle name="Comma 5 3 4 7" xfId="25549" xr:uid="{4247756E-52D9-4001-9D84-993DC1DEF5A7}"/>
    <cellStyle name="Comma 5 3 4 7 2" xfId="27977" xr:uid="{6336824A-53F0-4336-86C1-91350F70D824}"/>
    <cellStyle name="Comma 5 3 4 8" xfId="25550" xr:uid="{5F6E6BEF-BB9E-4047-9C93-E8B22E06BCCD}"/>
    <cellStyle name="Comma 5 3 4 8 2" xfId="28662" xr:uid="{791B4B4C-AEC2-4E86-B682-1CEC27277EE2}"/>
    <cellStyle name="Comma 5 3 4 9" xfId="26054" xr:uid="{7C49947C-B4C1-46F2-9EAE-8EEF174BFFC6}"/>
    <cellStyle name="Comma 5 3 5" xfId="3994" xr:uid="{C71EB4B3-F7EE-4C07-956C-6FA998B0A722}"/>
    <cellStyle name="Comma 5 3 5 2" xfId="24997" xr:uid="{055745B0-7208-4E54-BD79-B5B06FB48016}"/>
    <cellStyle name="Comma 5 3 5 2 2" xfId="26837" xr:uid="{2B2406D2-D37B-40AE-B6E7-4D6801BCF34E}"/>
    <cellStyle name="Comma 5 3 5 3" xfId="25551" xr:uid="{2626E254-C53A-4514-B425-75900EBEEA5E}"/>
    <cellStyle name="Comma 5 3 5 3 2" xfId="28275" xr:uid="{E909C188-CCBF-41CD-A29B-AF19FDAD1917}"/>
    <cellStyle name="Comma 5 3 5 4" xfId="25552" xr:uid="{3D839BD0-6D09-42E5-BB23-26AC09E224F1}"/>
    <cellStyle name="Comma 5 3 5 4 2" xfId="28663" xr:uid="{31867B06-C4F4-40AF-A2CE-0064E4F15B89}"/>
    <cellStyle name="Comma 5 3 5 5" xfId="26160" xr:uid="{AFEB3F85-AC41-49D6-9056-C6985BCE0D07}"/>
    <cellStyle name="Comma 5 3 6" xfId="24990" xr:uid="{75286E77-CE71-45BE-AA5F-AF77BC053882}"/>
    <cellStyle name="Comma 5 3 6 2" xfId="26309" xr:uid="{036237E5-6724-4BAB-9FD6-533813AD5DDD}"/>
    <cellStyle name="Comma 5 3 7" xfId="25553" xr:uid="{E2992146-F3B0-4C52-A3AA-1624C700C027}"/>
    <cellStyle name="Comma 5 3 7 2" xfId="26427" xr:uid="{F53135DC-6A4B-4617-811B-E4EB41EEC1C8}"/>
    <cellStyle name="Comma 5 3 8" xfId="25554" xr:uid="{9A50855B-FAAF-4551-BCED-9B16951DD0FD}"/>
    <cellStyle name="Comma 5 3 8 2" xfId="26829" xr:uid="{35DEDE1D-551D-441B-8041-D8F330ED3D1C}"/>
    <cellStyle name="Comma 5 3 9" xfId="25555" xr:uid="{3F1619A0-4454-4FC6-99C4-D26F1F2D6C99}"/>
    <cellStyle name="Comma 5 3 9 2" xfId="27973" xr:uid="{1B2B122F-B7C2-4841-A5CB-B4181FBAB626}"/>
    <cellStyle name="Comma 5 4" xfId="181" xr:uid="{9D39C36A-D29A-4719-8F47-A92EA24EC5B2}"/>
    <cellStyle name="Comma 5 4 2" xfId="3999" xr:uid="{89E2431B-F1A6-4771-B7C9-A679C7AB2871}"/>
    <cellStyle name="Comma 5 4 2 2" xfId="25556" xr:uid="{0A790B05-D07E-4623-9DD4-19FC2605FC7A}"/>
    <cellStyle name="Comma 5 4 2 2 2" xfId="28280" xr:uid="{25626408-4323-405A-9019-53C3CB82022F}"/>
    <cellStyle name="Comma 5 4 2 3" xfId="25557" xr:uid="{55259AE0-5E73-4D87-80C1-AAE58FABF6E8}"/>
    <cellStyle name="Comma 5 4 2 3 2" xfId="28664" xr:uid="{47BF3BA0-696E-490C-A129-A93297BBA2D9}"/>
    <cellStyle name="Comma 5 4 2 4" xfId="26166" xr:uid="{3D7A13C6-8D50-4C65-9789-45763CC9969E}"/>
    <cellStyle name="Comma 5 4 3" xfId="24998" xr:uid="{EF94B2A5-620C-4DC8-AD4D-581B3C735DFA}"/>
    <cellStyle name="Comma 5 4 3 2" xfId="26315" xr:uid="{F30079E8-53E6-4114-AF12-C066856A6A82}"/>
    <cellStyle name="Comma 5 4 4" xfId="25558" xr:uid="{3449A73D-C624-4DD6-81EB-4B52A9D2782D}"/>
    <cellStyle name="Comma 5 4 4 2" xfId="26433" xr:uid="{1795EAFA-8223-4016-A2C3-174A409152CD}"/>
    <cellStyle name="Comma 5 4 5" xfId="25559" xr:uid="{6CB9307B-CFC7-4B25-BF90-D932B7F205B7}"/>
    <cellStyle name="Comma 5 4 5 2" xfId="26838" xr:uid="{F384F67A-0677-45FA-9AF7-33D86B07104C}"/>
    <cellStyle name="Comma 5 4 6" xfId="25560" xr:uid="{0DE17725-AA9C-4CDF-82AD-FF3A24A0015E}"/>
    <cellStyle name="Comma 5 4 6 2" xfId="27979" xr:uid="{07D33240-DD15-40C5-AE5C-3471AE3FBA5C}"/>
    <cellStyle name="Comma 5 4 7" xfId="25561" xr:uid="{AD41DF89-CDD1-439C-84C2-298826831F4B}"/>
    <cellStyle name="Comma 5 4 7 2" xfId="28665" xr:uid="{C5C39719-3B7B-4C41-B879-D3C15CB7949B}"/>
    <cellStyle name="Comma 5 4 8" xfId="26056" xr:uid="{A766D98A-CC35-4A68-A67C-B4CE184C6D73}"/>
    <cellStyle name="Comma 5 5" xfId="182" xr:uid="{7E2299ED-99CE-492B-A7C8-36D4AF39471C}"/>
    <cellStyle name="Comma 5 5 10" xfId="25562" xr:uid="{2DE32A06-B40F-4FDB-8D34-303D565BBE29}"/>
    <cellStyle name="Comma 5 5 10 2" xfId="28666" xr:uid="{E9130CB9-26E9-4559-8E64-C37FA6D65978}"/>
    <cellStyle name="Comma 5 5 2" xfId="183" xr:uid="{EE9A6424-4C49-4A0D-87E7-BBDF3F1CFC2A}"/>
    <cellStyle name="Comma 5 5 2 2" xfId="4001" xr:uid="{A743A286-5B94-4285-AB67-5C34E82AA096}"/>
    <cellStyle name="Comma 5 5 2 2 2" xfId="25563" xr:uid="{2F40FDB7-0ABB-4E96-9591-4C657E3C677B}"/>
    <cellStyle name="Comma 5 5 2 2 2 2" xfId="28282" xr:uid="{7304B644-61E6-4108-90FB-D5F64F8BD943}"/>
    <cellStyle name="Comma 5 5 2 2 3" xfId="25564" xr:uid="{7D4CDEB0-08D3-4945-8454-AE48AE7C1993}"/>
    <cellStyle name="Comma 5 5 2 2 3 2" xfId="28667" xr:uid="{F67C144B-BB14-44B9-993E-11371510B5C2}"/>
    <cellStyle name="Comma 5 5 2 2 4" xfId="26168" xr:uid="{CB88393B-5ADE-4465-92F9-D3175418B168}"/>
    <cellStyle name="Comma 5 5 2 3" xfId="24999" xr:uid="{84BB64F6-EC9B-4308-B4D8-4B407AEBFA5B}"/>
    <cellStyle name="Comma 5 5 2 3 2" xfId="26316" xr:uid="{20DB2A47-27C6-475B-BDA7-DE27FED38903}"/>
    <cellStyle name="Comma 5 5 2 4" xfId="25565" xr:uid="{F6ECFFF9-EFAA-4D20-A70B-D819665CD375}"/>
    <cellStyle name="Comma 5 5 2 4 2" xfId="26435" xr:uid="{4BA2A14C-E946-48D0-9AD2-C6CC109B4819}"/>
    <cellStyle name="Comma 5 5 2 5" xfId="25566" xr:uid="{401718ED-6DAC-4B1F-A70E-FD5ED0C230A9}"/>
    <cellStyle name="Comma 5 5 2 5 2" xfId="26839" xr:uid="{D512AD3F-8519-4FC1-AA88-B419C4B27BF7}"/>
    <cellStyle name="Comma 5 5 2 6" xfId="25567" xr:uid="{A9082D59-53D1-412D-B8EB-310F174E9175}"/>
    <cellStyle name="Comma 5 5 2 6 2" xfId="27981" xr:uid="{32C4E7D1-3DC3-4A37-83B4-6A0FEAD119FA}"/>
    <cellStyle name="Comma 5 5 2 7" xfId="25568" xr:uid="{2F96F05F-1D48-4530-863C-831F9CC080D9}"/>
    <cellStyle name="Comma 5 5 2 7 2" xfId="28668" xr:uid="{AC07A91E-FEE2-4A67-99AE-8B2CEC3C9AA9}"/>
    <cellStyle name="Comma 5 5 2 8" xfId="26057" xr:uid="{1E7D7CAB-520B-44AE-AE4A-6D317097C34C}"/>
    <cellStyle name="Comma 5 5 3" xfId="184" xr:uid="{E4F58B92-E00A-44B8-8E0E-268660C206D4}"/>
    <cellStyle name="Comma 5 5 3 2" xfId="4521" xr:uid="{D46344BD-407F-420F-8219-C416B1FF8AFB}"/>
    <cellStyle name="Comma 5 5 4" xfId="185" xr:uid="{4DD4858E-CC7F-4E02-A5F6-749D4C31FEB3}"/>
    <cellStyle name="Comma 5 5 4 2" xfId="186" xr:uid="{7DCDB7CC-7592-4820-8B46-1572E57726A5}"/>
    <cellStyle name="Comma 5 5 4 2 2" xfId="4523" xr:uid="{E26853F4-0601-4F18-B5D5-8799F7FBE16A}"/>
    <cellStyle name="Comma 5 5 4 3" xfId="4522" xr:uid="{45AA4CEE-D127-4293-A020-2E799E2A88E5}"/>
    <cellStyle name="Comma 5 5 5" xfId="4000" xr:uid="{F54C1528-DF2F-46C3-8862-A3132662C312}"/>
    <cellStyle name="Comma 5 5 5 2" xfId="25000" xr:uid="{CDAEFDAD-CBCD-43C3-BCE9-A3F0DA265D2B}"/>
    <cellStyle name="Comma 5 5 5 2 2" xfId="26840" xr:uid="{34397714-0CE3-4950-90AC-74C8F6D44E4A}"/>
    <cellStyle name="Comma 5 5 5 3" xfId="25569" xr:uid="{0F235448-E270-4A64-AC19-960126232331}"/>
    <cellStyle name="Comma 5 5 5 3 2" xfId="28281" xr:uid="{7B0B9181-901A-464E-A1EA-C7FEF3BB7AD0}"/>
    <cellStyle name="Comma 5 5 5 4" xfId="8193" xr:uid="{3CA666FF-459C-490C-AFC7-13CED473357D}"/>
    <cellStyle name="Comma 5 5 5 5" xfId="25570" xr:uid="{A2E05CC8-94CA-4D41-858B-EBDF16FDAC43}"/>
    <cellStyle name="Comma 5 5 5 5 2" xfId="28669" xr:uid="{A4066A81-6EC2-4944-999E-8A5940CDCCB9}"/>
    <cellStyle name="Comma 5 5 5 6" xfId="26167" xr:uid="{65AC32F7-3AC9-4069-865D-A0C04C84FC64}"/>
    <cellStyle name="Comma 5 5 6" xfId="4524" xr:uid="{51E3ADB9-9CDE-4E51-82AB-01C1DCEF49EB}"/>
    <cellStyle name="Comma 5 5 6 2" xfId="8194" xr:uid="{11D1BF22-06CD-4E8E-AB53-4F7DDCC73A13}"/>
    <cellStyle name="Comma 5 5 7" xfId="4520" xr:uid="{033499AC-EE29-423B-864B-9D6D684D487B}"/>
    <cellStyle name="Comma 5 5 7 2" xfId="26434" xr:uid="{19B277F4-A72A-4FC0-9590-9FF45801872A}"/>
    <cellStyle name="Comma 5 5 8" xfId="8195" xr:uid="{D09A4EDE-89DD-4A6F-BAC5-20021E1C5EFE}"/>
    <cellStyle name="Comma 5 5 9" xfId="25571" xr:uid="{C5D6A67C-48D4-4B3E-95A1-C50AD527BF2D}"/>
    <cellStyle name="Comma 5 5 9 2" xfId="27980" xr:uid="{C28D895A-7061-43D0-A328-43206A9AA05D}"/>
    <cellStyle name="Comma 5 6" xfId="187" xr:uid="{8DD516D1-A748-4941-9737-15FBB9909AA7}"/>
    <cellStyle name="Comma 5 6 2" xfId="25037" xr:uid="{4B47F5EF-964C-4B7D-B5B0-E05C467E408A}"/>
    <cellStyle name="Comma 5 6 2 10" xfId="26058" xr:uid="{1F7758DC-09E9-4D80-B6E0-836384CDB837}"/>
    <cellStyle name="Comma 5 6 2 2" xfId="25038" xr:uid="{CA421E10-8136-4C10-8F92-D3E87C94608E}"/>
    <cellStyle name="Comma 5 6 2 2 2" xfId="25002" xr:uid="{984F8FA5-C70A-4CDF-B2D7-3E7C7A11CDA5}"/>
    <cellStyle name="Comma 5 6 2 2 2 2" xfId="26170" xr:uid="{77F4A394-61E4-428B-8C51-6D1FA89A8D74}"/>
    <cellStyle name="Comma 5 6 2 2 3" xfId="25572" xr:uid="{60B7AD92-1808-495B-8944-AB5D49FA4363}"/>
    <cellStyle name="Comma 5 6 2 2 3 2" xfId="26318" xr:uid="{7A9067F1-BF65-4B7A-B1BC-64423D603674}"/>
    <cellStyle name="Comma 5 6 2 2 4" xfId="25573" xr:uid="{C12CEFD7-F0AD-420D-A20A-8F0CD04D26D0}"/>
    <cellStyle name="Comma 5 6 2 2 4 2" xfId="26437" xr:uid="{CD4D650D-9834-4285-A9CA-F4E0BB086B04}"/>
    <cellStyle name="Comma 5 6 2 2 5" xfId="25574" xr:uid="{231C5C35-1C65-47F2-BE5B-9681C2E75BCD}"/>
    <cellStyle name="Comma 5 6 2 2 5 2" xfId="26842" xr:uid="{208ACA11-89EA-4CCD-80DD-E41CE3A1C34D}"/>
    <cellStyle name="Comma 5 6 2 2 6" xfId="25575" xr:uid="{ABFE5AB4-721F-417D-B51F-6768DEC0DF1B}"/>
    <cellStyle name="Comma 5 6 2 2 6 2" xfId="27983" xr:uid="{2999EA19-9D64-4234-B0A2-B3F9BCFBAFED}"/>
    <cellStyle name="Comma 5 6 2 2 7" xfId="25576" xr:uid="{477AAD97-05D8-4D93-B48F-89A0B9612758}"/>
    <cellStyle name="Comma 5 6 2 2 7 2" xfId="28670" xr:uid="{59FAECB5-1A5D-4CA4-8175-4C3D73BCD321}"/>
    <cellStyle name="Comma 5 6 2 2 8" xfId="25577" xr:uid="{30810486-3C87-4E1D-BC15-7C5CBB16364C}"/>
    <cellStyle name="Comma 5 6 2 2 8 2" xfId="28671" xr:uid="{E2865FA1-C6E3-434D-AC42-BBB4E315872A}"/>
    <cellStyle name="Comma 5 6 2 2 9" xfId="26059" xr:uid="{E715618A-E77C-4C98-9911-42D466E8B268}"/>
    <cellStyle name="Comma 5 6 2 3" xfId="24894" xr:uid="{3CC251FB-8296-45DC-A2CA-EECAA620C68D}"/>
    <cellStyle name="Comma 5 6 2 3 2" xfId="25578" xr:uid="{D3368FA8-FF21-4E5F-81AD-62C36A8DDEBE}"/>
    <cellStyle name="Comma 5 6 2 3 2 2" xfId="28283" xr:uid="{AC22AE3B-7757-41B5-9687-FEE0B6D473C3}"/>
    <cellStyle name="Comma 5 6 2 3 3" xfId="25579" xr:uid="{BF24F49D-58D2-4390-93DE-249EBC93C654}"/>
    <cellStyle name="Comma 5 6 2 3 3 2" xfId="28672" xr:uid="{FA41C667-8537-4231-ACCC-AD8B35A65246}"/>
    <cellStyle name="Comma 5 6 2 3 4" xfId="26169" xr:uid="{03DC3C0D-E005-4906-A5D6-B04F92864024}"/>
    <cellStyle name="Comma 5 6 2 4" xfId="25001" xr:uid="{F5D9B00F-417D-4F1D-A747-297FDC5A1AB4}"/>
    <cellStyle name="Comma 5 6 2 4 2" xfId="26317" xr:uid="{47057494-F3B5-41BD-A45C-1903697208D3}"/>
    <cellStyle name="Comma 5 6 2 5" xfId="25580" xr:uid="{C9B6DB46-F40B-4F92-9D30-C5F9EFA68465}"/>
    <cellStyle name="Comma 5 6 2 5 2" xfId="26436" xr:uid="{D702B75D-E127-4705-8E16-99D23C9E9662}"/>
    <cellStyle name="Comma 5 6 2 6" xfId="25581" xr:uid="{52180B35-44D2-4432-A9D2-E3EC7A31B947}"/>
    <cellStyle name="Comma 5 6 2 6 2" xfId="26841" xr:uid="{5E67FEF6-8ABD-4202-9CB7-850DEDB589DE}"/>
    <cellStyle name="Comma 5 6 2 7" xfId="25582" xr:uid="{D64AB292-E1CA-4AA9-AB71-C3FE046584BF}"/>
    <cellStyle name="Comma 5 6 2 7 2" xfId="27982" xr:uid="{BF2A9A3F-FF63-4902-99E3-CBFF75EE6761}"/>
    <cellStyle name="Comma 5 6 2 8" xfId="25583" xr:uid="{5E0E8B83-34E3-4DB5-B24D-C2D53DEC0403}"/>
    <cellStyle name="Comma 5 6 2 8 2" xfId="28673" xr:uid="{9DEC721E-1965-4AB9-A860-1385D4EBA56F}"/>
    <cellStyle name="Comma 5 6 2 9" xfId="25584" xr:uid="{F3D3E6C6-16A7-4716-8EE3-DBD9FA7E5C86}"/>
    <cellStyle name="Comma 5 6 2 9 2" xfId="28674" xr:uid="{B0C47736-886E-4ABD-864C-6B3C0B6234FF}"/>
    <cellStyle name="Comma 5 6 3" xfId="188" xr:uid="{60020D12-E02D-4FEC-B9B5-D60FB1B46F4F}"/>
    <cellStyle name="Comma 5 6 3 2" xfId="4526" xr:uid="{A053E25C-CD84-4897-8089-14ABFB6521CD}"/>
    <cellStyle name="Comma 5 6 4" xfId="4525" xr:uid="{D9E91B45-B922-4628-BC33-4987CA4E7017}"/>
    <cellStyle name="Comma 5 6 4 2" xfId="25585" xr:uid="{65739E90-0408-45AF-9879-738DD61AF9A7}"/>
    <cellStyle name="Comma 5 6 4 2 2" xfId="28675" xr:uid="{1BDDAB74-9983-4D44-B79A-1868AA740511}"/>
    <cellStyle name="Comma 5 6 5" xfId="25586" xr:uid="{8F19C1F0-4D19-4CAC-9413-830236E12613}"/>
    <cellStyle name="Comma 5 6 5 2" xfId="25587" xr:uid="{920C2BB2-B279-4855-A6D2-15F5656B72C9}"/>
    <cellStyle name="Comma 5 6 5 2 2" xfId="28677" xr:uid="{5E395439-D575-434A-A490-84AA8874EAF7}"/>
    <cellStyle name="Comma 5 6 5 3" xfId="28676" xr:uid="{B76328B2-A205-4F4A-A0E4-43A4984D79AB}"/>
    <cellStyle name="Comma 5 7" xfId="189" xr:uid="{0EF793C7-2C11-4F88-AA7B-A9BA0EE0C75D}"/>
    <cellStyle name="Comma 5 7 2" xfId="190" xr:uid="{8686832E-9D34-42B0-96DC-3E95D850A525}"/>
    <cellStyle name="Comma 5 7 2 2" xfId="4528" xr:uid="{0BDE4CFB-D2A5-46E7-B00F-A1C756BEF1EF}"/>
    <cellStyle name="Comma 5 7 3" xfId="4527" xr:uid="{8D792F15-BA94-4B57-8ADE-A0F137A761D5}"/>
    <cellStyle name="Comma 5 8" xfId="25039" xr:uid="{5C018DA3-77E1-4AC0-9F7B-B3536D226017}"/>
    <cellStyle name="Comma 5 8 2" xfId="25003" xr:uid="{63D68EFC-3CC0-4C14-84D3-94E4D7B42A1C}"/>
    <cellStyle name="Comma 5 8 2 2" xfId="26171" xr:uid="{77E7F319-0386-4223-9695-AE0FAB6CE5AC}"/>
    <cellStyle name="Comma 5 8 3" xfId="25588" xr:uid="{373A9DCD-C857-4536-AB36-B72FC58B9D66}"/>
    <cellStyle name="Comma 5 8 3 2" xfId="26319" xr:uid="{625D715F-2A40-46ED-BEE9-9A0860AC9B6A}"/>
    <cellStyle name="Comma 5 8 4" xfId="25589" xr:uid="{3ED6828E-30ED-40D1-8592-753AA30EBCCF}"/>
    <cellStyle name="Comma 5 8 4 2" xfId="26438" xr:uid="{F0FD2BF1-7DA4-48BC-90FF-BF47D1C9AC58}"/>
    <cellStyle name="Comma 5 8 5" xfId="25590" xr:uid="{813F81D0-7CD3-4E14-9935-5B96E27605A2}"/>
    <cellStyle name="Comma 5 8 5 2" xfId="26843" xr:uid="{9BC30481-D099-445C-96DB-AE7C14A71969}"/>
    <cellStyle name="Comma 5 8 6" xfId="25591" xr:uid="{47E02AE5-765D-436E-BD55-88EF7ADD2897}"/>
    <cellStyle name="Comma 5 8 6 2" xfId="27984" xr:uid="{3DC8F484-7282-4FDA-9D46-12CB8CCE4494}"/>
    <cellStyle name="Comma 5 8 7" xfId="25592" xr:uid="{D155D222-CB25-46BC-97E3-8EEFA4451F02}"/>
    <cellStyle name="Comma 5 8 7 2" xfId="28678" xr:uid="{A760DF74-3AC0-415C-9EAF-0FC32508EB63}"/>
    <cellStyle name="Comma 5 8 8" xfId="25593" xr:uid="{9C229B24-0F53-4372-AFEE-30848A77C428}"/>
    <cellStyle name="Comma 5 8 8 2" xfId="28679" xr:uid="{DA26DF03-208E-4B1D-BE93-70E2AE7166EF}"/>
    <cellStyle name="Comma 5 8 9" xfId="26060" xr:uid="{D99D936B-70C8-4CE4-84F6-1E7E67888361}"/>
    <cellStyle name="Comma 5 9" xfId="25040" xr:uid="{952CF382-DCEA-4DF8-BE46-451FEA6D9441}"/>
    <cellStyle name="Comma 5 9 2" xfId="25004" xr:uid="{0583DB31-231F-4498-BC32-FCFC84523A53}"/>
    <cellStyle name="Comma 5 9 2 2" xfId="26844" xr:uid="{528D21B0-1179-4FFE-9D6C-BF289D7F5DAA}"/>
    <cellStyle name="Comma 5 9 3" xfId="25594" xr:uid="{25825DDA-D3DB-4DA4-9C83-64C6AC07A499}"/>
    <cellStyle name="Comma 5 9 3 2" xfId="28273" xr:uid="{93ADEB84-3896-46EA-97F3-149577E7A54E}"/>
    <cellStyle name="Comma 5 9 4" xfId="25595" xr:uid="{E9A0CF02-B75D-4969-B2E1-905BAE09CF42}"/>
    <cellStyle name="Comma 5 9 4 2" xfId="28680" xr:uid="{F84CFE74-4B79-4EF1-9778-EA39485A2F19}"/>
    <cellStyle name="Comma 5 9 5" xfId="25596" xr:uid="{3AC1AE7C-E827-4101-B2A7-CCEC127B2023}"/>
    <cellStyle name="Comma 5 9 5 2" xfId="28681" xr:uid="{9958BF81-9BFF-484C-84C7-B4825A389C82}"/>
    <cellStyle name="Comma 5 9 6" xfId="26158" xr:uid="{DCA8F1BB-A3C0-47B7-8492-15019E456E0C}"/>
    <cellStyle name="Comma 6" xfId="24858" xr:uid="{84FF1BFC-A2F4-4B60-95D1-BA76AB3FC6F4}"/>
    <cellStyle name="Comma 6 10" xfId="8196" xr:uid="{4DBEC275-2E87-4B25-84D6-5A68D8CA888B}"/>
    <cellStyle name="Comma 6 10 2" xfId="28682" xr:uid="{4C825A40-57C7-445B-A8AF-C1AAA8539F01}"/>
    <cellStyle name="Comma 6 11" xfId="25968" xr:uid="{5A02ED1B-8819-4E2B-942D-BB0F6AE37CAA}"/>
    <cellStyle name="Comma 6 2" xfId="25034" xr:uid="{A7AD304D-89CD-4380-A2C3-80772FCEAE13}"/>
    <cellStyle name="Comma 6 2 2" xfId="24895" xr:uid="{47100DF3-93EA-4984-9B31-EFD4B09FEBCC}"/>
    <cellStyle name="Comma 6 2 2 2" xfId="25597" xr:uid="{B7532B63-70A9-4B03-89C3-3F34BD02F979}"/>
    <cellStyle name="Comma 6 2 2 2 2" xfId="28285" xr:uid="{5848E480-E8B1-4323-AC8D-73FE58D458B4}"/>
    <cellStyle name="Comma 6 2 2 3" xfId="25598" xr:uid="{8E9AF906-D8B1-4F0A-B970-CCC4776E5E4A}"/>
    <cellStyle name="Comma 6 2 2 3 2" xfId="28683" xr:uid="{1ED5744A-7BA5-407E-9AB4-0825F43D31FA}"/>
    <cellStyle name="Comma 6 2 2 4" xfId="26173" xr:uid="{A3A1A4C7-1164-4776-95BF-D7F7518D949B}"/>
    <cellStyle name="Comma 6 2 3" xfId="24911" xr:uid="{91DB9DC8-5184-4B48-952B-81F57D89CD5D}"/>
    <cellStyle name="Comma 6 2 3 2" xfId="26320" xr:uid="{D55C577D-59BA-44E3-8FE9-69FD7391C2A4}"/>
    <cellStyle name="Comma 6 2 4" xfId="25599" xr:uid="{01D30834-604B-4681-B9F1-9317885390BC}"/>
    <cellStyle name="Comma 6 2 4 2" xfId="26440" xr:uid="{4FC4F4BF-CBE5-45CC-B5D7-B610E7880EB6}"/>
    <cellStyle name="Comma 6 2 5" xfId="25600" xr:uid="{4AF06DBF-ED6B-4A52-B010-F51A37BE1E2F}"/>
    <cellStyle name="Comma 6 2 5 2" xfId="26485" xr:uid="{EC71D55D-AAFA-4975-A1B8-B3C13E5C78C5}"/>
    <cellStyle name="Comma 6 2 6" xfId="25601" xr:uid="{30A77118-00F9-4E39-84AE-4A6ECBF3AAC4}"/>
    <cellStyle name="Comma 6 2 6 2" xfId="27986" xr:uid="{9CC9E95E-9074-4451-91D5-0FB538FA74D7}"/>
    <cellStyle name="Comma 6 2 7" xfId="25602" xr:uid="{97D089EA-9C90-4949-B7C9-3EC790882C99}"/>
    <cellStyle name="Comma 6 2 7 2" xfId="28684" xr:uid="{BBB93148-0367-4B9B-8C22-FE57E88FCBE1}"/>
    <cellStyle name="Comma 6 2 8" xfId="26061" xr:uid="{648C6942-34DD-4585-8225-7497D7314B80}"/>
    <cellStyle name="Comma 6 3" xfId="191" xr:uid="{70D57E3F-6803-45AD-9813-F4C0CA3B53E0}"/>
    <cellStyle name="Comma 6 3 2" xfId="192" xr:uid="{4231BA1C-7176-4C3F-9A40-276910A229E2}"/>
    <cellStyle name="Comma 6 3 2 2" xfId="4003" xr:uid="{6F06BDD8-0DD5-442B-8785-3237E3212045}"/>
    <cellStyle name="Comma 6 3 2 2 2" xfId="25603" xr:uid="{05E724AE-C9C2-4C18-9391-02C530475A75}"/>
    <cellStyle name="Comma 6 3 2 2 2 2" xfId="28287" xr:uid="{F9EEABB0-871A-4112-8843-CA7CCCE2BBDA}"/>
    <cellStyle name="Comma 6 3 2 2 3" xfId="25604" xr:uid="{923610CA-7532-4859-9BE8-0310E276D61D}"/>
    <cellStyle name="Comma 6 3 2 2 3 2" xfId="28685" xr:uid="{0B652909-37DF-442C-B4BF-6D696316D660}"/>
    <cellStyle name="Comma 6 3 2 2 4" xfId="26175" xr:uid="{DAF752E5-D48D-4D5B-8CFD-144004993736}"/>
    <cellStyle name="Comma 6 3 2 3" xfId="25006" xr:uid="{A9EE5AC8-9AD5-4CF9-819D-04C057EB4D5B}"/>
    <cellStyle name="Comma 6 3 2 3 2" xfId="26322" xr:uid="{B407D3A8-574E-4431-8E5B-F6258B74BCD4}"/>
    <cellStyle name="Comma 6 3 2 4" xfId="25605" xr:uid="{83D67E8F-1A4C-486F-9B8A-FDAFD4A5358A}"/>
    <cellStyle name="Comma 6 3 2 4 2" xfId="26442" xr:uid="{A906CFD4-FDB1-4814-887E-F605056B9C65}"/>
    <cellStyle name="Comma 6 3 2 5" xfId="25606" xr:uid="{116B441D-F0BD-44D8-99CA-B0ECF1E3046C}"/>
    <cellStyle name="Comma 6 3 2 5 2" xfId="26846" xr:uid="{2959BB51-A4C9-4B35-A7EC-66E843DD7981}"/>
    <cellStyle name="Comma 6 3 2 6" xfId="25607" xr:uid="{06A9DE8E-FE38-4BA4-84BE-5D3B7312ABBB}"/>
    <cellStyle name="Comma 6 3 2 6 2" xfId="27988" xr:uid="{29742CB0-902B-4711-AD2A-833170A2A483}"/>
    <cellStyle name="Comma 6 3 2 7" xfId="25608" xr:uid="{8AB660A2-43B6-46F7-9130-6F148F43F2C4}"/>
    <cellStyle name="Comma 6 3 2 7 2" xfId="28686" xr:uid="{3FA3449E-3E47-4577-BB75-73BB35FC6F20}"/>
    <cellStyle name="Comma 6 3 2 8" xfId="26063" xr:uid="{4E92EEA7-11A4-4F69-B50A-6761CF0B37EC}"/>
    <cellStyle name="Comma 6 3 3" xfId="4002" xr:uid="{715043C8-A0F4-4E9D-B998-394E4D812F4E}"/>
    <cellStyle name="Comma 6 3 3 2" xfId="24880" xr:uid="{DDFF2BFD-797F-4483-A3E1-7A1696C9DBCC}"/>
    <cellStyle name="Comma 6 3 3 2 2" xfId="26848" xr:uid="{DE0F728C-FEFB-4EE7-A7B3-4B3800BBD385}"/>
    <cellStyle name="Comma 6 3 3 3" xfId="25007" xr:uid="{8E466DD0-F2BB-45DA-8C7F-0F42DCA9577C}"/>
    <cellStyle name="Comma 6 3 3 3 2" xfId="26847" xr:uid="{BEA800E6-847F-4B93-B891-4E2906DB0C74}"/>
    <cellStyle name="Comma 6 3 3 4" xfId="25609" xr:uid="{55FA8C03-34A5-46B5-A2F9-663FD3141B04}"/>
    <cellStyle name="Comma 6 3 3 4 2" xfId="28286" xr:uid="{A37CB736-C700-489A-96A2-55094DC88D26}"/>
    <cellStyle name="Comma 6 3 3 5" xfId="25610" xr:uid="{9EDEF95A-3620-4B37-AAA0-C2B4C44F4837}"/>
    <cellStyle name="Comma 6 3 3 5 2" xfId="28687" xr:uid="{B7D1E12F-9C80-4388-B3B2-0BF382962F0C}"/>
    <cellStyle name="Comma 6 3 3 6" xfId="26174" xr:uid="{36C11AE5-A73C-45A2-95E6-E0B22B587FF8}"/>
    <cellStyle name="Comma 6 3 4" xfId="25005" xr:uid="{C320953C-9D8A-4107-9375-51B529EE1D5D}"/>
    <cellStyle name="Comma 6 3 4 2" xfId="26321" xr:uid="{5B83936B-BAC4-47B1-86DA-0A137BBD4299}"/>
    <cellStyle name="Comma 6 3 5" xfId="25611" xr:uid="{E5D72D4A-2F57-4F5A-BE03-F15E67A98B70}"/>
    <cellStyle name="Comma 6 3 5 2" xfId="26441" xr:uid="{07076115-A6A9-42E5-9EF2-6C4F6ED3CF6E}"/>
    <cellStyle name="Comma 6 3 6" xfId="25612" xr:uid="{0848293E-8D9F-4076-8641-2517227D7D7A}"/>
    <cellStyle name="Comma 6 3 6 2" xfId="26845" xr:uid="{36FEC8A8-D98B-4236-B021-079518906C99}"/>
    <cellStyle name="Comma 6 3 7" xfId="25613" xr:uid="{13469596-F526-4877-A698-BE7EE3441442}"/>
    <cellStyle name="Comma 6 3 7 2" xfId="27987" xr:uid="{CD3F0E13-32B7-4152-85B9-786C22B6E7DF}"/>
    <cellStyle name="Comma 6 3 8" xfId="25614" xr:uid="{3BE77DAD-1D36-467B-91D9-1CCE9E225C38}"/>
    <cellStyle name="Comma 6 3 8 2" xfId="28688" xr:uid="{608E7882-7BCE-4DCA-89F3-8D90546D82BD}"/>
    <cellStyle name="Comma 6 3 9" xfId="26062" xr:uid="{E1B94C83-8B1A-424E-B0A8-9A91D0D0A053}"/>
    <cellStyle name="Comma 6 4" xfId="193" xr:uid="{E3E2B383-958B-44DF-AF54-7E4663B42FF6}"/>
    <cellStyle name="Comma 6 4 2" xfId="4004" xr:uid="{C11B9B7B-01FB-436D-98DF-A800270B63A7}"/>
    <cellStyle name="Comma 6 4 2 2" xfId="25615" xr:uid="{1A5E12B0-E51E-4BC7-BCA7-623FBFF855FA}"/>
    <cellStyle name="Comma 6 4 2 2 2" xfId="28288" xr:uid="{7489EEAF-683D-404C-81B0-CB50655A08B8}"/>
    <cellStyle name="Comma 6 4 2 3" xfId="25616" xr:uid="{85B80675-94F7-420A-B45F-CC93D726445D}"/>
    <cellStyle name="Comma 6 4 2 3 2" xfId="28689" xr:uid="{84E887E1-2BF1-468C-B57B-5BF7F489B0AF}"/>
    <cellStyle name="Comma 6 4 2 4" xfId="26176" xr:uid="{D421D9C2-50A5-4E59-A09F-83FCEE551809}"/>
    <cellStyle name="Comma 6 4 3" xfId="25008" xr:uid="{5F14AD61-CF6A-46FF-AB42-E313D576BEBF}"/>
    <cellStyle name="Comma 6 4 3 2" xfId="26323" xr:uid="{A5A9EF59-13F3-4770-8298-3EA161369218}"/>
    <cellStyle name="Comma 6 4 4" xfId="25617" xr:uid="{6FC4E042-1E87-4FA4-9F44-20F46176472E}"/>
    <cellStyle name="Comma 6 4 4 2" xfId="26443" xr:uid="{CEA83D29-8A8E-43CD-8174-406F866FFD9A}"/>
    <cellStyle name="Comma 6 4 5" xfId="25618" xr:uid="{2C4A3400-B8A0-48E0-8A4A-ABA92D5C122A}"/>
    <cellStyle name="Comma 6 4 5 2" xfId="26849" xr:uid="{CEB16AC9-1524-43A8-B5BA-0D0A40D256D6}"/>
    <cellStyle name="Comma 6 4 6" xfId="25619" xr:uid="{7AC95ED4-920F-4336-8F7F-28F6932F4CCB}"/>
    <cellStyle name="Comma 6 4 6 2" xfId="27989" xr:uid="{A3F53F94-16BE-4EE0-80D4-020DCCBA9EB5}"/>
    <cellStyle name="Comma 6 4 7" xfId="25620" xr:uid="{E7869746-58B9-495A-A012-104A1C223B96}"/>
    <cellStyle name="Comma 6 4 7 2" xfId="28690" xr:uid="{FE271EA4-947D-4F2F-84D8-79A5109F0DF3}"/>
    <cellStyle name="Comma 6 4 8" xfId="26064" xr:uid="{C43FA5E4-7F23-45A0-BD5F-4432DB7EDD8D}"/>
    <cellStyle name="Comma 6 5" xfId="25041" xr:uid="{671B8978-3B01-4483-88CE-877E811175E4}"/>
    <cellStyle name="Comma 6 5 2" xfId="25009" xr:uid="{03A05417-A976-4407-9D7C-BA6A268E33B1}"/>
    <cellStyle name="Comma 6 5 2 2" xfId="26850" xr:uid="{97121914-36E0-4EA1-BBD2-F01B5C4D79F0}"/>
    <cellStyle name="Comma 6 5 3" xfId="25621" xr:uid="{19EAADA7-1295-48AA-A557-F71FCC800716}"/>
    <cellStyle name="Comma 6 5 3 2" xfId="28284" xr:uid="{828A2DD7-63BF-4E80-B767-D874A6B52547}"/>
    <cellStyle name="Comma 6 5 4" xfId="25622" xr:uid="{3808AF69-D87B-4A21-AB02-0A7BDE1E6257}"/>
    <cellStyle name="Comma 6 5 4 2" xfId="28691" xr:uid="{BC87D02D-9052-4993-83D0-F3B38D111B2F}"/>
    <cellStyle name="Comma 6 5 5" xfId="26172" xr:uid="{948E2083-53FC-498C-97B6-2D79E4B0C1F3}"/>
    <cellStyle name="Comma 6 6" xfId="4529" xr:uid="{0E6D34FC-5C1A-4614-94B2-D1F06305D748}"/>
    <cellStyle name="Comma 6 6 2" xfId="8197" xr:uid="{74B5D182-DC29-4DB7-B112-FE9FC8E10D00}"/>
    <cellStyle name="Comma 6 7" xfId="24910" xr:uid="{8FEBBAF8-4620-4149-BE0D-5E18A6C0BD9E}"/>
    <cellStyle name="Comma 6 7 2" xfId="26439" xr:uid="{EF960D36-184D-49BC-BB85-0D7DD1B95CC0}"/>
    <cellStyle name="Comma 6 8" xfId="8198" xr:uid="{A9E38D20-9EC4-491A-9D03-CEF7D5D314D3}"/>
    <cellStyle name="Comma 6 8 2" xfId="26484" xr:uid="{313A41C6-7D47-44F3-B906-A05485F9C29A}"/>
    <cellStyle name="Comma 6 9" xfId="25623" xr:uid="{11773FE1-F784-4971-847B-32BB36F323C2}"/>
    <cellStyle name="Comma 6 9 2" xfId="27985" xr:uid="{2109688C-93C7-4FBA-8C00-909420A2F92C}"/>
    <cellStyle name="Comma 7" xfId="194" xr:uid="{5EC5121A-CD54-4CB9-9FA2-63F0188709F3}"/>
    <cellStyle name="Comma 7 10" xfId="25624" xr:uid="{5CCBF3E3-6CDB-49B3-83D1-56415840B451}"/>
    <cellStyle name="Comma 7 10 2" xfId="28692" xr:uid="{57EC80B9-0685-465C-9485-CBDB3E6B5E35}"/>
    <cellStyle name="Comma 7 11" xfId="25975" xr:uid="{AD6D73FA-E55E-4B77-A30C-FA9C427193AB}"/>
    <cellStyle name="Comma 7 2" xfId="195" xr:uid="{C1F75419-33C5-4A6D-B1C1-7689AA670025}"/>
    <cellStyle name="Comma 7 2 2" xfId="4006" xr:uid="{76CF610A-935E-4EC1-AFBC-354ACD4743C4}"/>
    <cellStyle name="Comma 7 2 2 2" xfId="25625" xr:uid="{966E0E3B-E328-417E-8DE3-2E3B60320930}"/>
    <cellStyle name="Comma 7 2 2 2 2" xfId="28290" xr:uid="{5D2F3F8F-54FE-4766-BD07-31CC84F67E04}"/>
    <cellStyle name="Comma 7 2 2 3" xfId="25626" xr:uid="{44395C1C-0005-4259-978E-771071EEB390}"/>
    <cellStyle name="Comma 7 2 2 3 2" xfId="28693" xr:uid="{3173F2BC-DE9C-44AF-9822-4D843510E8D0}"/>
    <cellStyle name="Comma 7 2 2 4" xfId="26178" xr:uid="{94A1B338-9002-4B7A-B5A2-C9C532D26CB5}"/>
    <cellStyle name="Comma 7 2 3" xfId="25011" xr:uid="{AD6EB770-3886-49F6-B23A-93C1B3333331}"/>
    <cellStyle name="Comma 7 2 3 2" xfId="26325" xr:uid="{DA3606DB-6196-4E73-8C9D-3BE7560BA69A}"/>
    <cellStyle name="Comma 7 2 4" xfId="25627" xr:uid="{6815E181-2BDD-45A0-9C37-63691B6B1918}"/>
    <cellStyle name="Comma 7 2 4 2" xfId="26445" xr:uid="{CA22CD74-75F4-4414-964C-EEC66459DFE8}"/>
    <cellStyle name="Comma 7 2 5" xfId="25628" xr:uid="{B5F5C409-4E6D-41BD-B2E8-390E982A3682}"/>
    <cellStyle name="Comma 7 2 5 2" xfId="26852" xr:uid="{E0A81638-FBF7-4D9A-B2C5-A4AEAFBDC6A2}"/>
    <cellStyle name="Comma 7 2 6" xfId="25629" xr:uid="{9CADCCFB-51DD-4E2C-B6E7-EC5CE9AE0D4D}"/>
    <cellStyle name="Comma 7 2 6 2" xfId="27991" xr:uid="{97CE39F4-76DD-45A9-8C93-5F172701BC81}"/>
    <cellStyle name="Comma 7 2 7" xfId="25630" xr:uid="{2A93525D-77AE-4B7C-B20D-37796631F50B}"/>
    <cellStyle name="Comma 7 2 7 2" xfId="28694" xr:uid="{820ECFAB-7616-494B-98C2-60D7BCF04709}"/>
    <cellStyle name="Comma 7 2 8" xfId="26065" xr:uid="{A7B5933B-BB8B-4EB4-B401-B606E436B736}"/>
    <cellStyle name="Comma 7 3" xfId="196" xr:uid="{E0FF7042-7426-4889-AABA-F9D2E516DA14}"/>
    <cellStyle name="Comma 7 3 2" xfId="197" xr:uid="{2AA1D654-DF43-4DA3-AA60-568EDF8D3019}"/>
    <cellStyle name="Comma 7 3 2 2" xfId="4008" xr:uid="{5856CA18-BCF6-450F-9C77-5AE824581C4F}"/>
    <cellStyle name="Comma 7 3 2 2 2" xfId="25631" xr:uid="{D6A18344-9505-4746-BE9C-5C7C60AC826D}"/>
    <cellStyle name="Comma 7 3 2 2 2 2" xfId="28292" xr:uid="{86325206-586E-4FF4-8975-6200096947E8}"/>
    <cellStyle name="Comma 7 3 2 2 3" xfId="25632" xr:uid="{877FF44F-E2CA-4FBC-871E-5CC6E4D16842}"/>
    <cellStyle name="Comma 7 3 2 2 3 2" xfId="28695" xr:uid="{1A74D536-155E-4E3E-B497-E08DD35B4259}"/>
    <cellStyle name="Comma 7 3 2 2 4" xfId="26180" xr:uid="{43234DF8-3E97-474D-8E27-0D1B78C865FF}"/>
    <cellStyle name="Comma 7 3 2 3" xfId="25013" xr:uid="{54DA1180-608D-4639-BB62-717385581959}"/>
    <cellStyle name="Comma 7 3 2 3 2" xfId="26327" xr:uid="{46382952-0488-405B-8127-FCDDE572DA3C}"/>
    <cellStyle name="Comma 7 3 2 4" xfId="25633" xr:uid="{FE378154-7A53-46B7-9BA6-B090AE0B600B}"/>
    <cellStyle name="Comma 7 3 2 4 2" xfId="26447" xr:uid="{7165BC33-675F-4815-A6B8-5D973F385A5D}"/>
    <cellStyle name="Comma 7 3 2 5" xfId="25634" xr:uid="{02A7A0D2-0483-4116-8BD6-65375F692495}"/>
    <cellStyle name="Comma 7 3 2 5 2" xfId="26854" xr:uid="{A65ED887-3B75-47E8-B60E-29487363C38F}"/>
    <cellStyle name="Comma 7 3 2 6" xfId="25635" xr:uid="{AB3CB9DB-31F3-4185-BC6A-EC880E36BD51}"/>
    <cellStyle name="Comma 7 3 2 6 2" xfId="27993" xr:uid="{D878D792-B0DE-49A7-AE9D-A884B7152815}"/>
    <cellStyle name="Comma 7 3 2 7" xfId="25636" xr:uid="{8EB0BEE7-1ECB-41DA-84F8-CE185AF47208}"/>
    <cellStyle name="Comma 7 3 2 7 2" xfId="28696" xr:uid="{F90B58CD-F41F-4260-B163-BC605BEE8BF7}"/>
    <cellStyle name="Comma 7 3 2 8" xfId="26067" xr:uid="{89B4B58F-FAB4-465D-AB77-0B1FDD5A6EA4}"/>
    <cellStyle name="Comma 7 3 3" xfId="4007" xr:uid="{50408AA2-5C76-4463-8A89-3D538F3099E6}"/>
    <cellStyle name="Comma 7 3 3 2" xfId="25014" xr:uid="{6C71AB1C-D2E1-4782-92DF-E4D3EACF1111}"/>
    <cellStyle name="Comma 7 3 3 2 2" xfId="26855" xr:uid="{3C0A740D-CB79-4219-8245-A269333C5E78}"/>
    <cellStyle name="Comma 7 3 3 3" xfId="25637" xr:uid="{943F53C4-F916-4569-967D-16953798D037}"/>
    <cellStyle name="Comma 7 3 3 3 2" xfId="28291" xr:uid="{1D02A404-8CA6-4868-A3FD-2D867B5A732F}"/>
    <cellStyle name="Comma 7 3 3 4" xfId="25638" xr:uid="{A748522A-1FAE-4C9D-9742-86D7FE601D84}"/>
    <cellStyle name="Comma 7 3 3 4 2" xfId="28697" xr:uid="{ED55CB55-D0DC-4EEA-9229-7E688BFECFDF}"/>
    <cellStyle name="Comma 7 3 3 5" xfId="26179" xr:uid="{E105A636-F9C1-46A2-9F5C-EC35EA8AA6BF}"/>
    <cellStyle name="Comma 7 3 4" xfId="24881" xr:uid="{9BACCDDF-66DC-4529-985E-DC1910AA08AE}"/>
    <cellStyle name="Comma 7 3 4 2" xfId="25639" xr:uid="{2410BDB2-3100-4F68-B0A5-5912D687C90E}"/>
    <cellStyle name="Comma 7 3 4 2 2" xfId="26856" xr:uid="{F02D993C-9DAB-4E02-8DA0-2A6E21469274}"/>
    <cellStyle name="Comma 7 3 4 3" xfId="26326" xr:uid="{CB046B07-B18D-4C8A-B634-AE32EB388935}"/>
    <cellStyle name="Comma 7 3 5" xfId="25012" xr:uid="{3338A4B8-FF03-4C06-88DE-140A77CBFCF3}"/>
    <cellStyle name="Comma 7 3 5 2" xfId="26446" xr:uid="{9A783315-58CA-47AD-8C05-C2D8FCDB27B5}"/>
    <cellStyle name="Comma 7 3 6" xfId="25640" xr:uid="{9A86C00F-3689-4D3A-B415-D44356C5E0D6}"/>
    <cellStyle name="Comma 7 3 6 2" xfId="26853" xr:uid="{B1AD17BA-9B04-49FF-9AAE-311ABD7DDDD0}"/>
    <cellStyle name="Comma 7 3 7" xfId="25641" xr:uid="{5AD0B373-7843-4FFC-8ACB-5396C89EAEA7}"/>
    <cellStyle name="Comma 7 3 7 2" xfId="27992" xr:uid="{A7524558-823D-4273-A260-2B0B9F459C41}"/>
    <cellStyle name="Comma 7 3 8" xfId="25642" xr:uid="{117E15EC-1658-44A2-8318-C7C3FF148550}"/>
    <cellStyle name="Comma 7 3 8 2" xfId="28698" xr:uid="{D7B22F51-03F1-4816-8BEC-138840619575}"/>
    <cellStyle name="Comma 7 3 9" xfId="26066" xr:uid="{8A03A6F4-E958-41C3-9DB2-26EFFA968C65}"/>
    <cellStyle name="Comma 7 4" xfId="198" xr:uid="{5F1DDF8F-C59A-4B58-9D77-E4C7F1D9A5C9}"/>
    <cellStyle name="Comma 7 4 2" xfId="199" xr:uid="{141402FD-4824-4F47-B710-6DEDB50DE01A}"/>
    <cellStyle name="Comma 7 4 2 2" xfId="25016" xr:uid="{BBA5DFCB-7291-48C6-9AF5-010C53F254D2}"/>
    <cellStyle name="Comma 7 4 2 2 2" xfId="26182" xr:uid="{419272EA-7B28-4F25-B854-0CE1E268BFE8}"/>
    <cellStyle name="Comma 7 4 2 3" xfId="25643" xr:uid="{ADFD6062-02A5-4DD0-B812-CBB461921F95}"/>
    <cellStyle name="Comma 7 4 2 3 2" xfId="26329" xr:uid="{D302A361-9732-4FC3-9C96-FE71C46B130B}"/>
    <cellStyle name="Comma 7 4 2 4" xfId="25644" xr:uid="{637AE077-10D7-4236-921E-CA2134FC2C11}"/>
    <cellStyle name="Comma 7 4 2 4 2" xfId="26449" xr:uid="{43251CFE-7DF7-4C10-8C02-52F2275F8D9D}"/>
    <cellStyle name="Comma 7 4 2 5" xfId="25645" xr:uid="{F938B0C0-B1C3-4B9E-B661-F9DDDCBB25CB}"/>
    <cellStyle name="Comma 7 4 2 5 2" xfId="26858" xr:uid="{5BBC9E33-AA7F-4E5B-AD72-B520C3410748}"/>
    <cellStyle name="Comma 7 4 2 6" xfId="25646" xr:uid="{43FC915E-437F-4E59-A2BC-8FEF5BFB1E3E}"/>
    <cellStyle name="Comma 7 4 2 6 2" xfId="27995" xr:uid="{A52B90F2-17AD-444C-8BE6-0DB6546F0F97}"/>
    <cellStyle name="Comma 7 4 2 7" xfId="25647" xr:uid="{B9A71C4C-4E24-4A18-B6AB-8EAD74604C40}"/>
    <cellStyle name="Comma 7 4 2 7 2" xfId="28699" xr:uid="{AD42297C-539C-42DE-BF96-892EA7CD44C9}"/>
    <cellStyle name="Comma 7 4 2 8" xfId="26069" xr:uid="{4E738781-F272-4F2A-84A4-AE892CB59A83}"/>
    <cellStyle name="Comma 7 4 3" xfId="4009" xr:uid="{51F44F7A-B0A3-4FB3-9687-DE86B8C90178}"/>
    <cellStyle name="Comma 7 4 3 2" xfId="25648" xr:uid="{A7465180-97D6-4905-A48F-EBA865029EE0}"/>
    <cellStyle name="Comma 7 4 3 2 2" xfId="28293" xr:uid="{AE336EC8-3295-4113-AE91-649EC50E5C77}"/>
    <cellStyle name="Comma 7 4 3 3" xfId="25649" xr:uid="{394BB723-D33E-4321-A44B-A3BCB5AE2EE4}"/>
    <cellStyle name="Comma 7 4 3 3 2" xfId="28700" xr:uid="{48A11074-0338-40B0-B2B7-143E772DBDFC}"/>
    <cellStyle name="Comma 7 4 3 4" xfId="26181" xr:uid="{4790A6B5-AA28-4218-9F4C-9325E89AC886}"/>
    <cellStyle name="Comma 7 4 4" xfId="25015" xr:uid="{EAE5CDD2-7274-4F88-B481-6077A05337A9}"/>
    <cellStyle name="Comma 7 4 4 2" xfId="26328" xr:uid="{E20F4515-3C3E-4FF4-871B-09F2B16991F8}"/>
    <cellStyle name="Comma 7 4 5" xfId="25650" xr:uid="{DD6974F0-5FB9-4BA5-A0B2-197280C63EC6}"/>
    <cellStyle name="Comma 7 4 5 2" xfId="26448" xr:uid="{788FAA1C-F4AD-40C7-8B88-BE2705F174A8}"/>
    <cellStyle name="Comma 7 4 6" xfId="25651" xr:uid="{7934DD14-1C34-432C-9E1D-BF20EB82B3C4}"/>
    <cellStyle name="Comma 7 4 6 2" xfId="26857" xr:uid="{DF93F851-A8E8-410D-B873-AB6030A098AA}"/>
    <cellStyle name="Comma 7 4 7" xfId="25652" xr:uid="{DEEEBB85-C564-4F74-9EBA-CCC02A7B8AFC}"/>
    <cellStyle name="Comma 7 4 7 2" xfId="27994" xr:uid="{2E9AB84D-904B-43DE-80F1-0B1AACF94B3D}"/>
    <cellStyle name="Comma 7 4 8" xfId="25653" xr:uid="{0FA9E9C3-3870-4EEC-BE75-5243E05F0F59}"/>
    <cellStyle name="Comma 7 4 8 2" xfId="28701" xr:uid="{378892F8-BDB8-4476-BE55-CE01080D2983}"/>
    <cellStyle name="Comma 7 4 9" xfId="26068" xr:uid="{2A78C6D2-6CD4-4F16-854F-908E686195B9}"/>
    <cellStyle name="Comma 7 5" xfId="4005" xr:uid="{7DAF9DC3-7172-484F-9642-8A3C71438D4D}"/>
    <cellStyle name="Comma 7 5 2" xfId="25017" xr:uid="{162800BB-97E0-4460-BAD2-CA51872C37AF}"/>
    <cellStyle name="Comma 7 5 2 2" xfId="26859" xr:uid="{C17C066B-EC25-4817-B9E9-1C2CF1D01D56}"/>
    <cellStyle name="Comma 7 5 3" xfId="25654" xr:uid="{621F0F27-E0E5-4F4E-9E27-80342F7DF7AA}"/>
    <cellStyle name="Comma 7 5 3 2" xfId="28289" xr:uid="{A9EE1DAB-B26F-4A8D-A456-9138DAE8835A}"/>
    <cellStyle name="Comma 7 5 4" xfId="25655" xr:uid="{DE5DCC4C-E21E-4D55-8E55-589D1CC23C36}"/>
    <cellStyle name="Comma 7 5 4 2" xfId="28702" xr:uid="{F877E80C-4CCA-4BE5-8B13-A036D7EA883D}"/>
    <cellStyle name="Comma 7 5 5" xfId="26177" xr:uid="{DAF04A0B-0189-4E48-9762-42D8FFFAC963}"/>
    <cellStyle name="Comma 7 6" xfId="24882" xr:uid="{1FD70DC3-A113-4E66-956B-EC3F3C1CD077}"/>
    <cellStyle name="Comma 7 6 2" xfId="25656" xr:uid="{76461C96-E689-4A76-AC66-C4B6A5152F4B}"/>
    <cellStyle name="Comma 7 6 2 2" xfId="26860" xr:uid="{5710E268-DD0A-4EAB-B7A4-2D5EE96B3C5E}"/>
    <cellStyle name="Comma 7 6 3" xfId="26324" xr:uid="{FCD3B658-B3BD-440A-98A4-046BEB0A130F}"/>
    <cellStyle name="Comma 7 7" xfId="25010" xr:uid="{A3CA7FFA-DC7D-4B56-95A1-914427096383}"/>
    <cellStyle name="Comma 7 7 2" xfId="26444" xr:uid="{FA82E507-1BB5-4449-875E-8F79CA679284}"/>
    <cellStyle name="Comma 7 8" xfId="25657" xr:uid="{6850EAAF-1754-42FA-BA15-A8C10656D6CC}"/>
    <cellStyle name="Comma 7 8 2" xfId="26851" xr:uid="{E8F84F12-F9C4-49B0-A49F-F66E03676958}"/>
    <cellStyle name="Comma 7 9" xfId="25658" xr:uid="{49554649-7447-4467-A8DE-F6B063C8BAB0}"/>
    <cellStyle name="Comma 7 9 2" xfId="27990" xr:uid="{3C6AAF4D-F05F-4F50-A7D8-1AEA4A777CE9}"/>
    <cellStyle name="Comma 8" xfId="200" xr:uid="{FFBE3BE1-86A1-4D8C-A6B3-106D4A2145C3}"/>
    <cellStyle name="Comma 8 10" xfId="25659" xr:uid="{CDD39B4C-E886-408B-AC8E-40841AC2A15A}"/>
    <cellStyle name="Comma 8 10 2" xfId="27996" xr:uid="{3C6B914F-5920-4768-BEB9-95222286C76E}"/>
    <cellStyle name="Comma 8 11" xfId="25660" xr:uid="{58A1A098-7D4F-4CC0-BE95-96EBDF93172A}"/>
    <cellStyle name="Comma 8 11 2" xfId="28703" xr:uid="{F258F098-3852-4DA1-B2CC-7EBE1523336B}"/>
    <cellStyle name="Comma 8 12" xfId="26070" xr:uid="{56410E63-8078-4888-A8F8-424EE7D35005}"/>
    <cellStyle name="Comma 8 2" xfId="201" xr:uid="{CE9E6A41-39C0-4160-B4BF-1A710A7F0850}"/>
    <cellStyle name="Comma 8 2 2" xfId="202" xr:uid="{E513B88D-75DD-48AB-B421-D1C3B7B02492}"/>
    <cellStyle name="Comma 8 2 2 2" xfId="4012" xr:uid="{17AF5180-5DEF-412A-841E-E4F586323FCC}"/>
    <cellStyle name="Comma 8 2 2 2 2" xfId="25661" xr:uid="{B381E061-5E1D-4F6F-8D9D-A56F6FD8C804}"/>
    <cellStyle name="Comma 8 2 2 2 2 2" xfId="28296" xr:uid="{5A266110-686B-4FAD-97DE-5FA9F0B8BCB9}"/>
    <cellStyle name="Comma 8 2 2 2 3" xfId="25662" xr:uid="{A0CA44C1-DA34-4DFE-933E-DD6EF17489C3}"/>
    <cellStyle name="Comma 8 2 2 2 3 2" xfId="28704" xr:uid="{EB57F23C-3CC1-46C4-BE14-32BE717A6A94}"/>
    <cellStyle name="Comma 8 2 2 2 4" xfId="26185" xr:uid="{4C1926BC-37A4-422F-BC51-FF393BC5BDA9}"/>
    <cellStyle name="Comma 8 2 2 3" xfId="25020" xr:uid="{1E6066CE-F080-4AD9-884D-2A69E4159F2F}"/>
    <cellStyle name="Comma 8 2 2 3 2" xfId="26332" xr:uid="{BC2F914A-AB47-4D98-8DEA-95DBBB2232A0}"/>
    <cellStyle name="Comma 8 2 2 4" xfId="25663" xr:uid="{AF1E6DF7-0DDA-42D6-BD41-A9219B317896}"/>
    <cellStyle name="Comma 8 2 2 4 2" xfId="26452" xr:uid="{66226DEF-0DA9-4B23-88A3-4D3890AC51F3}"/>
    <cellStyle name="Comma 8 2 2 5" xfId="25664" xr:uid="{504752A0-1647-4A73-9626-AAD704F1357C}"/>
    <cellStyle name="Comma 8 2 2 5 2" xfId="26863" xr:uid="{1389AD9F-3078-4C58-B49F-63C2DC15508B}"/>
    <cellStyle name="Comma 8 2 2 6" xfId="25665" xr:uid="{E63888E7-F4C5-47EC-948D-50A476D9E689}"/>
    <cellStyle name="Comma 8 2 2 6 2" xfId="27998" xr:uid="{43BA9F71-1FBA-43D5-BF56-B42D9BFDEDBD}"/>
    <cellStyle name="Comma 8 2 2 7" xfId="25666" xr:uid="{560B96EE-AB9D-4B95-B685-65AB8335D29C}"/>
    <cellStyle name="Comma 8 2 2 7 2" xfId="28705" xr:uid="{DCBD8FD6-7A02-4450-BBB7-071CDEBAA398}"/>
    <cellStyle name="Comma 8 2 2 8" xfId="26072" xr:uid="{D2880025-9DE9-42E5-8470-6D3DD970C0E9}"/>
    <cellStyle name="Comma 8 2 3" xfId="4011" xr:uid="{7F083463-909B-48C5-905F-FC8A2864E2EB}"/>
    <cellStyle name="Comma 8 2 3 2" xfId="25021" xr:uid="{A4F33CA1-3DD6-451C-BCBE-C5535830A7EF}"/>
    <cellStyle name="Comma 8 2 3 2 2" xfId="26864" xr:uid="{A27B1208-31CA-41C9-A7A8-85888419815D}"/>
    <cellStyle name="Comma 8 2 3 3" xfId="25667" xr:uid="{DB54CF86-121B-4209-B50A-C462FDD3F17A}"/>
    <cellStyle name="Comma 8 2 3 3 2" xfId="28295" xr:uid="{2B77235A-0B68-4CBB-B540-B650AB014F1D}"/>
    <cellStyle name="Comma 8 2 3 4" xfId="25668" xr:uid="{598A487E-F7D9-4DF0-BA00-126464B363D7}"/>
    <cellStyle name="Comma 8 2 3 4 2" xfId="28706" xr:uid="{4C6E8F1C-F371-4895-B674-7CF413828087}"/>
    <cellStyle name="Comma 8 2 3 5" xfId="26184" xr:uid="{1A59297C-BD97-4BE4-9FEC-9507C91B85D3}"/>
    <cellStyle name="Comma 8 2 4" xfId="24883" xr:uid="{ECB428CA-5516-4D1E-8AED-6A737B5BC4A5}"/>
    <cellStyle name="Comma 8 2 4 2" xfId="25669" xr:uid="{72F68786-35D4-4982-9C90-3BA8F0545721}"/>
    <cellStyle name="Comma 8 2 4 2 2" xfId="26865" xr:uid="{66DB47D7-B086-4D7E-9631-2631D4BE7805}"/>
    <cellStyle name="Comma 8 2 4 3" xfId="26331" xr:uid="{CC7EB461-9D3B-4C86-81A3-E635BF68B2C6}"/>
    <cellStyle name="Comma 8 2 5" xfId="25019" xr:uid="{223C929F-6C9C-45E0-AFDE-F7EFCB3B7A61}"/>
    <cellStyle name="Comma 8 2 5 2" xfId="26451" xr:uid="{86D15CF6-4661-4BE1-8177-BC2B7595E0AC}"/>
    <cellStyle name="Comma 8 2 6" xfId="25670" xr:uid="{B5D64C18-4509-42D9-A910-E59AA8A61BC0}"/>
    <cellStyle name="Comma 8 2 6 2" xfId="26862" xr:uid="{77B9367D-76FD-4899-B16F-0EBB54EE9CBA}"/>
    <cellStyle name="Comma 8 2 7" xfId="25671" xr:uid="{737D3005-1208-402B-9821-993CB4F1270C}"/>
    <cellStyle name="Comma 8 2 7 2" xfId="27997" xr:uid="{4297087C-28A1-4AF3-8535-550AC456475E}"/>
    <cellStyle name="Comma 8 2 8" xfId="25672" xr:uid="{478AE9BD-464E-41AF-BE1A-8363AF4154BC}"/>
    <cellStyle name="Comma 8 2 8 2" xfId="28707" xr:uid="{9D77C2B7-0548-442D-A5B1-73CCB71BD982}"/>
    <cellStyle name="Comma 8 2 9" xfId="26071" xr:uid="{49A599AF-42E4-411D-BAB6-96A64E007614}"/>
    <cellStyle name="Comma 8 3" xfId="203" xr:uid="{F8CD6374-D3DB-4C98-A34F-06E02C4529AD}"/>
    <cellStyle name="Comma 8 3 2" xfId="4013" xr:uid="{BA15E4BD-77C7-41CD-8F2F-458A54608E9B}"/>
    <cellStyle name="Comma 8 3 2 2" xfId="25673" xr:uid="{BD5AA0AE-7E59-43D1-9C14-97E03303FEB3}"/>
    <cellStyle name="Comma 8 3 2 2 2" xfId="28297" xr:uid="{2BBF5B7E-9EAA-4B7E-9ACE-CB3AF763A400}"/>
    <cellStyle name="Comma 8 3 2 3" xfId="25674" xr:uid="{28726AE8-B422-4C30-A6A2-BAE49B9D8382}"/>
    <cellStyle name="Comma 8 3 2 3 2" xfId="28708" xr:uid="{54982081-5C35-4F50-A6A4-1A5251C496EF}"/>
    <cellStyle name="Comma 8 3 2 4" xfId="26186" xr:uid="{6CC1A77F-FF3A-4E16-87C0-8E42B53DEE95}"/>
    <cellStyle name="Comma 8 3 3" xfId="25022" xr:uid="{E825CD1E-64D1-4AD0-99B7-A38EAD8617D8}"/>
    <cellStyle name="Comma 8 3 3 2" xfId="26333" xr:uid="{2B3533EC-BD52-4637-A30B-52EC22B01250}"/>
    <cellStyle name="Comma 8 3 4" xfId="25675" xr:uid="{BB6E02BB-21E3-4DBB-9F1A-9FA95D26E025}"/>
    <cellStyle name="Comma 8 3 4 2" xfId="26453" xr:uid="{C9440089-8E8B-40DF-84C4-B50D75FB863D}"/>
    <cellStyle name="Comma 8 3 5" xfId="25676" xr:uid="{7243D17A-3C70-4AC9-9100-4BB9DED0C90E}"/>
    <cellStyle name="Comma 8 3 5 2" xfId="26866" xr:uid="{28E35AD3-CC55-4279-B1B0-38971BCE67FB}"/>
    <cellStyle name="Comma 8 3 6" xfId="25677" xr:uid="{B2DFA798-9F99-4A9C-AE42-5BE4F9F6FE80}"/>
    <cellStyle name="Comma 8 3 6 2" xfId="27999" xr:uid="{52A9AB34-0D92-4A6A-A06D-8A626652DEA2}"/>
    <cellStyle name="Comma 8 3 7" xfId="25678" xr:uid="{D3C36046-7EE9-4BC5-8DF1-879882E0F85D}"/>
    <cellStyle name="Comma 8 3 7 2" xfId="28709" xr:uid="{21B63EA8-081A-40B1-BE38-B93CC325104E}"/>
    <cellStyle name="Comma 8 3 8" xfId="26073" xr:uid="{6C281BE1-8105-4E9B-B48C-B4BE49D73B68}"/>
    <cellStyle name="Comma 8 4" xfId="204" xr:uid="{77A7DF09-3C1E-47C3-A035-C9F4113A6A37}"/>
    <cellStyle name="Comma 8 4 2" xfId="205" xr:uid="{53C75983-A8D4-4A0B-ABC2-1473ED030BC6}"/>
    <cellStyle name="Comma 8 4 2 2" xfId="25024" xr:uid="{98B1F506-4F4B-43D8-BE69-29145FAD813E}"/>
    <cellStyle name="Comma 8 4 2 2 2" xfId="26188" xr:uid="{51900685-F92D-4944-8B0D-BB83BB818B7D}"/>
    <cellStyle name="Comma 8 4 2 3" xfId="25679" xr:uid="{BD205649-89C4-4D08-834F-7CBE460D0C1D}"/>
    <cellStyle name="Comma 8 4 2 3 2" xfId="26335" xr:uid="{BEBD05CC-2EE4-4D63-9A31-402A45FA7FC4}"/>
    <cellStyle name="Comma 8 4 2 4" xfId="25680" xr:uid="{FA1FCE99-7E0E-467F-BD42-81DF141EB263}"/>
    <cellStyle name="Comma 8 4 2 4 2" xfId="26455" xr:uid="{A3C3DE42-C12B-46E9-8290-7F243C7A6946}"/>
    <cellStyle name="Comma 8 4 2 5" xfId="25681" xr:uid="{EC9E60E5-9BAB-45CA-8B3E-AAAFDCEC88FA}"/>
    <cellStyle name="Comma 8 4 2 5 2" xfId="26868" xr:uid="{61F88FC4-AC4D-433D-9306-95D1AB5E5FC0}"/>
    <cellStyle name="Comma 8 4 2 6" xfId="25682" xr:uid="{1A8574D9-EC51-4C4B-ACC7-6B79E7490879}"/>
    <cellStyle name="Comma 8 4 2 6 2" xfId="28001" xr:uid="{A3B43D53-5EE4-4D40-BDE4-1AB929D8069B}"/>
    <cellStyle name="Comma 8 4 2 7" xfId="25683" xr:uid="{19DB5FDE-6427-45CB-A41E-2C87008B8E35}"/>
    <cellStyle name="Comma 8 4 2 7 2" xfId="28710" xr:uid="{E0534940-B8E4-4458-9700-B9D678E38415}"/>
    <cellStyle name="Comma 8 4 2 8" xfId="26075" xr:uid="{6E4F26F5-A9DD-448F-81D9-307859709210}"/>
    <cellStyle name="Comma 8 4 3" xfId="4014" xr:uid="{B3A7277E-E8A1-4AAE-B549-BCCD48E93D61}"/>
    <cellStyle name="Comma 8 4 3 2" xfId="25684" xr:uid="{71DA4DA3-AB1C-45AF-9589-B84F1C0DB52C}"/>
    <cellStyle name="Comma 8 4 3 2 2" xfId="28298" xr:uid="{A8F33951-10BB-42E4-98C3-C2997F25C157}"/>
    <cellStyle name="Comma 8 4 3 3" xfId="25685" xr:uid="{D55262EE-E8CB-4543-8684-BBF7E2B7C5C4}"/>
    <cellStyle name="Comma 8 4 3 3 2" xfId="28711" xr:uid="{7891CBC1-92F6-4E35-887E-52CBF06EE42C}"/>
    <cellStyle name="Comma 8 4 3 4" xfId="26187" xr:uid="{708FF10F-88C2-4C93-A87E-969B9D96B36B}"/>
    <cellStyle name="Comma 8 4 4" xfId="25023" xr:uid="{1ACE15B0-74C3-48B4-886D-2B6D50ED68F8}"/>
    <cellStyle name="Comma 8 4 4 2" xfId="26334" xr:uid="{D4FC45DC-EB0B-4B73-955F-B4D2A82BDEF9}"/>
    <cellStyle name="Comma 8 4 5" xfId="25686" xr:uid="{E11D9AA4-756D-4D26-9041-7122BF4D4A12}"/>
    <cellStyle name="Comma 8 4 5 2" xfId="26454" xr:uid="{380E3B93-0016-4882-8DDA-A623C4DB408C}"/>
    <cellStyle name="Comma 8 4 6" xfId="25687" xr:uid="{E150FA63-F0CD-499B-AA1C-909120FF4180}"/>
    <cellStyle name="Comma 8 4 6 2" xfId="26867" xr:uid="{2E927905-3658-440C-B6FD-D8DB55978D1F}"/>
    <cellStyle name="Comma 8 4 7" xfId="25688" xr:uid="{4DAFC943-C6D7-46DE-AE38-1BB57378A1B3}"/>
    <cellStyle name="Comma 8 4 7 2" xfId="28000" xr:uid="{99E6B1E4-06BB-45D7-B7B4-ECDFE86ADF13}"/>
    <cellStyle name="Comma 8 4 8" xfId="25689" xr:uid="{4B5ADA15-554A-484B-9ADB-98DEB5BF8A0B}"/>
    <cellStyle name="Comma 8 4 8 2" xfId="28712" xr:uid="{906F290A-FCB3-45C2-8668-30B060CB4E6A}"/>
    <cellStyle name="Comma 8 4 9" xfId="26074" xr:uid="{6DF11664-E7E6-48B2-900B-12EE151F7094}"/>
    <cellStyle name="Comma 8 5" xfId="206" xr:uid="{587DBD25-B129-48A6-8504-D470CB2E3DF7}"/>
    <cellStyle name="Comma 8 5 2" xfId="4015" xr:uid="{752A1792-AFEB-4D65-954A-D6EADA77141A}"/>
    <cellStyle name="Comma 8 5 2 2" xfId="25690" xr:uid="{6D565C7C-9D2B-4F80-805F-DE9FAC3E3BFD}"/>
    <cellStyle name="Comma 8 5 2 2 2" xfId="28299" xr:uid="{31534507-9BB2-4259-99A1-1BFA5125D77B}"/>
    <cellStyle name="Comma 8 5 2 3" xfId="25691" xr:uid="{3978B91A-356E-47C1-A65A-3A6D76AE76E2}"/>
    <cellStyle name="Comma 8 5 2 3 2" xfId="28713" xr:uid="{CCF4E3D7-5993-4B3C-9849-AC605D737650}"/>
    <cellStyle name="Comma 8 5 2 4" xfId="26189" xr:uid="{79E3EBED-EA22-4586-8227-9CBAE879582E}"/>
    <cellStyle name="Comma 8 5 3" xfId="25025" xr:uid="{2B9B560E-9FB1-422F-86F0-6B1AFFC396EB}"/>
    <cellStyle name="Comma 8 5 3 2" xfId="26336" xr:uid="{9BDD2F1D-DA5D-4222-89A9-1DB1247E347C}"/>
    <cellStyle name="Comma 8 5 4" xfId="25692" xr:uid="{784C8814-0640-4BD1-AD17-211E320B1D5F}"/>
    <cellStyle name="Comma 8 5 4 2" xfId="26456" xr:uid="{2308AE3C-DC60-4129-A51F-9441BA542919}"/>
    <cellStyle name="Comma 8 5 5" xfId="25693" xr:uid="{09198339-B935-44DD-8B8E-AD13E80E5AEB}"/>
    <cellStyle name="Comma 8 5 5 2" xfId="26869" xr:uid="{7DEE4021-A352-44F4-B6AD-E9263F9B60B8}"/>
    <cellStyle name="Comma 8 5 6" xfId="25694" xr:uid="{B4F947E5-DB0F-4B60-B0AB-CEB17A510047}"/>
    <cellStyle name="Comma 8 5 6 2" xfId="28002" xr:uid="{AC09C951-2F25-43CC-B0C2-2D4750F18437}"/>
    <cellStyle name="Comma 8 5 7" xfId="25695" xr:uid="{9C50433B-0EA1-420D-B784-CE4AFC91A557}"/>
    <cellStyle name="Comma 8 5 7 2" xfId="28714" xr:uid="{C237CB62-0529-459B-B99E-F4DE0A24CB34}"/>
    <cellStyle name="Comma 8 5 8" xfId="26076" xr:uid="{3EF80722-A5F2-4483-BB8B-0E7ED52A0BC8}"/>
    <cellStyle name="Comma 8 6" xfId="4010" xr:uid="{F5EC5838-6761-4EA1-AB75-3B11206710FD}"/>
    <cellStyle name="Comma 8 6 2" xfId="25026" xr:uid="{4EEC4854-2992-4DEA-9042-A7A8DA5D0BC0}"/>
    <cellStyle name="Comma 8 6 2 2" xfId="26870" xr:uid="{04A23DFB-21D4-4AE0-8F87-B4F9BFD6E3A9}"/>
    <cellStyle name="Comma 8 6 3" xfId="25696" xr:uid="{7A95ED76-615A-4EDC-AA59-2BE2E46B1219}"/>
    <cellStyle name="Comma 8 6 3 2" xfId="28294" xr:uid="{5695BBA1-61A5-41F6-AB2F-1A77B973CB77}"/>
    <cellStyle name="Comma 8 6 4" xfId="25697" xr:uid="{4C4E0906-583B-4AC9-908B-8F056B016002}"/>
    <cellStyle name="Comma 8 6 4 2" xfId="28715" xr:uid="{3B137696-114D-4387-9189-D0E15A763D19}"/>
    <cellStyle name="Comma 8 6 5" xfId="26183" xr:uid="{7036A723-E425-42CF-903E-76ADA3FB27AC}"/>
    <cellStyle name="Comma 8 7" xfId="24884" xr:uid="{C7CF7BA9-4D54-44B3-9495-21644E893230}"/>
    <cellStyle name="Comma 8 7 2" xfId="25698" xr:uid="{68E2175A-CA06-4CE8-9C24-6FE1F5D9FCD8}"/>
    <cellStyle name="Comma 8 7 2 2" xfId="26871" xr:uid="{DCC07FF1-468C-45A0-9739-839A47300A0F}"/>
    <cellStyle name="Comma 8 7 3" xfId="26330" xr:uid="{0AAE4787-E1A6-400D-98BB-2CC5C1BEFCAF}"/>
    <cellStyle name="Comma 8 8" xfId="25018" xr:uid="{86935E4C-5A6C-4843-9DC0-AB676EE49D22}"/>
    <cellStyle name="Comma 8 8 2" xfId="26450" xr:uid="{0648B47D-9391-4E3F-9871-223E28694F5B}"/>
    <cellStyle name="Comma 8 9" xfId="25699" xr:uid="{52747F4B-87C9-4402-9102-7B2862E557F3}"/>
    <cellStyle name="Comma 8 9 2" xfId="26861" xr:uid="{C70620F0-3076-46A6-B76D-EE71F8F2235E}"/>
    <cellStyle name="Comma 9" xfId="207" xr:uid="{A9C79B7D-48DD-4A39-988E-3E4F1D5FE99B}"/>
    <cellStyle name="Comma 9 2" xfId="208" xr:uid="{1DB3A378-95E3-403A-9210-B2C96171CFCB}"/>
    <cellStyle name="Comma 9 2 2" xfId="4017" xr:uid="{472DFA0D-6C9A-4AB6-8956-69526000CAAF}"/>
    <cellStyle name="Comma 9 2 2 2" xfId="25700" xr:uid="{03CF1035-378B-41E7-AA59-687CB69045FE}"/>
    <cellStyle name="Comma 9 2 2 2 2" xfId="28301" xr:uid="{59D26E44-612B-438F-A507-8F2C96BE77F1}"/>
    <cellStyle name="Comma 9 2 2 3" xfId="25701" xr:uid="{13F3644B-3445-4E6A-8A88-9ABE8984BFF7}"/>
    <cellStyle name="Comma 9 2 2 3 2" xfId="28716" xr:uid="{50C4C504-9505-4AEF-917E-1AA6BA09B06C}"/>
    <cellStyle name="Comma 9 2 2 4" xfId="26191" xr:uid="{C53A8E53-D649-4B63-AF26-DBF4F94E8FA2}"/>
    <cellStyle name="Comma 9 2 3" xfId="25028" xr:uid="{E9169FC0-A55F-428B-ADF9-2588B380B34F}"/>
    <cellStyle name="Comma 9 2 3 2" xfId="26338" xr:uid="{7B364E11-0DB4-4812-A1DA-4349E0CF5175}"/>
    <cellStyle name="Comma 9 2 4" xfId="25702" xr:uid="{6049EFB1-D359-43EC-B3B4-1ABC3452DBED}"/>
    <cellStyle name="Comma 9 2 4 2" xfId="26458" xr:uid="{536C51D2-EA20-412D-BEBC-87B548D1FFE4}"/>
    <cellStyle name="Comma 9 2 5" xfId="25703" xr:uid="{703BEDFE-3754-4BAB-9D2F-EFF3142296E1}"/>
    <cellStyle name="Comma 9 2 5 2" xfId="26873" xr:uid="{198E4598-F8A8-485A-971A-AC7375B6F444}"/>
    <cellStyle name="Comma 9 2 6" xfId="25704" xr:uid="{CAD9C05C-BEFB-4C1C-A283-6CA9AC236E5E}"/>
    <cellStyle name="Comma 9 2 6 2" xfId="28004" xr:uid="{29439E73-70FC-4F65-B063-C3C92E4ACEE3}"/>
    <cellStyle name="Comma 9 2 7" xfId="25705" xr:uid="{F329638B-6F61-4B07-8DC6-54A4B60F0FA5}"/>
    <cellStyle name="Comma 9 2 7 2" xfId="28717" xr:uid="{8502A6A9-AD97-4B43-A2E0-D5891EADAC35}"/>
    <cellStyle name="Comma 9 2 8" xfId="26078" xr:uid="{2F12C0DF-6B1E-4CDA-BC8A-17521991BB11}"/>
    <cellStyle name="Comma 9 3" xfId="4016" xr:uid="{3539C7D8-AEA0-4563-9B1B-43CA74F77AC5}"/>
    <cellStyle name="Comma 9 3 2" xfId="25029" xr:uid="{6B9B3E35-54CB-46FB-866E-79A1C87C42B1}"/>
    <cellStyle name="Comma 9 3 2 2" xfId="26874" xr:uid="{26B983EE-9E6B-43F2-9E3E-726BB3F5A7EA}"/>
    <cellStyle name="Comma 9 3 3" xfId="25706" xr:uid="{36DF6812-DB96-4289-BA85-64B1FAB565D3}"/>
    <cellStyle name="Comma 9 3 3 2" xfId="28300" xr:uid="{53096F87-706F-4045-920A-126F929F1B13}"/>
    <cellStyle name="Comma 9 3 4" xfId="25707" xr:uid="{F0B97995-4F4B-4D17-8CBA-6A6C95B60670}"/>
    <cellStyle name="Comma 9 3 4 2" xfId="28718" xr:uid="{28628231-B174-45C9-8256-14F6E7F3B71F}"/>
    <cellStyle name="Comma 9 3 5" xfId="26190" xr:uid="{CDE5CF8F-A00C-4031-86DE-712FC014A098}"/>
    <cellStyle name="Comma 9 4" xfId="24885" xr:uid="{EAEED238-12B7-4CDB-9D56-D58B2EEBF0D6}"/>
    <cellStyle name="Comma 9 4 2" xfId="25708" xr:uid="{4C734847-5FB4-429B-BB54-E078791BA558}"/>
    <cellStyle name="Comma 9 4 2 2" xfId="26875" xr:uid="{D2904598-43DB-41CE-8423-7508FB023958}"/>
    <cellStyle name="Comma 9 4 3" xfId="26337" xr:uid="{707BC248-2F77-4873-920D-01BA0C183434}"/>
    <cellStyle name="Comma 9 5" xfId="25027" xr:uid="{70931F25-C2DB-44E1-A282-D7981290F707}"/>
    <cellStyle name="Comma 9 5 2" xfId="26457" xr:uid="{1C5EAC1D-22F3-4975-8FBC-F54BB498D82B}"/>
    <cellStyle name="Comma 9 6" xfId="25709" xr:uid="{42F2030A-E127-4D9A-AE24-C6E19224AAF3}"/>
    <cellStyle name="Comma 9 6 2" xfId="26872" xr:uid="{669C4EA9-00E6-4F2C-BBD1-75E98F4C969F}"/>
    <cellStyle name="Comma 9 7" xfId="25710" xr:uid="{1EFBA71E-1F18-4825-ACCA-32F90C74C25D}"/>
    <cellStyle name="Comma 9 7 2" xfId="28003" xr:uid="{BC4F9CB5-2C05-4CF3-98B5-25FD0963C9AD}"/>
    <cellStyle name="Comma 9 8" xfId="25711" xr:uid="{C89A4AD3-BA43-4F26-BC5E-05D3613C4354}"/>
    <cellStyle name="Comma 9 8 2" xfId="28719" xr:uid="{12EFC6A6-8652-42B3-9851-3495A8FC6682}"/>
    <cellStyle name="Comma 9 9" xfId="26077" xr:uid="{F28DF8A9-9CCB-4A07-B1FF-EF44D443BC01}"/>
    <cellStyle name="Commentaire" xfId="209" xr:uid="{710E60FB-E47B-402F-875F-CBDFC8D7DA12}"/>
    <cellStyle name="Commentaire 2" xfId="4530" xr:uid="{45881050-3DDA-4A49-BB67-C627B2B3B926}"/>
    <cellStyle name="Commentaire 2 2" xfId="25833" xr:uid="{93D4B335-7C8A-4637-8B6C-D377EE1B6319}"/>
    <cellStyle name="Commentaire 3" xfId="25823" xr:uid="{56BBE831-DFB7-479F-9BE3-42ACB9CCBD0A}"/>
    <cellStyle name="CustomizationCells" xfId="210" xr:uid="{220B4160-69C0-44CF-92DF-3E1C4BE9F1D1}"/>
    <cellStyle name="Eingabe" xfId="211" xr:uid="{C1321DB3-B307-452E-AD9D-33FDBB4E9EAD}"/>
    <cellStyle name="Entrée" xfId="212" xr:uid="{FD4AC8A1-B841-480A-AA50-D3545B15E93A}"/>
    <cellStyle name="Ergebnis" xfId="213" xr:uid="{1684752B-B368-4F82-9066-2632D60E97D9}"/>
    <cellStyle name="Erklärender Text" xfId="214" xr:uid="{7101C09C-CFEE-4B6D-8468-2068B919E6B4}"/>
    <cellStyle name="Euro" xfId="215" xr:uid="{A3B4A60F-105D-4985-8E5B-5C39F6E6234D}"/>
    <cellStyle name="Euro 10" xfId="216" xr:uid="{2044E7FA-709B-48AD-8869-37DCFA93C611}"/>
    <cellStyle name="Euro 10 2" xfId="217" xr:uid="{CC269CF0-851D-443C-9A30-4B7604AA5B98}"/>
    <cellStyle name="Euro 10 2 2" xfId="4532" xr:uid="{C6C0C5D6-429B-4534-BF22-6E1BA2F28EAD}"/>
    <cellStyle name="Euro 10 3" xfId="4531" xr:uid="{6B43E141-FAC9-425B-8BDC-6B1B30739BE2}"/>
    <cellStyle name="Euro 11" xfId="218" xr:uid="{633292F6-14CF-4D81-9884-7AE650A7359F}"/>
    <cellStyle name="Euro 11 2" xfId="8199" xr:uid="{FDC0190B-F7A2-45B6-B22F-7DB99D3DB303}"/>
    <cellStyle name="Euro 11 3" xfId="8200" xr:uid="{DAF1CD53-037F-43A6-90F1-D1E1570561DB}"/>
    <cellStyle name="Euro 11 4" xfId="8201" xr:uid="{32375029-4FA9-4E5A-8532-A4C35B0AD992}"/>
    <cellStyle name="Euro 11 5" xfId="8202" xr:uid="{353616A9-E550-4084-9634-E73C0D4477CB}"/>
    <cellStyle name="Euro 11 6" xfId="8203" xr:uid="{B129D5DD-C5C9-4457-82F2-6D7785C738E4}"/>
    <cellStyle name="Euro 11 6 2" xfId="28720" xr:uid="{C390CF34-AAAB-493E-BB08-BD35EAC6E809}"/>
    <cellStyle name="Euro 12" xfId="8204" xr:uid="{1FA942F9-14C5-4E03-AD3D-CD27827761AC}"/>
    <cellStyle name="Euro 12 2" xfId="8205" xr:uid="{BBB0D1DE-B82D-49D7-A958-ABC7BABCC8F9}"/>
    <cellStyle name="Euro 12 3" xfId="8206" xr:uid="{48B19722-18E3-4514-B991-36C092996F2A}"/>
    <cellStyle name="Euro 13" xfId="8207" xr:uid="{F701E58E-0D25-47F7-8E14-E864F52073D5}"/>
    <cellStyle name="Euro 13 2" xfId="8208" xr:uid="{28D67536-B0A7-438A-A8FF-513245767F01}"/>
    <cellStyle name="Euro 14" xfId="8209" xr:uid="{565B9586-CF77-43FB-B87F-50F873E8ED37}"/>
    <cellStyle name="Euro 14 2" xfId="8210" xr:uid="{414ABBFE-607B-4A36-BAB5-CBD259C9C10F}"/>
    <cellStyle name="Euro 2" xfId="219" xr:uid="{A7952D18-CD06-4593-9377-6EFC3767201B}"/>
    <cellStyle name="Euro 2 2" xfId="220" xr:uid="{95013E7A-DF4C-4BEB-85FC-FFB3F314D338}"/>
    <cellStyle name="Euro 2 2 2" xfId="221" xr:uid="{F392B459-406E-4A16-8D43-686865ABFE5E}"/>
    <cellStyle name="Euro 2 2 2 2" xfId="4533" xr:uid="{1BEF85D3-2D2D-4668-988F-24BB48F8D9D3}"/>
    <cellStyle name="Euro 2 2 3" xfId="4265" xr:uid="{E7BAA0B5-C853-45A0-8B78-035ADE8E5883}"/>
    <cellStyle name="Euro 2 3" xfId="222" xr:uid="{F27856EB-95AA-4C5A-BC73-B243FB1BB732}"/>
    <cellStyle name="Euro 2 3 2" xfId="223" xr:uid="{CC3A9109-5323-426C-BBDF-C84A4960474F}"/>
    <cellStyle name="Euro 2 3 2 2" xfId="4535" xr:uid="{6DF74DC7-77D2-44E3-BF18-751FBA583310}"/>
    <cellStyle name="Euro 2 3 3" xfId="224" xr:uid="{0B090F72-A96E-4628-B93B-88B244696FEB}"/>
    <cellStyle name="Euro 2 3 3 2" xfId="225" xr:uid="{220C2E2C-E29B-4C51-85EE-7E236182534E}"/>
    <cellStyle name="Euro 2 3 3 2 2" xfId="4537" xr:uid="{822F843E-A9CE-4C85-AE8E-FC3292229BAB}"/>
    <cellStyle name="Euro 2 3 3 3" xfId="4538" xr:uid="{43EEF8C7-0545-4A62-9075-FB1E167493B9}"/>
    <cellStyle name="Euro 2 3 3 4" xfId="4539" xr:uid="{5816BE98-B227-47FF-97B3-285003001627}"/>
    <cellStyle name="Euro 2 3 3 5" xfId="4536" xr:uid="{6233C238-691B-4266-967C-7811E12180D5}"/>
    <cellStyle name="Euro 2 3 4" xfId="226" xr:uid="{834D4E0F-032E-49DF-B506-3F7D466E37A5}"/>
    <cellStyle name="Euro 2 3 4 2" xfId="227" xr:uid="{75732857-9879-4813-9E3C-64B7C2CD8187}"/>
    <cellStyle name="Euro 2 3 4 2 2" xfId="4541" xr:uid="{E5340631-BF68-4620-9496-6FFBFD4B0722}"/>
    <cellStyle name="Euro 2 3 4 3" xfId="4540" xr:uid="{1B9259EC-4917-4AAC-BB62-EBE8190F602A}"/>
    <cellStyle name="Euro 2 3 5" xfId="4542" xr:uid="{5FFB5ED9-C4C8-48A9-8398-C7DB13276ED5}"/>
    <cellStyle name="Euro 2 3 6" xfId="4534" xr:uid="{867457E6-2E08-40B8-BF13-A36EBDFA7AF1}"/>
    <cellStyle name="Euro 2 4" xfId="228" xr:uid="{33BAB5DA-EDCB-43CD-BD53-FA586C9479D5}"/>
    <cellStyle name="Euro 2 4 2" xfId="4544" xr:uid="{F4B98A00-A4D3-477E-B121-5FB5448B553B}"/>
    <cellStyle name="Euro 2 4 3" xfId="4545" xr:uid="{1D54329D-E8DF-46BD-A080-05DF4368A805}"/>
    <cellStyle name="Euro 2 4 4" xfId="4543" xr:uid="{CDEA0737-1042-49BE-8099-CACDE8C32F6D}"/>
    <cellStyle name="Euro 2 5" xfId="4546" xr:uid="{9E75FF6D-F386-48DB-B245-1EAD3A271C06}"/>
    <cellStyle name="Euro 2 5 2" xfId="8211" xr:uid="{FCCAE33F-B8B0-494B-8713-EC47BAF69651}"/>
    <cellStyle name="Euro 2 6" xfId="4264" xr:uid="{255BFAC1-B6BA-48F4-856F-05CFF3FA225C}"/>
    <cellStyle name="Euro 3" xfId="229" xr:uid="{D8B2D84A-59DC-48BF-9BE3-1856CA179C3F}"/>
    <cellStyle name="Euro 3 2" xfId="230" xr:uid="{38359850-EDE9-4319-8DB4-32183C64FE41}"/>
    <cellStyle name="Euro 3 2 2" xfId="231" xr:uid="{58D6C0E6-A325-48E2-8DA0-58AFE61376A1}"/>
    <cellStyle name="Euro 3 2 2 2" xfId="4547" xr:uid="{A63AD04B-F36C-40F7-A0E4-CF7C570DAD85}"/>
    <cellStyle name="Euro 3 2 3" xfId="4267" xr:uid="{DCB8EDF8-A919-49B9-95E8-32B59C36EA08}"/>
    <cellStyle name="Euro 3 3" xfId="232" xr:uid="{E2410CB9-1900-426D-87F5-2DC6E954D258}"/>
    <cellStyle name="Euro 3 3 2" xfId="233" xr:uid="{E1FEDD36-DC08-4787-9110-8692F2FEA35C}"/>
    <cellStyle name="Euro 3 3 2 2" xfId="4549" xr:uid="{1075D3E8-71B4-4F35-8457-46F1306F7842}"/>
    <cellStyle name="Euro 3 3 3" xfId="234" xr:uid="{2A77EC3A-4DEF-4101-B13D-EFFE02E85CC3}"/>
    <cellStyle name="Euro 3 3 3 2" xfId="235" xr:uid="{39CD0F0C-51A6-4BAD-9E3D-49F0D6BB60F1}"/>
    <cellStyle name="Euro 3 3 3 2 2" xfId="4551" xr:uid="{208B485B-FA5E-4D0F-94AC-0C5DC724571B}"/>
    <cellStyle name="Euro 3 3 3 3" xfId="4552" xr:uid="{FDC092FB-56CE-43C7-AD0A-638D4975F3A6}"/>
    <cellStyle name="Euro 3 3 3 4" xfId="4553" xr:uid="{7352DC5B-6A3C-467D-BED2-69981FFD9190}"/>
    <cellStyle name="Euro 3 3 3 5" xfId="4550" xr:uid="{4BE54E41-F0A4-4D29-9D55-EE08B0F320B8}"/>
    <cellStyle name="Euro 3 3 4" xfId="236" xr:uid="{C89018A8-8039-4795-979B-2FC5C7BC610F}"/>
    <cellStyle name="Euro 3 3 4 2" xfId="237" xr:uid="{DADBB227-6374-445E-9F93-EF46A769ECD9}"/>
    <cellStyle name="Euro 3 3 4 2 2" xfId="4555" xr:uid="{63AD0727-69FA-41EF-8CBB-F4BCDFC7FC76}"/>
    <cellStyle name="Euro 3 3 4 3" xfId="4554" xr:uid="{A89B2DCF-8A2E-4AD2-9522-852B4EEB0850}"/>
    <cellStyle name="Euro 3 3 5" xfId="4556" xr:uid="{66108139-4763-4CE8-B2E7-2C71C3F1ABDC}"/>
    <cellStyle name="Euro 3 3 6" xfId="4548" xr:uid="{1FCC26BF-78D1-41D2-8E11-AEE3055A9131}"/>
    <cellStyle name="Euro 3 4" xfId="4266" xr:uid="{BD5DE4A1-8687-40A3-8466-567B8384570D}"/>
    <cellStyle name="Euro 3 4 2" xfId="8212" xr:uid="{4756A190-44D2-4481-895D-6780695E6A5C}"/>
    <cellStyle name="Euro 4" xfId="238" xr:uid="{6B9395B5-4248-4F5A-97AE-BCFDD4E9BBD9}"/>
    <cellStyle name="Euro 4 2" xfId="239" xr:uid="{9CE533C7-0CA4-4464-A2F7-960383FBDD33}"/>
    <cellStyle name="Euro 4 2 2" xfId="240" xr:uid="{405FBF64-95B6-4750-9B06-A9D05144D70B}"/>
    <cellStyle name="Euro 4 2 2 2" xfId="4559" xr:uid="{177EFA1A-E9A4-41CC-9DAA-F9D3CF8EF933}"/>
    <cellStyle name="Euro 4 2 3" xfId="241" xr:uid="{5A49ACE1-75E2-41CF-93C4-79B3FCE0FA92}"/>
    <cellStyle name="Euro 4 2 3 2" xfId="242" xr:uid="{07C3DBA7-A289-40D5-86C9-52D90493C43B}"/>
    <cellStyle name="Euro 4 2 3 2 2" xfId="4561" xr:uid="{81F48F08-EF00-43F1-ACD1-EDCBDC2B8726}"/>
    <cellStyle name="Euro 4 2 3 3" xfId="4562" xr:uid="{2820CD7B-FB1D-41F7-BD19-D561794663FE}"/>
    <cellStyle name="Euro 4 2 3 4" xfId="4563" xr:uid="{505853F8-3E0F-4278-8D32-6791D63EB55F}"/>
    <cellStyle name="Euro 4 2 3 5" xfId="4560" xr:uid="{FA526921-51C6-42F2-B4D8-103D052B3E74}"/>
    <cellStyle name="Euro 4 2 4" xfId="243" xr:uid="{62F74B8C-9AAE-4C05-935B-575C554960B5}"/>
    <cellStyle name="Euro 4 2 4 2" xfId="244" xr:uid="{3D2B5D1A-DAFA-482B-B20B-08D8ECE04A11}"/>
    <cellStyle name="Euro 4 2 4 2 2" xfId="4565" xr:uid="{5D151B9F-67E4-46FE-90D9-64C56135EAA5}"/>
    <cellStyle name="Euro 4 2 4 3" xfId="4564" xr:uid="{3F18D4E9-4C92-46E1-A2C9-1CDFB2193EA1}"/>
    <cellStyle name="Euro 4 2 5" xfId="4566" xr:uid="{E8B5A50E-C63D-478E-A265-352AE48CBDDF}"/>
    <cellStyle name="Euro 4 2 6" xfId="4558" xr:uid="{7D205D6B-BE68-4789-B158-949B271C59A0}"/>
    <cellStyle name="Euro 4 3" xfId="245" xr:uid="{36CC8A83-163E-49A6-9F45-27A61F490451}"/>
    <cellStyle name="Euro 4 3 2" xfId="4567" xr:uid="{FDA95B05-4B12-49AB-B87F-E289ACA82788}"/>
    <cellStyle name="Euro 4 4" xfId="4568" xr:uid="{ECB799FC-4EB4-49A5-93E0-53916852C098}"/>
    <cellStyle name="Euro 4 4 2" xfId="4569" xr:uid="{C4B4C25E-9755-474C-B0ED-C0511818AD8D}"/>
    <cellStyle name="Euro 4 5" xfId="4557" xr:uid="{C814EB8E-0203-4559-BF76-11B37A7A5E69}"/>
    <cellStyle name="Euro 4 6" xfId="4268" xr:uid="{CD337984-AAA7-4BBA-9D55-85BE8E1B8941}"/>
    <cellStyle name="Euro 5" xfId="246" xr:uid="{E767AFC8-757F-4200-BD06-FB2620A5E394}"/>
    <cellStyle name="Euro 5 2" xfId="247" xr:uid="{33371004-93A1-4C9E-9202-9EE6B461273B}"/>
    <cellStyle name="Euro 5 2 2" xfId="4571" xr:uid="{36DB2695-6BB9-41AA-932F-66A25F9B0398}"/>
    <cellStyle name="Euro 5 3" xfId="248" xr:uid="{4DF7F515-4B27-4988-9726-682E84FCC261}"/>
    <cellStyle name="Euro 5 3 2" xfId="249" xr:uid="{582F58B8-A890-46AA-8339-30537033C536}"/>
    <cellStyle name="Euro 5 3 2 2" xfId="4573" xr:uid="{78E0C9C3-F96E-4E01-8E8E-F3CC83264162}"/>
    <cellStyle name="Euro 5 3 3" xfId="4574" xr:uid="{4D91CC36-A1BB-4CDC-BFE7-687461F7FD0A}"/>
    <cellStyle name="Euro 5 3 4" xfId="4575" xr:uid="{9FDFCE13-AFFA-425A-AF73-818846EFDBC4}"/>
    <cellStyle name="Euro 5 3 5" xfId="4572" xr:uid="{E1155048-FB5C-4F37-AD6D-FB3920495111}"/>
    <cellStyle name="Euro 5 4" xfId="250" xr:uid="{704B4BE8-768F-4B5A-8681-71C0FBD8D97E}"/>
    <cellStyle name="Euro 5 4 2" xfId="251" xr:uid="{B089364B-D6A8-4331-928E-03851EBA0E45}"/>
    <cellStyle name="Euro 5 4 2 2" xfId="4577" xr:uid="{4C5FE07C-5307-43F7-9FAB-DA3A2B459F40}"/>
    <cellStyle name="Euro 5 4 3" xfId="4576" xr:uid="{83FA0CE4-C836-40B8-9C93-3C72E3B939F2}"/>
    <cellStyle name="Euro 5 5" xfId="4578" xr:uid="{94C5B067-E832-4CE5-94DE-BA0510A73873}"/>
    <cellStyle name="Euro 5 6" xfId="4570" xr:uid="{D229B297-FB26-48C6-B071-F8361279EF58}"/>
    <cellStyle name="Euro 6" xfId="252" xr:uid="{852445AF-DF0C-454E-8462-B39AD65D78EE}"/>
    <cellStyle name="Euro 6 2" xfId="253" xr:uid="{542D7CFC-D0AF-4FF7-8417-1BA2292489E4}"/>
    <cellStyle name="Euro 6 2 2" xfId="4580" xr:uid="{30049B46-E7F2-43CC-9691-CF80D18AAF6D}"/>
    <cellStyle name="Euro 6 3" xfId="4581" xr:uid="{5792F60F-257E-4EFC-BCA3-855D4DB0E728}"/>
    <cellStyle name="Euro 6 4" xfId="4582" xr:uid="{C3E91448-F104-403C-8414-1D53EB883B91}"/>
    <cellStyle name="Euro 6 5" xfId="4579" xr:uid="{7E6CBDC7-C48D-4B40-AA7A-E64680961CAF}"/>
    <cellStyle name="Euro 7" xfId="254" xr:uid="{B2BB1012-77D0-4066-B50D-5A1843100485}"/>
    <cellStyle name="Euro 7 2" xfId="255" xr:uid="{430643DB-65A7-45C7-A78F-5AE78D3604BD}"/>
    <cellStyle name="Euro 7 2 2" xfId="4584" xr:uid="{8A594A2B-11E5-4542-AFEA-745E15815DA9}"/>
    <cellStyle name="Euro 7 3" xfId="4585" xr:uid="{8DFF38EA-CC3A-4032-91C5-62CDB013392D}"/>
    <cellStyle name="Euro 7 4" xfId="4586" xr:uid="{847A0E6A-AB78-41C5-9758-4308073A1259}"/>
    <cellStyle name="Euro 7 5" xfId="4583" xr:uid="{DA897655-D43A-4329-A11C-7DB7F9A690BE}"/>
    <cellStyle name="Euro 8" xfId="256" xr:uid="{257650DB-89EB-401C-A5BD-18138A2993D3}"/>
    <cellStyle name="Euro 8 2" xfId="257" xr:uid="{32148715-BE06-4213-B190-BB2C7F3E97A4}"/>
    <cellStyle name="Euro 8 2 2" xfId="4587" xr:uid="{79D3A4EF-69B1-45C9-8A37-BAB0B4D32A85}"/>
    <cellStyle name="Euro 8 3" xfId="4018" xr:uid="{BF335206-6AC0-4E90-9477-4F406C6DF0D7}"/>
    <cellStyle name="Euro 9" xfId="258" xr:uid="{04D61481-99B9-4424-9113-0BE320A46ADE}"/>
    <cellStyle name="Euro 9 2" xfId="259" xr:uid="{F551C345-0373-4692-A095-5DD09FB9C7E1}"/>
    <cellStyle name="Euro 9 2 2" xfId="4588" xr:uid="{F7FCBCFE-CA07-43EF-8BAA-66FDBE74FE2B}"/>
    <cellStyle name="Euro 9 3" xfId="4019" xr:uid="{422AFF1D-CAEA-4646-AA2D-2BCD24935692}"/>
    <cellStyle name="Explanatory Text 2" xfId="261" xr:uid="{8AE7D048-F214-4C28-9665-5A61E4C4F0AA}"/>
    <cellStyle name="Explanatory Text 3" xfId="260" xr:uid="{9956EE02-3CBF-463F-B9CD-01D17C30C554}"/>
    <cellStyle name="Float" xfId="262" xr:uid="{75A0C6CB-43CD-4080-BB28-476DF259C1BD}"/>
    <cellStyle name="Float 10" xfId="263" xr:uid="{DDB579DE-8CDD-402C-971A-2750E872EDED}"/>
    <cellStyle name="Float 10 2" xfId="264" xr:uid="{D4729CD7-CE42-4AA7-A988-366810BB127C}"/>
    <cellStyle name="Float 10 2 2" xfId="4589" xr:uid="{0B93168B-B13A-4CBF-8EBE-5BDE7998FF8B}"/>
    <cellStyle name="Float 10 3" xfId="4020" xr:uid="{1A9523E5-45F6-4BD1-963C-8F6AD86A3E62}"/>
    <cellStyle name="Float 11" xfId="265" xr:uid="{1D72ABC0-85D6-472B-8334-2D1F15B2F7C9}"/>
    <cellStyle name="Float 11 2" xfId="266" xr:uid="{93BCF760-4187-4DB7-AE02-862F643196CE}"/>
    <cellStyle name="Float 11 2 2" xfId="4591" xr:uid="{3DB86FFF-4762-449E-B495-ACD2E38F14A5}"/>
    <cellStyle name="Float 11 3" xfId="4590" xr:uid="{4F8A4663-830F-4881-ABEE-5BC7CC24C39A}"/>
    <cellStyle name="Float 12" xfId="267" xr:uid="{F9032C90-BB41-4203-A468-A88DA64C692B}"/>
    <cellStyle name="Float 12 2" xfId="4592" xr:uid="{0F3EAF71-AD61-4717-8776-777A8282798D}"/>
    <cellStyle name="Float 12 3" xfId="8213" xr:uid="{73B6F650-9D7F-45EA-888A-8C6CA7C37A8B}"/>
    <cellStyle name="Float 12 4" xfId="8214" xr:uid="{99E97699-0AD2-4CD4-B04D-E28DE471600E}"/>
    <cellStyle name="Float 12 5" xfId="8215" xr:uid="{97CFB717-DA30-4198-AE31-5B82745164C2}"/>
    <cellStyle name="Float 12 6" xfId="8216" xr:uid="{0FFB0004-21CA-45E0-9891-363DBCC798CF}"/>
    <cellStyle name="Float 12 6 2" xfId="28721" xr:uid="{550BC15F-ADBC-413A-A9D7-441730E16B26}"/>
    <cellStyle name="Float 13" xfId="8217" xr:uid="{3C9F1A3F-AA6C-46E2-B864-9C05AB6F288F}"/>
    <cellStyle name="Float 13 2" xfId="8218" xr:uid="{BD2A4107-F525-4EF9-828D-0E9155CF7D72}"/>
    <cellStyle name="Float 13 3" xfId="8219" xr:uid="{284C81E6-D2DF-49B8-80AA-F59C5152D8D9}"/>
    <cellStyle name="Float 14" xfId="8220" xr:uid="{A0D74662-9965-41CB-AE56-0E7E2DC3FD87}"/>
    <cellStyle name="Float 14 2" xfId="8221" xr:uid="{23201943-3C1A-4BE1-884E-81A3CF17AA93}"/>
    <cellStyle name="Float 15" xfId="8222" xr:uid="{60BBCE45-B33B-4873-A2F7-1C00828A69F6}"/>
    <cellStyle name="Float 15 2" xfId="8223" xr:uid="{3799AC34-2CC4-4B51-92CF-CB6EA68F7942}"/>
    <cellStyle name="Float 2" xfId="268" xr:uid="{3ABEE247-F703-425E-BB31-9D77F3DC4BE1}"/>
    <cellStyle name="Float 2 2" xfId="4269" xr:uid="{3E2AFBAC-9EFA-455C-8BDD-74030BA08CD8}"/>
    <cellStyle name="Float 3" xfId="269" xr:uid="{2C9C1AE6-AA9F-4D60-9ECA-FA3C1F962C2E}"/>
    <cellStyle name="Float 3 2" xfId="270" xr:uid="{61223450-9F5E-4708-A933-0E5557095389}"/>
    <cellStyle name="Float 3 2 2" xfId="271" xr:uid="{CBF28A6F-A67A-40DF-8D9A-E31828B30806}"/>
    <cellStyle name="Float 3 2 2 2" xfId="4593" xr:uid="{545713CB-5DD3-4FCE-95DB-84E820409165}"/>
    <cellStyle name="Float 3 2 3" xfId="4271" xr:uid="{2DE92261-0C24-47AA-8B11-498D8E2AB2D5}"/>
    <cellStyle name="Float 3 3" xfId="272" xr:uid="{92E227DE-81CA-402E-ACF7-1226C42A05E8}"/>
    <cellStyle name="Float 3 3 2" xfId="273" xr:uid="{5EFB15A9-ECD2-4962-9087-7825CB711450}"/>
    <cellStyle name="Float 3 3 2 2" xfId="4595" xr:uid="{DB6F8962-8F44-4CEB-9518-7F0A280C5D3C}"/>
    <cellStyle name="Float 3 3 3" xfId="274" xr:uid="{251CBCBF-B1CE-41FD-8B50-D35B116DCC9D}"/>
    <cellStyle name="Float 3 3 3 2" xfId="275" xr:uid="{87729702-3670-4684-A3A0-DF0460311A2A}"/>
    <cellStyle name="Float 3 3 3 2 2" xfId="4597" xr:uid="{74BADC81-F2B6-4A1E-A61B-EC51E5FD5EBD}"/>
    <cellStyle name="Float 3 3 3 3" xfId="4598" xr:uid="{88C9FF3B-D0E4-453E-AF3C-E623D786832C}"/>
    <cellStyle name="Float 3 3 3 4" xfId="4599" xr:uid="{15C738E9-E5C3-41B8-AB84-24908F8808B8}"/>
    <cellStyle name="Float 3 3 3 5" xfId="4596" xr:uid="{402252CE-6F43-4DFF-A484-A733B0F8A5EC}"/>
    <cellStyle name="Float 3 3 4" xfId="276" xr:uid="{BC380B25-D8A7-48F7-9D6C-885DD97EA9D6}"/>
    <cellStyle name="Float 3 3 4 2" xfId="277" xr:uid="{46E8D0C8-CABE-420F-B37F-F97ABB15304D}"/>
    <cellStyle name="Float 3 3 4 2 2" xfId="4601" xr:uid="{8DFBBF39-2EA2-4C72-934B-189E6AB2DA15}"/>
    <cellStyle name="Float 3 3 4 3" xfId="4600" xr:uid="{BB3E6699-0356-441A-9736-361C49C837D6}"/>
    <cellStyle name="Float 3 3 5" xfId="4602" xr:uid="{D9F57B6A-6093-4605-9CA6-B8A60A4BEC09}"/>
    <cellStyle name="Float 3 3 6" xfId="4594" xr:uid="{567A5EBF-8A65-43DA-9A61-8C6CDCDA4DBA}"/>
    <cellStyle name="Float 3 4" xfId="278" xr:uid="{5542DBC9-A932-4F98-B0ED-DF566E997414}"/>
    <cellStyle name="Float 3 4 2" xfId="4604" xr:uid="{08CF933B-8EA9-4AE4-9210-08EE7045AA9F}"/>
    <cellStyle name="Float 3 4 3" xfId="4605" xr:uid="{95A00536-D50F-404C-9BEB-1CDF655C7680}"/>
    <cellStyle name="Float 3 4 4" xfId="4603" xr:uid="{71771D5D-925C-40F0-9598-10E47EAE09C9}"/>
    <cellStyle name="Float 3 5" xfId="4606" xr:uid="{733A3C6A-26D2-46A2-996E-0B6281C64095}"/>
    <cellStyle name="Float 3 5 2" xfId="8224" xr:uid="{238F8887-E8EF-4769-B82F-84968266C2FC}"/>
    <cellStyle name="Float 3 6" xfId="4270" xr:uid="{23D41B93-9B0C-4EC5-A0E9-BAD629EE14F2}"/>
    <cellStyle name="Float 4" xfId="279" xr:uid="{C9BE9048-2DBA-44AD-B664-EE32B833A85E}"/>
    <cellStyle name="Float 4 2" xfId="280" xr:uid="{FD05CD08-D376-4F40-9CB5-E53D0002BC89}"/>
    <cellStyle name="Float 4 2 2" xfId="281" xr:uid="{C6665557-5D56-47D4-B6E7-DBEB62DA3746}"/>
    <cellStyle name="Float 4 2 2 2" xfId="4609" xr:uid="{A4E5E510-367A-417D-BB85-C6CCF7B43922}"/>
    <cellStyle name="Float 4 2 3" xfId="282" xr:uid="{8355FAA1-FEA0-4BB9-950D-CBEF915D6E21}"/>
    <cellStyle name="Float 4 2 3 2" xfId="283" xr:uid="{2DCB3533-4978-4249-BB96-40D15E35C223}"/>
    <cellStyle name="Float 4 2 3 2 2" xfId="4611" xr:uid="{83C2A0F0-E582-4802-BC03-D6D6CDC12CF7}"/>
    <cellStyle name="Float 4 2 3 3" xfId="4612" xr:uid="{91456113-E6CB-4AEB-93E3-737770FADB91}"/>
    <cellStyle name="Float 4 2 3 4" xfId="4613" xr:uid="{AC7071D1-D921-432E-AF87-9D386A6C02BE}"/>
    <cellStyle name="Float 4 2 3 5" xfId="4610" xr:uid="{F36964D6-353F-48AA-A986-1FE2E1364853}"/>
    <cellStyle name="Float 4 2 4" xfId="284" xr:uid="{E0BB4AC2-4A5E-421F-91A7-092CC884F959}"/>
    <cellStyle name="Float 4 2 4 2" xfId="285" xr:uid="{C2CEC8A5-5D52-45B0-9884-916F892FF19C}"/>
    <cellStyle name="Float 4 2 4 2 2" xfId="4615" xr:uid="{A4D60AD4-3983-4659-B6C7-83E0FD34B92F}"/>
    <cellStyle name="Float 4 2 4 3" xfId="4614" xr:uid="{E209AB2E-D18E-4C9F-9E03-43E085D282B8}"/>
    <cellStyle name="Float 4 2 5" xfId="4616" xr:uid="{D6214B3F-7EC3-4D22-983C-4327BDE92C21}"/>
    <cellStyle name="Float 4 2 6" xfId="4608" xr:uid="{C939041F-E907-4821-9751-F1E7D883C6F4}"/>
    <cellStyle name="Float 4 3" xfId="286" xr:uid="{E78428B2-100C-4236-838F-657410E49211}"/>
    <cellStyle name="Float 4 3 2" xfId="4617" xr:uid="{02527634-C0AB-44DB-BF6C-E3302A579C2E}"/>
    <cellStyle name="Float 4 4" xfId="4618" xr:uid="{6E365CE2-1103-4177-A926-72EDAA418DBD}"/>
    <cellStyle name="Float 4 4 2" xfId="4619" xr:uid="{21EBDA5E-78C5-4C84-ADD8-F04D934E92B5}"/>
    <cellStyle name="Float 4 5" xfId="4607" xr:uid="{98588588-510D-456B-B029-68DDE7F26D32}"/>
    <cellStyle name="Float 4 6" xfId="4272" xr:uid="{D4FEB549-0934-4FB5-A4F5-5AC7036B8311}"/>
    <cellStyle name="Float 5" xfId="287" xr:uid="{5B97D73D-FDB0-4CCA-A128-E2BD15EE77FC}"/>
    <cellStyle name="Float 5 2" xfId="288" xr:uid="{07C9CCFE-4D5C-407F-A329-539D0831FC85}"/>
    <cellStyle name="Float 5 2 2" xfId="289" xr:uid="{4A401954-456C-475D-8B04-4B1CB7A4C27C}"/>
    <cellStyle name="Float 5 2 2 2" xfId="4622" xr:uid="{AAD5E936-A2FB-4EC8-9685-D092C7CA2311}"/>
    <cellStyle name="Float 5 2 3" xfId="290" xr:uid="{5107368D-70AD-4541-B819-D2C94AD5B535}"/>
    <cellStyle name="Float 5 2 3 2" xfId="291" xr:uid="{61AB40A7-B7A5-4829-BBA7-0D2087462610}"/>
    <cellStyle name="Float 5 2 3 2 2" xfId="4624" xr:uid="{63E8A87B-68FD-4C20-8D82-B82E6FE49580}"/>
    <cellStyle name="Float 5 2 3 3" xfId="4625" xr:uid="{4C431FCD-55E0-474D-869D-3CE50720F70E}"/>
    <cellStyle name="Float 5 2 3 4" xfId="4626" xr:uid="{1AE0A152-2804-4FF6-85B3-102BC8897BA2}"/>
    <cellStyle name="Float 5 2 3 5" xfId="4623" xr:uid="{32D95B9A-129F-4DED-ADC3-402E4C9CA4BB}"/>
    <cellStyle name="Float 5 2 4" xfId="292" xr:uid="{B17AFB91-E787-4EB7-B804-8FE991D2F11C}"/>
    <cellStyle name="Float 5 2 4 2" xfId="293" xr:uid="{548D83EA-84CA-4A61-8C4A-D8AB4B20F36C}"/>
    <cellStyle name="Float 5 2 4 2 2" xfId="4628" xr:uid="{8CED9049-0E99-4652-BE26-27B08EBF4F03}"/>
    <cellStyle name="Float 5 2 4 3" xfId="4627" xr:uid="{49A74843-E1F5-4C49-BC69-708E09CF1AF3}"/>
    <cellStyle name="Float 5 2 5" xfId="4629" xr:uid="{4CEA248A-74F1-403A-96A4-6C7200261A06}"/>
    <cellStyle name="Float 5 2 6" xfId="4621" xr:uid="{CA3F59FB-2E14-4953-B86E-56891B84BF44}"/>
    <cellStyle name="Float 5 3" xfId="294" xr:uid="{820DCEE8-303E-41BC-8469-704C9D0B348C}"/>
    <cellStyle name="Float 5 3 2" xfId="4630" xr:uid="{9EB114B0-61B7-43D2-8799-A8F76E9150E3}"/>
    <cellStyle name="Float 5 4" xfId="4631" xr:uid="{FCE81BBF-2DA4-47B4-9AA1-233A2B4498EB}"/>
    <cellStyle name="Float 5 4 2" xfId="4632" xr:uid="{1EB1D0C9-298C-44BF-9AB4-67372BF72056}"/>
    <cellStyle name="Float 5 5" xfId="4620" xr:uid="{71CD7F81-D700-411A-B9EC-62DED97EAD93}"/>
    <cellStyle name="Float 5 6" xfId="4273" xr:uid="{35082A99-3907-44A4-B5B7-A2576D84A969}"/>
    <cellStyle name="Float 6" xfId="295" xr:uid="{47BC7F04-6588-4BDD-BC7C-EA323942CFBA}"/>
    <cellStyle name="Float 6 2" xfId="296" xr:uid="{E0068464-53C2-4A30-A4E5-266FB825461A}"/>
    <cellStyle name="Float 6 2 2" xfId="4634" xr:uid="{F3662052-6FEA-49E9-9DE7-AA0B59B08FCE}"/>
    <cellStyle name="Float 6 3" xfId="297" xr:uid="{0E4A4826-E0B7-49F9-B211-94DD33639DC7}"/>
    <cellStyle name="Float 6 3 2" xfId="298" xr:uid="{D5D2F416-3213-44A0-900C-4E97531ACC7B}"/>
    <cellStyle name="Float 6 3 2 2" xfId="4636" xr:uid="{F9D86E6D-0D98-4613-9A93-F931233DE9B7}"/>
    <cellStyle name="Float 6 3 3" xfId="4637" xr:uid="{249BFB4F-04AD-45E4-BD9E-65C50893D442}"/>
    <cellStyle name="Float 6 3 4" xfId="4638" xr:uid="{3914DA26-34D2-41D2-8080-BE6A0257492A}"/>
    <cellStyle name="Float 6 3 5" xfId="4635" xr:uid="{19F02E66-E27A-4D3C-B5D1-2ED2BA292BD8}"/>
    <cellStyle name="Float 6 4" xfId="299" xr:uid="{713AD3C2-A7E3-4767-820C-02DE787CED24}"/>
    <cellStyle name="Float 6 4 2" xfId="300" xr:uid="{500E459D-78DF-4E69-9E42-E003A49F05CE}"/>
    <cellStyle name="Float 6 4 2 2" xfId="4640" xr:uid="{57D53086-4726-44DB-941D-CA8D2A228FDD}"/>
    <cellStyle name="Float 6 4 3" xfId="4639" xr:uid="{B6B861E2-0B10-45A9-95DB-6ACD643459C8}"/>
    <cellStyle name="Float 6 5" xfId="4641" xr:uid="{562600C6-F54E-431B-B97C-A8B7021DD0E4}"/>
    <cellStyle name="Float 6 6" xfId="4633" xr:uid="{741B56AA-322F-4DAA-AF03-7CB8E23BCFA6}"/>
    <cellStyle name="Float 7" xfId="301" xr:uid="{D3EF9A52-C7B8-4CB0-95F3-0C4EAFBD1C58}"/>
    <cellStyle name="Float 7 2" xfId="302" xr:uid="{F44CEDE0-030B-4F43-AF1E-CF1742CDC32B}"/>
    <cellStyle name="Float 7 2 2" xfId="4643" xr:uid="{06EE8B53-B4E1-45BA-8F0B-58BFA40DE08E}"/>
    <cellStyle name="Float 7 3" xfId="4644" xr:uid="{7F8B3A04-51EF-4D88-89F1-8C3C0B16EA83}"/>
    <cellStyle name="Float 7 4" xfId="4645" xr:uid="{BDD08156-B2A8-45CC-8E1F-BFF4CD541717}"/>
    <cellStyle name="Float 7 5" xfId="4642" xr:uid="{F9E48E93-83A7-4D55-A592-C858495899E9}"/>
    <cellStyle name="Float 8" xfId="303" xr:uid="{0F9C4ECC-B40F-4F49-9D20-6778D82EBDDB}"/>
    <cellStyle name="Float 8 2" xfId="304" xr:uid="{BCE99BA1-8C44-440A-904D-DA45E4F9A16F}"/>
    <cellStyle name="Float 8 2 2" xfId="4647" xr:uid="{63D48419-FE37-4504-B669-ADAFC9CF89EE}"/>
    <cellStyle name="Float 8 3" xfId="4648" xr:uid="{E37113F0-B4E6-4C44-BBFF-F7A8A028A4B9}"/>
    <cellStyle name="Float 8 4" xfId="4649" xr:uid="{1BB4BE8E-7208-4E95-8B14-759F97B9F198}"/>
    <cellStyle name="Float 8 5" xfId="4646" xr:uid="{B66388B6-48F1-4C3D-A983-386660BC8E03}"/>
    <cellStyle name="Float 9" xfId="305" xr:uid="{52F2E372-024A-40E9-A8F3-F75DB4DA6B15}"/>
    <cellStyle name="Float 9 2" xfId="306" xr:uid="{27ADF0B0-77E1-47E7-B705-73C4983CA90A}"/>
    <cellStyle name="Float 9 2 2" xfId="4650" xr:uid="{B1DF728B-35F3-4F2F-A03F-08CCF7C133D0}"/>
    <cellStyle name="Float 9 3" xfId="4021" xr:uid="{731B80FB-1141-4E3A-80B5-2D52855B14B0}"/>
    <cellStyle name="Float_ADDON" xfId="7956" xr:uid="{7AB88C20-446A-4455-95D2-B5D920D8036B}"/>
    <cellStyle name="Good 2" xfId="308" xr:uid="{BF38FA0A-C255-42FE-AA4E-A163B1BE59E6}"/>
    <cellStyle name="Good 3" xfId="307" xr:uid="{6F8283DE-3568-4C0B-B30E-32B3C5C913B7}"/>
    <cellStyle name="Gut" xfId="309" xr:uid="{B503F900-3C58-4E18-A66B-AC1390AF1AA3}"/>
    <cellStyle name="Heading 1 2" xfId="310" xr:uid="{AD6FC73D-0BE7-4ECC-B892-4E5CEEE2920D}"/>
    <cellStyle name="Heading 1 3" xfId="311" xr:uid="{8DCFD444-A123-472D-9314-61AD9C07D300}"/>
    <cellStyle name="Heading 1 4" xfId="8225" xr:uid="{501D54A5-C22E-4D47-BF05-EE31763680E0}"/>
    <cellStyle name="Heading 1 4 2" xfId="8226" xr:uid="{BA0469A9-C9D3-4E2B-887D-45FA78CB6C66}"/>
    <cellStyle name="Heading 1 4 2 2" xfId="8227" xr:uid="{EED2F5C6-29F6-4295-A617-48AA5AE8EE54}"/>
    <cellStyle name="Heading 1 4 3" xfId="8228" xr:uid="{31B6B094-5503-4960-B9BA-2B4A3AAC7923}"/>
    <cellStyle name="Heading 1 4 4" xfId="8229" xr:uid="{8003035F-BB2B-4E7E-A4C5-1A4E28BC023E}"/>
    <cellStyle name="Heading 1 4 5" xfId="8230" xr:uid="{CBDB2368-CC23-456D-897F-8CE43DBF81F9}"/>
    <cellStyle name="Heading 1 4 6" xfId="8231" xr:uid="{6B34F5C1-681E-4B9A-91ED-1B0A89356295}"/>
    <cellStyle name="Heading 1 4 7" xfId="8232" xr:uid="{BD93042B-AB13-4234-AAB1-F14D03B59909}"/>
    <cellStyle name="Heading 1 4 8" xfId="8233" xr:uid="{3C06B421-BFC0-4A6E-8F91-9B6C0B0EA084}"/>
    <cellStyle name="Heading 2 2" xfId="312" xr:uid="{84DA9E9C-B404-4100-9DFA-CBDCD79F2BB7}"/>
    <cellStyle name="Heading 2 3" xfId="313" xr:uid="{FD2F95C6-D053-4738-9972-56FE85FDC236}"/>
    <cellStyle name="Heading 2 4" xfId="8234" xr:uid="{20566BF8-AE99-4E82-BE0C-3041AFB51A57}"/>
    <cellStyle name="Heading 2 4 2" xfId="8235" xr:uid="{537F3501-3127-4F31-8E01-3E1E810FE590}"/>
    <cellStyle name="Heading 2 4 3" xfId="8236" xr:uid="{8339423B-9120-4903-A39F-553EBF6143F9}"/>
    <cellStyle name="Heading 2 4 4" xfId="8237" xr:uid="{8838FFF3-1700-4984-A4EA-8B2E763B37BF}"/>
    <cellStyle name="Heading 2 4 5" xfId="8238" xr:uid="{4601E0B2-4557-4B9B-AE75-EFFC5E616C3A}"/>
    <cellStyle name="Heading 2 4 6" xfId="8239" xr:uid="{170CC2CB-25EB-4380-A0BF-6113E7352342}"/>
    <cellStyle name="Heading 2 4 7" xfId="8240" xr:uid="{AE6FCCE1-CF32-420C-8195-414C7049AD7D}"/>
    <cellStyle name="Heading 2 4 8" xfId="8241" xr:uid="{AB2B0CCC-1A62-49B9-AF36-0F5F325BA238}"/>
    <cellStyle name="Heading 3 2" xfId="314" xr:uid="{BA8214A1-08B8-4229-948B-09C7F83732B5}"/>
    <cellStyle name="Heading 3 3" xfId="315" xr:uid="{5140AF90-C37D-4901-A282-53C94579E353}"/>
    <cellStyle name="Heading 3 4" xfId="8242" xr:uid="{A9B22896-AAA1-4B41-904C-92C4CAD2B573}"/>
    <cellStyle name="Heading 3 4 2" xfId="8243" xr:uid="{2B5ABA4F-24D3-4C4E-ACB0-6DE19F7F55BA}"/>
    <cellStyle name="Heading 3 4 2 2" xfId="8244" xr:uid="{7CF0E028-2ACA-4725-AA50-4B6CD9E8F5CE}"/>
    <cellStyle name="Heading 3 4 3" xfId="8245" xr:uid="{25113491-572D-4E40-B2CD-9530AC3207B6}"/>
    <cellStyle name="Heading 3 4 4" xfId="8246" xr:uid="{06340CEA-0F6C-4E75-8582-FFFB2FC22D1C}"/>
    <cellStyle name="Heading 3 4 5" xfId="8247" xr:uid="{1F89AD3F-7812-4CE0-9139-61C0CF735A15}"/>
    <cellStyle name="Heading 3 4 6" xfId="8248" xr:uid="{F5EB9B05-8794-4D14-9D5D-1E9FA247F86B}"/>
    <cellStyle name="Heading 3 4 7" xfId="8249" xr:uid="{0C3C50EB-887C-49E0-A79E-42E45DE54018}"/>
    <cellStyle name="Heading 3 4 8" xfId="8250" xr:uid="{F3539888-3339-4225-B76F-FC6F091692AF}"/>
    <cellStyle name="Heading 4 2" xfId="316" xr:uid="{75F28D28-DFE2-4758-80BD-1CB1AAA001D7}"/>
    <cellStyle name="Heading 4 3" xfId="317" xr:uid="{CDD4D38B-246B-4354-88F5-B95E79A30BFB}"/>
    <cellStyle name="Heading 4 4" xfId="8251" xr:uid="{9C962802-8388-46E7-A38C-7FC2A097886B}"/>
    <cellStyle name="Heading 4 4 2" xfId="8252" xr:uid="{9DE21B38-6A6C-4F75-99C4-1463D3AA63D8}"/>
    <cellStyle name="Heading 4 4 2 2" xfId="8253" xr:uid="{E94FDC5D-0395-43B0-B1B1-068926AC4502}"/>
    <cellStyle name="Heading 4 4 3" xfId="8254" xr:uid="{E3461439-11DE-456C-9863-8DFC00B453DD}"/>
    <cellStyle name="Heading 4 4 4" xfId="8255" xr:uid="{F088E58B-B6BA-4783-A377-18DF6D779C46}"/>
    <cellStyle name="Heading 4 4 5" xfId="8256" xr:uid="{D8615006-8D7A-4372-950C-94FE64D3E670}"/>
    <cellStyle name="Heading 4 4 6" xfId="8257" xr:uid="{701BD772-D05D-48C4-A45A-2673082CD6CB}"/>
    <cellStyle name="Heading 4 4 7" xfId="8258" xr:uid="{F3822AE3-D644-47D8-8E82-7B7EA555526C}"/>
    <cellStyle name="Heading 4 4 8" xfId="8259" xr:uid="{7FDEFF7B-68C0-4438-AA18-5D2F38B5E5A5}"/>
    <cellStyle name="Hyperlink 2" xfId="318" xr:uid="{816E4AB9-1946-4EFB-9FA7-BCC572CA388F}"/>
    <cellStyle name="Hyperlink 3" xfId="4651" xr:uid="{2DF47722-6EAD-4E5B-8F87-4008A6B08487}"/>
    <cellStyle name="Hyperlink 4" xfId="7954" xr:uid="{B29C530E-E750-4366-A5B4-83FEC0A2FAEA}"/>
    <cellStyle name="Input 10" xfId="8260" xr:uid="{CE88E4C0-B1B7-46DB-9C88-1BB7D6DC35F4}"/>
    <cellStyle name="Input 11" xfId="8261" xr:uid="{27141075-9FFB-44D1-A99B-0CF63BC8B750}"/>
    <cellStyle name="Input 12" xfId="319" xr:uid="{49D7AB2E-B415-4E22-8AFF-DE2D70033764}"/>
    <cellStyle name="Input 2" xfId="320" xr:uid="{59828193-DEE1-43A4-BE26-2ABD1F9D742D}"/>
    <cellStyle name="Input 3" xfId="321" xr:uid="{E72C8726-2714-44E8-8875-12FB8F9F6838}"/>
    <cellStyle name="Input 3 2" xfId="322" xr:uid="{9F768C4A-B7E6-4470-A118-EFE0702D011E}"/>
    <cellStyle name="Input 3 2 2" xfId="4654" xr:uid="{FF67C27B-AC81-4403-ABAF-A20720648CF5}"/>
    <cellStyle name="Input 3 2 3" xfId="4655" xr:uid="{8665FDC5-D631-42F2-BDB5-0DC9A6D44395}"/>
    <cellStyle name="Input 3 2 4" xfId="4656" xr:uid="{3604C470-FEFA-42A5-8ABB-A70E916E7D12}"/>
    <cellStyle name="Input 3 2 5" xfId="4653" xr:uid="{1624CF89-6036-470C-B660-25FE8984E4CA}"/>
    <cellStyle name="Input 3 3" xfId="4657" xr:uid="{AB820964-DD9C-4126-A566-35BC2BBB7413}"/>
    <cellStyle name="Input 3 3 2" xfId="8262" xr:uid="{483703F4-C089-4F3C-8079-655EB18D0D56}"/>
    <cellStyle name="Input 3 4" xfId="4658" xr:uid="{57124F66-F7F7-47D9-BDA7-6F6C9C379136}"/>
    <cellStyle name="Input 3 5" xfId="4659" xr:uid="{630F1020-7A1B-4F31-AEC6-F759145A00F7}"/>
    <cellStyle name="Input 3 6" xfId="4652" xr:uid="{DFA2BFCE-3B86-4E77-A292-4F8363DC54C4}"/>
    <cellStyle name="Input 4" xfId="8263" xr:uid="{B995CE1C-5052-497F-80DB-D45F1FBFD4C8}"/>
    <cellStyle name="Input 5" xfId="8264" xr:uid="{101F01A5-811D-4CCF-92D8-B13F69E1C467}"/>
    <cellStyle name="Input 6" xfId="8265" xr:uid="{A4217870-B79E-4341-A1EA-72E3C43C2511}"/>
    <cellStyle name="Input 7" xfId="8266" xr:uid="{EEA031BC-AF68-4563-9304-A6793ACF137C}"/>
    <cellStyle name="Input 8" xfId="8267" xr:uid="{831B460D-968E-465C-8AEB-6589933C7681}"/>
    <cellStyle name="Input 9" xfId="8268" xr:uid="{628D31D6-F25F-48C3-ABE7-15423C46ECF0}"/>
    <cellStyle name="Insatisfaisant" xfId="323" xr:uid="{5264E3EB-79EE-41F9-937A-9D1AC92ED2FF}"/>
    <cellStyle name="Komma 5" xfId="324" xr:uid="{996924EB-DA74-4B90-B761-8A952A7D6905}"/>
    <cellStyle name="Komma 5 2" xfId="4022" xr:uid="{7958FE57-6FE4-4F39-92DB-C41BB9FBE724}"/>
    <cellStyle name="Komma 5 2 2" xfId="25030" xr:uid="{B7D2E1AC-4EA2-40E8-B699-6CE1203A15E8}"/>
    <cellStyle name="Komma 5 2 2 2" xfId="26876" xr:uid="{BCA9E640-C724-4EC9-A1B0-98E9156BF4C8}"/>
    <cellStyle name="Komma 5 2 3" xfId="25712" xr:uid="{3C9A28A0-274D-44C6-8ADD-155C9C22C742}"/>
    <cellStyle name="Komma 5 2 3 2" xfId="28302" xr:uid="{D4921CAC-B419-4E21-9C83-FF194586EE6B}"/>
    <cellStyle name="Komma 5 2 4" xfId="25713" xr:uid="{E42A89A6-4B8B-4659-95A7-E478E386FD78}"/>
    <cellStyle name="Komma 5 2 4 2" xfId="28722" xr:uid="{67C7D15C-C988-46E1-8165-410646F0EEAE}"/>
    <cellStyle name="Komma 5 2 5" xfId="26192" xr:uid="{CF70A012-AA5D-4F91-9B1D-1A92C74E9187}"/>
    <cellStyle name="Komma 5 3" xfId="24912" xr:uid="{2755435E-4974-4B84-8C49-B6C954325BC7}"/>
    <cellStyle name="Komma 5 3 2" xfId="26339" xr:uid="{94C9ACB8-C65A-41EA-9DE8-8785FC5AAC34}"/>
    <cellStyle name="Komma 5 4" xfId="25714" xr:uid="{E8C36892-333F-4554-9920-02C5E0E68952}"/>
    <cellStyle name="Komma 5 4 2" xfId="26459" xr:uid="{ABE30D58-1297-447D-A33C-DE84131B0715}"/>
    <cellStyle name="Komma 5 5" xfId="25715" xr:uid="{5FDC977C-9927-47AA-A7B2-E343A8120470}"/>
    <cellStyle name="Komma 5 5 2" xfId="26486" xr:uid="{40012081-0E90-4EF0-982B-6F0E14B846CF}"/>
    <cellStyle name="Komma 5 6" xfId="25716" xr:uid="{49ADCA85-DDA7-477D-B2A5-7200BB639759}"/>
    <cellStyle name="Komma 5 6 2" xfId="28005" xr:uid="{E1204E84-2589-4865-84AD-0471E3B0DEE8}"/>
    <cellStyle name="Komma 5 7" xfId="25717" xr:uid="{777DE027-397F-4C0D-866D-E0A8F3A1637C}"/>
    <cellStyle name="Komma 5 7 2" xfId="28723" xr:uid="{880BA7BC-0B14-472F-B545-F04DB170909D}"/>
    <cellStyle name="Komma 5 8" xfId="25718" xr:uid="{2B4E19D1-3CB2-4BDC-8C62-8FB5397BF547}"/>
    <cellStyle name="Komma 5 8 2" xfId="28724" xr:uid="{19C998E8-382F-4178-AF37-7DBFE7C1EE75}"/>
    <cellStyle name="Komma 5 9" xfId="26080" xr:uid="{511D124D-5DBC-4EA8-BBB6-9B218F354ECB}"/>
    <cellStyle name="Lien hypertexte 2" xfId="325" xr:uid="{8FDF3297-751E-4DB5-AB60-AF120127CBC7}"/>
    <cellStyle name="Linked Cell 2" xfId="327" xr:uid="{61C2891D-2D61-4885-B543-B0A5B2C39A17}"/>
    <cellStyle name="Linked Cell 3" xfId="326" xr:uid="{50E01BBD-71CE-40E5-A615-1CE7861736C7}"/>
    <cellStyle name="Neutral 2" xfId="329" xr:uid="{82AF1A19-7012-4682-82BC-098684FB4CC8}"/>
    <cellStyle name="Neutral 3" xfId="330" xr:uid="{6D9C9AD5-6D47-45DD-9711-451A9B2DCE9F}"/>
    <cellStyle name="Neutral 4" xfId="328" xr:uid="{B878B7AE-743A-44FF-AF5A-4A25FA9B2873}"/>
    <cellStyle name="Neutre" xfId="331" xr:uid="{31D176A5-6E7E-4442-A236-E19E2D1AE62C}"/>
    <cellStyle name="Normal" xfId="0" builtinId="0"/>
    <cellStyle name="Normal 10" xfId="332" xr:uid="{62356450-E611-4F03-8FE4-B2E4C46A0C04}"/>
    <cellStyle name="Normal 10 2" xfId="4274" xr:uid="{7366E2C5-1043-44FB-BEA2-F25FBD24EB90}"/>
    <cellStyle name="Normal 11" xfId="333" xr:uid="{4B9009B6-2E1C-439A-874C-0CB2A90FCDFF}"/>
    <cellStyle name="Normal 11 10" xfId="7966" xr:uid="{AF8558A4-1C0F-438F-8DE6-BC5D01C1F9B1}"/>
    <cellStyle name="Normal 11 10 2" xfId="24850" xr:uid="{44E0AFA8-EA65-465C-A5A3-04A09D10DC6F}"/>
    <cellStyle name="Normal 11 10 2 2" xfId="40740" xr:uid="{529103E6-6669-4DB6-95D3-E5886E28D60A}"/>
    <cellStyle name="Normal 11 10 3" xfId="28006" xr:uid="{8E7B6072-CF5F-47A8-8B42-E18D2145D4B6}"/>
    <cellStyle name="Normal 11 11" xfId="8269" xr:uid="{9A73DE06-964A-4CC1-A859-3D8FB83F29AF}"/>
    <cellStyle name="Normal 11 11 2" xfId="28725" xr:uid="{4A46D605-6C4C-486C-8C7B-51674A6ECE97}"/>
    <cellStyle name="Normal 11 12" xfId="22387" xr:uid="{020F97C4-CDFA-4E99-9753-7A7CF2C138FE}"/>
    <cellStyle name="Normal 11 12 2" xfId="40741" xr:uid="{96DBB984-2F7D-48BE-AC30-A7D1DFA9C135}"/>
    <cellStyle name="Normal 11 2" xfId="334" xr:uid="{ED79D9E4-7DC7-4B25-B441-583F3650D8A2}"/>
    <cellStyle name="Normal 11 2 2" xfId="335" xr:uid="{A3B563E9-1EFF-4044-9AB5-3F738239ECA1}"/>
    <cellStyle name="Normal 11 2 2 2" xfId="4662" xr:uid="{7FF50786-3C8C-4874-B5B2-906A527C7DED}"/>
    <cellStyle name="Normal 11 2 3" xfId="336" xr:uid="{DFBF53A3-7EC0-411A-A3EA-226FCB831350}"/>
    <cellStyle name="Normal 11 2 3 10" xfId="25835" xr:uid="{CAE20F0F-9CB3-413E-9E77-1F3AB2CB2903}"/>
    <cellStyle name="Normal 11 2 3 2" xfId="4024" xr:uid="{EF718573-165A-4D0F-B5B0-9219F15A384F}"/>
    <cellStyle name="Normal 11 2 3 2 2" xfId="8270" xr:uid="{27161457-49C3-4824-9FA8-60F8E11FD560}"/>
    <cellStyle name="Normal 11 2 3 2 2 2" xfId="28304" xr:uid="{BE4CDA3A-25C3-40CE-AFC6-399EE5B1C308}"/>
    <cellStyle name="Normal 11 2 3 2 3" xfId="8271" xr:uid="{575C28FD-A83F-490F-887D-88058BBD7C1E}"/>
    <cellStyle name="Normal 11 2 3 2 3 2" xfId="28726" xr:uid="{1A22D369-15F4-4A6E-9A41-EE7FC7497BE1}"/>
    <cellStyle name="Normal 11 2 3 2 4" xfId="26193" xr:uid="{5EF4901F-8759-4494-B8AC-174459BF66FD}"/>
    <cellStyle name="Normal 11 2 3 3" xfId="4663" xr:uid="{0548606E-50AD-4370-B256-76B2EBCA3BD7}"/>
    <cellStyle name="Normal 11 2 3 3 2" xfId="26340" xr:uid="{D1579375-65D9-46ED-ADBE-22F67E17ACE9}"/>
    <cellStyle name="Normal 11 2 3 4" xfId="8272" xr:uid="{B5B47D1C-A7CD-4699-B589-A17F6FD9EC1F}"/>
    <cellStyle name="Normal 11 2 3 4 2" xfId="26461" xr:uid="{361A6219-829B-455C-8FE8-F041F04AF97E}"/>
    <cellStyle name="Normal 11 2 3 5" xfId="8273" xr:uid="{98E89914-22BB-4E7F-BBF8-269F1055B5BA}"/>
    <cellStyle name="Normal 11 2 3 5 2" xfId="26878" xr:uid="{6991006E-A717-41EC-9F74-7AC6BF7E72BC}"/>
    <cellStyle name="Normal 11 2 3 6" xfId="8274" xr:uid="{5575737E-BB64-40D4-86C9-EC9ABEEC06E8}"/>
    <cellStyle name="Normal 11 2 3 6 2" xfId="28007" xr:uid="{F18DE711-83BC-413B-9D42-45B8FDAF46CF}"/>
    <cellStyle name="Normal 11 2 3 7" xfId="8275" xr:uid="{25D3ACEB-AC8E-4E3A-8565-61CE35726231}"/>
    <cellStyle name="Normal 11 2 3 7 2" xfId="28727" xr:uid="{E817E5F7-1CF7-4BB2-A7D1-432F6F55DB8E}"/>
    <cellStyle name="Normal 11 2 3 8" xfId="8276" xr:uid="{49528842-BD87-423A-BA47-1C67482074BE}"/>
    <cellStyle name="Normal 11 2 3 8 2" xfId="28728" xr:uid="{514445EC-48F9-4217-B34A-2991D46E7740}"/>
    <cellStyle name="Normal 11 2 3 9" xfId="22388" xr:uid="{88D8622B-2DDE-41E3-9CD0-E4C0CFBFAFCE}"/>
    <cellStyle name="Normal 11 2 3 9 2" xfId="40742" xr:uid="{D72F1C7F-675B-4134-8A1D-D05D1DBD38AB}"/>
    <cellStyle name="Normal 11 2 4" xfId="4661" xr:uid="{E508DA8A-2BF1-441D-80DD-64B5E90EBB71}"/>
    <cellStyle name="Normal 11 3" xfId="337" xr:uid="{479E46C8-09A3-46EB-A4E2-C90CEAC962B0}"/>
    <cellStyle name="Normal 11 3 2" xfId="338" xr:uid="{2BB575EB-3AC3-4D3A-B13D-35C265D9527C}"/>
    <cellStyle name="Normal 11 3 2 10" xfId="25837" xr:uid="{60AE52D3-E10B-4A9E-892F-D7858304ED8D}"/>
    <cellStyle name="Normal 11 3 2 2" xfId="4025" xr:uid="{1A832838-3EFA-429B-A38E-2CCA66D09D42}"/>
    <cellStyle name="Normal 11 3 2 2 2" xfId="8277" xr:uid="{3F2AE8A2-3480-4AC7-9113-75C9A9578BEC}"/>
    <cellStyle name="Normal 11 3 2 2 2 2" xfId="28305" xr:uid="{69216A87-ADC6-462C-87DB-166031350409}"/>
    <cellStyle name="Normal 11 3 2 2 3" xfId="8278" xr:uid="{574AE658-33AC-4D44-BF84-E0FAA76CEA29}"/>
    <cellStyle name="Normal 11 3 2 2 3 2" xfId="28729" xr:uid="{FB8706FA-717B-4E80-980C-A18DF68CB294}"/>
    <cellStyle name="Normal 11 3 2 2 4" xfId="26194" xr:uid="{CE8702F9-5556-47E8-B286-A95732191EDD}"/>
    <cellStyle name="Normal 11 3 2 3" xfId="4665" xr:uid="{D836F8BE-EC43-4E94-BFB6-7B1B1BE7519F}"/>
    <cellStyle name="Normal 11 3 2 3 2" xfId="26341" xr:uid="{D780681C-0288-4BF3-A85F-D1901D670256}"/>
    <cellStyle name="Normal 11 3 2 4" xfId="8279" xr:uid="{9DFF3E90-66CD-4B78-9F60-9EF112572E93}"/>
    <cellStyle name="Normal 11 3 2 4 2" xfId="26462" xr:uid="{FD0240FC-CC04-4C9C-86F6-A1FA6FC0CB86}"/>
    <cellStyle name="Normal 11 3 2 5" xfId="8280" xr:uid="{6939F799-3A7C-4CB9-8CFB-F006B3F27CBC}"/>
    <cellStyle name="Normal 11 3 2 5 2" xfId="26880" xr:uid="{5C846FC8-D5F1-4E3A-B129-A2347D781239}"/>
    <cellStyle name="Normal 11 3 2 6" xfId="8281" xr:uid="{D1EDA5A2-0F40-440F-84CF-DF43B4FE3CDE}"/>
    <cellStyle name="Normal 11 3 2 6 2" xfId="28008" xr:uid="{C64E9D7E-AA41-414D-9D64-17955DFD20B3}"/>
    <cellStyle name="Normal 11 3 2 7" xfId="8282" xr:uid="{E046AAFC-FB33-456E-90C9-DEAAAF51606C}"/>
    <cellStyle name="Normal 11 3 2 7 2" xfId="28730" xr:uid="{3430B223-70D1-4CDC-8D4C-51EB082E0220}"/>
    <cellStyle name="Normal 11 3 2 8" xfId="8283" xr:uid="{1AF8EFBC-B582-4DCC-B788-68F4E520F05C}"/>
    <cellStyle name="Normal 11 3 2 8 2" xfId="28731" xr:uid="{88178754-CCC4-46D3-914B-32DB73CEDE8A}"/>
    <cellStyle name="Normal 11 3 2 9" xfId="22390" xr:uid="{498036C9-9147-4F42-A7CC-920828A801E1}"/>
    <cellStyle name="Normal 11 3 2 9 2" xfId="40743" xr:uid="{82EC2418-3D49-4358-BB42-C3DD078DB030}"/>
    <cellStyle name="Normal 11 3 3" xfId="339" xr:uid="{37BA7A6A-2E0B-4754-BB2F-BEE4B9841EBD}"/>
    <cellStyle name="Normal 11 3 3 2" xfId="4666" xr:uid="{49A67208-F36E-4385-A85C-AAD12B7D1A2A}"/>
    <cellStyle name="Normal 11 3 4" xfId="4667" xr:uid="{E12342AA-0FA0-4AD3-BF04-6378C489F597}"/>
    <cellStyle name="Normal 11 3 5" xfId="4664" xr:uid="{8DC4AE6B-4852-4CC7-93B0-80AC3DE54C9D}"/>
    <cellStyle name="Normal 11 3 5 2" xfId="26879" xr:uid="{123DB71F-CB93-47FC-A0C9-C24E55DF22ED}"/>
    <cellStyle name="Normal 11 3 6" xfId="22389" xr:uid="{C237757C-C259-4009-B3E1-62AD7055001D}"/>
    <cellStyle name="Normal 11 3 6 2" xfId="40744" xr:uid="{433BCEDD-7C12-4BED-B7D0-C781583F95C2}"/>
    <cellStyle name="Normal 11 3 7" xfId="25836" xr:uid="{4D0D3EA5-E6FD-4EDB-9910-9F9CCB5518B7}"/>
    <cellStyle name="Normal 11 4" xfId="340" xr:uid="{83C4AAFB-D0C3-4D70-9751-1708EF41B2B4}"/>
    <cellStyle name="Normal 11 4 2" xfId="341" xr:uid="{B75E83ED-F81C-4A89-BA88-D642B993D48C}"/>
    <cellStyle name="Normal 11 4 2 2" xfId="4669" xr:uid="{9B64A387-2EB4-4837-AF52-5E7C638C05DB}"/>
    <cellStyle name="Normal 11 4 3" xfId="4670" xr:uid="{11542BB1-01EB-4137-A8BD-C8B0A4C803EC}"/>
    <cellStyle name="Normal 11 4 4" xfId="4671" xr:uid="{AE3CA37F-42CE-4703-9EB0-408704F7C5BF}"/>
    <cellStyle name="Normal 11 4 5" xfId="4668" xr:uid="{6153B716-22BB-44D9-AA25-31D552767E27}"/>
    <cellStyle name="Normal 11 5" xfId="342" xr:uid="{05CF52BC-8E19-4C12-AC5B-0BDED23530FD}"/>
    <cellStyle name="Normal 11 5 2" xfId="343" xr:uid="{D98E24AC-3F68-4013-983F-FA943466A24E}"/>
    <cellStyle name="Normal 11 5 2 2" xfId="4673" xr:uid="{F42063C0-2C35-4262-9586-443CBCA463AD}"/>
    <cellStyle name="Normal 11 5 3" xfId="4672" xr:uid="{B6330F12-1F6F-442F-A79A-676132B3036A}"/>
    <cellStyle name="Normal 11 6" xfId="4023" xr:uid="{CE8CD19C-658F-4787-850C-D8AA6B5DE838}"/>
    <cellStyle name="Normal 11 6 2" xfId="4674" xr:uid="{846AAAEA-2A74-4423-B70A-3260E2BAC4D3}"/>
    <cellStyle name="Normal 11 6 3" xfId="8284" xr:uid="{8458ED57-AE06-4D7D-B8B6-9CBDCB51FF33}"/>
    <cellStyle name="Normal 11 6 3 2" xfId="28303" xr:uid="{917CE964-1325-4DDA-B7E0-92DB91285BD9}"/>
    <cellStyle name="Normal 11 6 4" xfId="8285" xr:uid="{6EDED877-2E73-4A29-A67D-6AEE2A2B2431}"/>
    <cellStyle name="Normal 11 6 4 2" xfId="28732" xr:uid="{E5A71640-EABC-420E-BFCE-AE7D095D437F}"/>
    <cellStyle name="Normal 11 6 5" xfId="8286" xr:uid="{1781AE6D-C9E6-4499-95E3-5DA1281DC4C1}"/>
    <cellStyle name="Normal 11 6 5 2" xfId="28733" xr:uid="{963EDF8E-B678-4317-A6A1-E4F61A6EFAD8}"/>
    <cellStyle name="Normal 11 7" xfId="4660" xr:uid="{034C6DDD-E8B6-48E8-B4AC-1E92FC4BA8AD}"/>
    <cellStyle name="Normal 11 7 2" xfId="8287" xr:uid="{39315199-C490-40CE-ACBD-1463EBF56590}"/>
    <cellStyle name="Normal 11 7 2 2" xfId="26877" xr:uid="{6C232E72-E20D-47DB-A958-1F0AC0879583}"/>
    <cellStyle name="Normal 11 7 3" xfId="25834" xr:uid="{C0F0DDE4-5CA7-463D-AEE8-44B0D944ECBD}"/>
    <cellStyle name="Normal 11 8" xfId="4275" xr:uid="{BB0ECB7D-A971-49A5-ABFA-C99CCE5C3390}"/>
    <cellStyle name="Normal 11 8 2" xfId="26460" xr:uid="{46B32F55-DCF2-43EB-A7CC-69A4D33BAEE7}"/>
    <cellStyle name="Normal 11 9" xfId="8288" xr:uid="{53606E95-ABF2-45CC-9A57-C4B0C2116313}"/>
    <cellStyle name="Normal 11 9 2" xfId="26487" xr:uid="{209FB86F-5036-41C0-BA85-37984B82C97E}"/>
    <cellStyle name="Normal 12" xfId="344" xr:uid="{660DFD75-0EFE-40F6-B624-B74AB67910E5}"/>
    <cellStyle name="Normal 12 10" xfId="25824" xr:uid="{CD5EA565-AC2D-446B-A4E2-16A8CA6C8799}"/>
    <cellStyle name="Normal 12 2" xfId="4026" xr:uid="{89103697-DBAA-4D69-B1F2-097D4AB2F893}"/>
    <cellStyle name="Normal 12 2 2" xfId="4676" xr:uid="{FE1451BA-6FF6-43C9-8C80-683D26248062}"/>
    <cellStyle name="Normal 12 2 2 2" xfId="26881" xr:uid="{163C00FC-1AD5-4216-B8F9-0A06F4C2265C}"/>
    <cellStyle name="Normal 12 2 3" xfId="8289" xr:uid="{7FDE5190-2BA0-41DD-A024-B36E54620DAD}"/>
    <cellStyle name="Normal 12 2 3 2" xfId="28306" xr:uid="{9F09B9C1-6B1B-430F-B2C5-082ABE20ECFD}"/>
    <cellStyle name="Normal 12 2 4" xfId="8290" xr:uid="{4DCFD1AF-20E6-4DF2-88C6-BD6C0D2D4063}"/>
    <cellStyle name="Normal 12 2 4 2" xfId="28734" xr:uid="{634A6DA7-7760-42AB-A7AC-DCDEC073F265}"/>
    <cellStyle name="Normal 12 2 5" xfId="24309" xr:uid="{E4D67D2D-DBE3-4FD4-8734-A99FFB653802}"/>
    <cellStyle name="Normal 12 2 5 2" xfId="40745" xr:uid="{5B974FDD-CCD1-454C-B7CC-BE0B11025721}"/>
    <cellStyle name="Normal 12 2 6" xfId="25838" xr:uid="{F99A3765-1ACE-440E-8DD5-16D41F2744E6}"/>
    <cellStyle name="Normal 12 3" xfId="4675" xr:uid="{34C19BCF-2885-4333-B208-0E0C871E34A8}"/>
    <cellStyle name="Normal 12 3 2" xfId="8291" xr:uid="{05623D78-DDC1-48F8-A348-2BCAF74E2689}"/>
    <cellStyle name="Normal 12 4" xfId="4276" xr:uid="{50461F6B-7080-43B5-8AC3-D7A964F60A58}"/>
    <cellStyle name="Normal 12 4 2" xfId="26463" xr:uid="{B43507C1-AE31-41B8-B66E-3F99923FAE82}"/>
    <cellStyle name="Normal 12 5" xfId="8292" xr:uid="{3589C49A-B61D-4CBF-A798-1762347B7117}"/>
    <cellStyle name="Normal 12 5 2" xfId="26488" xr:uid="{EBE6F0CE-D96F-4D0C-8905-11A01ECF12D2}"/>
    <cellStyle name="Normal 12 6" xfId="8293" xr:uid="{98128EAB-AA64-4705-B92A-0E2383956893}"/>
    <cellStyle name="Normal 12 6 2" xfId="28009" xr:uid="{91BF7CD1-53B8-4D4A-A687-9892B084EFD4}"/>
    <cellStyle name="Normal 12 7" xfId="8294" xr:uid="{85509E9B-4C6E-4B83-B2A4-C418137123B4}"/>
    <cellStyle name="Normal 12 7 2" xfId="28735" xr:uid="{31D88FBD-033A-4E0C-A335-A823826D628C}"/>
    <cellStyle name="Normal 12 8" xfId="8295" xr:uid="{9F913C7D-7393-4817-8408-E2BDA1DDEC76}"/>
    <cellStyle name="Normal 12 8 2" xfId="28736" xr:uid="{B1EDBF03-527D-41E3-8C6A-E933D32185CE}"/>
    <cellStyle name="Normal 12 9" xfId="22391" xr:uid="{2F32B7D7-48BD-412C-AE19-8DFF7A1374EA}"/>
    <cellStyle name="Normal 12 9 2" xfId="40746" xr:uid="{2520642B-C0A4-46AA-A4D0-E3B1BCE9D2CB}"/>
    <cellStyle name="Normal 13" xfId="345" xr:uid="{2D70876C-E33B-4C2E-BBA5-7621E8CF1F17}"/>
    <cellStyle name="Normal 13 2" xfId="4678" xr:uid="{629A31E3-A986-4076-9D26-2AEBEA4C8542}"/>
    <cellStyle name="Normal 13 3" xfId="4679" xr:uid="{0AF5D17A-4E1D-4134-9D2C-6935304B4A95}"/>
    <cellStyle name="Normal 13 4" xfId="4677" xr:uid="{80DDF965-3437-4125-88FC-7165DD2346F6}"/>
    <cellStyle name="Normal 14" xfId="346" xr:uid="{0A289B71-93DB-4C7B-9F39-018D146716AA}"/>
    <cellStyle name="Normal 14 2" xfId="8296" xr:uid="{FEEA48ED-8A1B-4C20-AE92-CD8B40FE9186}"/>
    <cellStyle name="Normal 14 3" xfId="8297" xr:uid="{77DCDEDE-7C81-4CEA-9615-CBB3395347C5}"/>
    <cellStyle name="Normal 15" xfId="4680" xr:uid="{CFAFB449-16B4-464F-B53B-881D129A79D5}"/>
    <cellStyle name="Normal 15 2" xfId="8298" xr:uid="{1EAB5693-6496-4BEE-B70B-EF24369DD83F}"/>
    <cellStyle name="Normal 16" xfId="4461" xr:uid="{54E5E5AF-CFD6-4CCE-A5F1-8B1C1198C712}"/>
    <cellStyle name="Normal 16 2" xfId="8299" xr:uid="{56301BDC-A005-4265-8C57-BDB8F2A8643E}"/>
    <cellStyle name="Normal 17" xfId="7965" xr:uid="{095BAA3F-595E-45CD-85FD-39AFC9E7703C}"/>
    <cellStyle name="Normal 17 2" xfId="25961" xr:uid="{DCCB7D43-A5A3-49C1-B905-59268BA14794}"/>
    <cellStyle name="Normal 18" xfId="22384" xr:uid="{51638E35-F277-4CF1-9BEF-729BE0E902E8}"/>
    <cellStyle name="Normal 18 2" xfId="25962" xr:uid="{81481E61-BF8B-476D-82D6-8543FFDC3484}"/>
    <cellStyle name="Normal 19" xfId="22385" xr:uid="{A10E1AE4-8436-494D-8CF1-1DD1D5F9BD02}"/>
    <cellStyle name="Normal 19 2" xfId="25822" xr:uid="{4B8DED56-729A-4E6B-BC89-899C3332CA61}"/>
    <cellStyle name="Normal 2" xfId="347" xr:uid="{DEFC8E3E-014A-49A3-97B3-A2A3DA948052}"/>
    <cellStyle name="Normal 2 2" xfId="348" xr:uid="{13E67A42-D045-4276-A600-97CBECF9FAC7}"/>
    <cellStyle name="Normal 2 2 2" xfId="4682" xr:uid="{4A6CD5AD-D820-46EC-8E64-2597469EE182}"/>
    <cellStyle name="Normal 2 2 3" xfId="4278" xr:uid="{52F297F4-5F55-4B2B-8BAD-7F554BCA26B1}"/>
    <cellStyle name="Normal 2 3" xfId="4683" xr:uid="{1338D46B-7979-42A2-819D-67CDF8D1232C}"/>
    <cellStyle name="Normal 2 4" xfId="4684" xr:uid="{95ABC4EF-19B9-48C1-B717-1F3B2D5E655A}"/>
    <cellStyle name="Normal 2 5" xfId="4681" xr:uid="{2B795A8D-25E5-4B55-88BF-115F5C58534A}"/>
    <cellStyle name="Normal 2 6" xfId="4277" xr:uid="{097F4086-C520-4783-AE9B-5D52D9169E7F}"/>
    <cellStyle name="Normal 2 7" xfId="25719" xr:uid="{13F0DB56-3233-4DF3-B80F-9BE0D12AA325}"/>
    <cellStyle name="Normal 2_T_NewVehicles" xfId="349" xr:uid="{03289C6C-4BA6-4AC7-9070-25A40800ADFA}"/>
    <cellStyle name="Normal 20" xfId="25726" xr:uid="{758E814D-73AF-463F-94E2-67FE9132BCC3}"/>
    <cellStyle name="Normal 21" xfId="25721" xr:uid="{C8AF01CD-2F4C-4873-8FC7-12570C30401D}"/>
    <cellStyle name="Normal 22" xfId="25820" xr:uid="{FC95311A-1EAC-4359-AB7E-F0F1F6B6CB86}"/>
    <cellStyle name="Normal 23" xfId="2" xr:uid="{729BA085-CCE1-40EC-AFA0-FF25D1A03E94}"/>
    <cellStyle name="Normal 3" xfId="4027" xr:uid="{19EDE53C-987C-4AC6-8127-1B25BA2AECD3}"/>
    <cellStyle name="Normal 3 2" xfId="350" xr:uid="{6A6E1041-96A4-449C-8BBC-CC90BCF67184}"/>
    <cellStyle name="Normal 3 2 2" xfId="4280" xr:uid="{BF18F76C-9048-4650-97F0-443D85B9022E}"/>
    <cellStyle name="Normal 3 3" xfId="351" xr:uid="{FDF63107-A3ED-4929-AF96-FF2B5391D6C2}"/>
    <cellStyle name="Normal 3 3 2" xfId="4281" xr:uid="{3BEEBBB9-E450-497F-B76F-1459E75D411A}"/>
    <cellStyle name="Normal 3 4" xfId="352" xr:uid="{4D924D00-417B-43C0-9028-7C9BE10A59A5}"/>
    <cellStyle name="Normal 3 4 2" xfId="4282" xr:uid="{20E82026-FFC4-477B-BB53-D13E4D5C6B27}"/>
    <cellStyle name="Normal 3 5" xfId="4686" xr:uid="{55CEBFB3-FB6A-4D0B-8F9F-CDAAB48ABBAB}"/>
    <cellStyle name="Normal 3 5 2" xfId="8300" xr:uid="{0629BC4C-842C-44DB-B64B-B99CD4598E3C}"/>
    <cellStyle name="Normal 3 5 3" xfId="8301" xr:uid="{FAC1AF59-032C-4602-A1B0-A7A7AB210CF3}"/>
    <cellStyle name="Normal 3 5 3 2" xfId="28737" xr:uid="{22E1694E-3BD0-4960-9E36-EA2DA6E0CFC5}"/>
    <cellStyle name="Normal 3 6" xfId="4687" xr:uid="{396498FF-836F-4319-8A14-28EF8A6A9CAE}"/>
    <cellStyle name="Normal 3 7" xfId="4685" xr:uid="{5D78A7D3-C63E-4AC2-A4EC-F0320B61BD9A}"/>
    <cellStyle name="Normal 3 8" xfId="4279" xr:uid="{BFAAD774-C71A-4A1D-9B0C-B44A1D1F808E}"/>
    <cellStyle name="Normal 3_Car cost for GMM" xfId="4028" xr:uid="{1A5480CB-17BD-439F-873C-BBD5F7883523}"/>
    <cellStyle name="Normal 4" xfId="4029" xr:uid="{7E46D4D9-AEC2-4804-9E7E-58CF1B8BD0C1}"/>
    <cellStyle name="Normal 4 2" xfId="353" xr:uid="{E10FB009-BD16-486A-8AB2-442EBD70DD25}"/>
    <cellStyle name="Normal 4 2 2" xfId="4283" xr:uid="{7AB99A6E-2FFF-43E4-8BCA-7A4B4F933E99}"/>
    <cellStyle name="Normal 4 3" xfId="354" xr:uid="{8858A7B4-0A69-4D14-A3C3-8EFEBF22A9B7}"/>
    <cellStyle name="Normal 4 3 2" xfId="4284" xr:uid="{AAFFD8B3-F2EE-42C3-B36A-4F773496ED48}"/>
    <cellStyle name="Normal 4 4" xfId="355" xr:uid="{25243BB5-A218-4E62-80F1-E3DFA222D6CF}"/>
    <cellStyle name="Normal 4 4 2" xfId="4285" xr:uid="{5F6FCAC2-ACC0-44B1-9BFE-53F244B76E91}"/>
    <cellStyle name="Normal 4 5" xfId="4460" xr:uid="{FE609FC8-2131-439E-AA00-B12B5913FC96}"/>
    <cellStyle name="Normal 4_AFs" xfId="4030" xr:uid="{EDA63A67-A162-40FC-BB62-4381B4AF1806}"/>
    <cellStyle name="Normal 5" xfId="4031" xr:uid="{989632CE-97ED-4005-A7B6-F91ABE4AD7B5}"/>
    <cellStyle name="Normal 5 2" xfId="356" xr:uid="{47323F18-0821-4BC7-ABDC-8CC6E765FA80}"/>
    <cellStyle name="Normal 5 2 2" xfId="4286" xr:uid="{D7D2EE55-21DE-4470-B851-98502A0E61A1}"/>
    <cellStyle name="Normal 5 3" xfId="4688" xr:uid="{E2F4BB44-EA2A-4F40-922F-608F9A0D8018}"/>
    <cellStyle name="Normal 5_ELC" xfId="7963" xr:uid="{F0FB2EBF-05E1-48F9-8C0F-EE84FD14D282}"/>
    <cellStyle name="Normal 6" xfId="4032" xr:uid="{B6005625-2450-49ED-B837-72B69E9DFFCC}"/>
    <cellStyle name="Normal 6 2" xfId="357" xr:uid="{C98680EA-C29A-4B0C-AB90-3ED3D1188FD6}"/>
    <cellStyle name="Normal 6 2 2" xfId="4287" xr:uid="{015E1047-D844-4292-8F3A-49CB2D0A422D}"/>
    <cellStyle name="Normal 6 3" xfId="358" xr:uid="{846170A0-AC48-46D0-B865-758E4E9A6707}"/>
    <cellStyle name="Normal 6 3 2" xfId="4288" xr:uid="{D8258472-A9D6-4F48-86AC-8BE135798B0E}"/>
    <cellStyle name="Normal 6 4" xfId="359" xr:uid="{ADCD7161-E6D0-40C1-816F-448F2EF2CC1C}"/>
    <cellStyle name="Normal 6 4 2" xfId="8302" xr:uid="{D537C875-7D12-4CD0-B183-50329630E035}"/>
    <cellStyle name="Normal 6 5" xfId="4689" xr:uid="{ED72A415-856F-4716-B5FE-AED94A71777C}"/>
    <cellStyle name="Normal 6 6" xfId="24307" xr:uid="{E1BAD97F-9C4C-486F-8609-75B8E5236FF3}"/>
    <cellStyle name="Normal 7" xfId="4033" xr:uid="{3A6BAA0B-CB05-4DC0-80DE-DC4338EFCE79}"/>
    <cellStyle name="Normal 7 2" xfId="360" xr:uid="{CAF2A695-1422-4D51-B98A-3C6DDBEA7734}"/>
    <cellStyle name="Normal 7 2 2" xfId="4289" xr:uid="{163B0571-91AF-4A44-BB8F-DFF32030410C}"/>
    <cellStyle name="Normal 7 3" xfId="361" xr:uid="{6BB4991F-879F-49F8-BD34-A28555E8D7E6}"/>
    <cellStyle name="Normal 7 3 2" xfId="4290" xr:uid="{C422798F-EDFB-49F7-959E-3A10EB86DF51}"/>
    <cellStyle name="Normal 7 4" xfId="362" xr:uid="{DCFFD885-094A-41D1-94F1-A8EF12225425}"/>
    <cellStyle name="Normal 7 4 2" xfId="8303" xr:uid="{8FF10419-A2CB-47B8-998C-61C56886EFE5}"/>
    <cellStyle name="Normal 7 5" xfId="4690" xr:uid="{8C4CACA5-D92E-4256-96BA-5F245ACB8DCF}"/>
    <cellStyle name="Normal 8" xfId="4034" xr:uid="{580F4CA6-50E2-45BD-B471-590A922E9BDC}"/>
    <cellStyle name="Normal 8 2" xfId="363" xr:uid="{4660C8E1-9D69-4D77-B390-30367B91D776}"/>
    <cellStyle name="Normal 8 2 2" xfId="4291" xr:uid="{A0759BFD-E05F-406E-A4F6-62FAF9ED5CFA}"/>
    <cellStyle name="Normal 8 3" xfId="364" xr:uid="{1D64DB57-EFC6-4308-AAF7-EBD4BF7F55BC}"/>
    <cellStyle name="Normal 8 3 2" xfId="4292" xr:uid="{5C14D65F-C4B1-42F4-AD01-0841DB2C91E8}"/>
    <cellStyle name="Normal 8 4" xfId="365" xr:uid="{71D6F823-D507-4732-ADA0-13587DBE3CC3}"/>
    <cellStyle name="Normal 8 4 2" xfId="8304" xr:uid="{86043A77-8B57-45CF-B167-1502724C0B19}"/>
    <cellStyle name="Normal 8 5" xfId="4691" xr:uid="{45BA3E9E-DAB9-4DCF-AED9-C0A0B44DCC8C}"/>
    <cellStyle name="Normal 9" xfId="366" xr:uid="{80C37DF5-82CC-469E-8A7A-3C884E7BBEE0}"/>
    <cellStyle name="Normal 9 10" xfId="4692" xr:uid="{88F2CB6A-9C94-48A9-B0A6-7E1F3B34865D}"/>
    <cellStyle name="Normal 9 10 2" xfId="25839" xr:uid="{35D8127D-0439-4650-8588-60B7A8A729A3}"/>
    <cellStyle name="Normal 9 11" xfId="4293" xr:uid="{282784A9-282F-468A-98B4-970B1B51DB0C}"/>
    <cellStyle name="Normal 9 12" xfId="8305" xr:uid="{98F195AC-68A8-4625-853E-4EBD7E9CF8A7}"/>
    <cellStyle name="Normal 9 12 2" xfId="28010" xr:uid="{A01586DC-08A8-4F41-B432-2F70DAF8B679}"/>
    <cellStyle name="Normal 9 13" xfId="8306" xr:uid="{2DA0CA45-15CC-4BEC-BE9C-5FBF8429CC7D}"/>
    <cellStyle name="Normal 9 13 2" xfId="28738" xr:uid="{7D5AA2AA-BE33-4C1C-97EB-A3E48EB634C7}"/>
    <cellStyle name="Normal 9 2" xfId="367" xr:uid="{14D20935-C517-4B32-872D-39AA05F94585}"/>
    <cellStyle name="Normal 9 2 2" xfId="368" xr:uid="{3A09380F-98BE-41E2-934A-0492F36C829A}"/>
    <cellStyle name="Normal 9 2 2 2" xfId="369" xr:uid="{431023E6-A45F-4DEC-9819-D13EACE83FD0}"/>
    <cellStyle name="Normal 9 2 2 2 2" xfId="4695" xr:uid="{79303872-E326-45D4-89BD-1279E8445EEB}"/>
    <cellStyle name="Normal 9 2 2 3" xfId="4694" xr:uid="{6801281E-C58C-4AA0-B62B-3A2E9DD20D0C}"/>
    <cellStyle name="Normal 9 2 3" xfId="370" xr:uid="{4B79F5C2-6195-48D1-99F4-0902C46E98F5}"/>
    <cellStyle name="Normal 9 2 3 2" xfId="4697" xr:uid="{8B7BF9F5-20ED-41CE-9E52-A70CF8A9EB1B}"/>
    <cellStyle name="Normal 9 2 3 3" xfId="4698" xr:uid="{0C3E630A-F073-48E8-BEAE-14909CF66217}"/>
    <cellStyle name="Normal 9 2 3 4" xfId="4696" xr:uid="{706BA2BC-7717-4943-8130-1517122C22C7}"/>
    <cellStyle name="Normal 9 2 4" xfId="371" xr:uid="{43F0352D-9D4A-46BF-81A6-C34C405BC596}"/>
    <cellStyle name="Normal 9 2 4 10" xfId="25840" xr:uid="{5713E4A1-D4B3-473C-A00F-282FC9ADB8C6}"/>
    <cellStyle name="Normal 9 2 4 2" xfId="4036" xr:uid="{6E99C084-C9C7-489F-93DC-ED765E643004}"/>
    <cellStyle name="Normal 9 2 4 2 2" xfId="8307" xr:uid="{0FE0BFA8-4FC3-4755-9FDC-81A462C41E8C}"/>
    <cellStyle name="Normal 9 2 4 2 2 2" xfId="28308" xr:uid="{B2A90F43-955D-49E4-8031-BE894C3A1E5B}"/>
    <cellStyle name="Normal 9 2 4 2 3" xfId="8308" xr:uid="{4C78639C-97A6-43FE-BA61-B2FEF9B39173}"/>
    <cellStyle name="Normal 9 2 4 2 3 2" xfId="28739" xr:uid="{4A6431AF-1749-4976-9A49-546CDF71BC52}"/>
    <cellStyle name="Normal 9 2 4 2 4" xfId="26195" xr:uid="{3CEA8E40-A909-452C-8E51-BF502F5AE386}"/>
    <cellStyle name="Normal 9 2 4 3" xfId="4699" xr:uid="{9813ECF8-B9AD-4748-A910-221D3847FDC4}"/>
    <cellStyle name="Normal 9 2 4 3 2" xfId="26342" xr:uid="{B5AEA171-68D7-4B99-930C-80D0C2507709}"/>
    <cellStyle name="Normal 9 2 4 4" xfId="8309" xr:uid="{03826495-9D82-4D4E-BBB7-946EEBA24361}"/>
    <cellStyle name="Normal 9 2 4 4 2" xfId="26464" xr:uid="{56F59994-BD79-487C-AB7A-466603E8820F}"/>
    <cellStyle name="Normal 9 2 4 5" xfId="8310" xr:uid="{1E221688-F6A8-4174-94F5-EEEA3D5C1138}"/>
    <cellStyle name="Normal 9 2 4 5 2" xfId="26882" xr:uid="{A12A7FF0-3582-4E41-8C07-E24B1C036276}"/>
    <cellStyle name="Normal 9 2 4 6" xfId="8311" xr:uid="{CF2BC154-7520-4A7C-A31A-72EE2B78CD21}"/>
    <cellStyle name="Normal 9 2 4 6 2" xfId="28011" xr:uid="{32C06055-79A0-4235-A8EB-F48E50C42CF0}"/>
    <cellStyle name="Normal 9 2 4 7" xfId="8312" xr:uid="{C35D9EF4-F30A-4201-9D37-B8EBF566BD79}"/>
    <cellStyle name="Normal 9 2 4 7 2" xfId="28740" xr:uid="{EDCE68D9-B10E-4C89-8562-DACE0AF5793C}"/>
    <cellStyle name="Normal 9 2 4 8" xfId="8313" xr:uid="{F58C9A4B-6B2B-4557-BEFC-EB40659D70CE}"/>
    <cellStyle name="Normal 9 2 4 8 2" xfId="28741" xr:uid="{5853A1CF-148C-4808-A47E-4FBFEBC721D7}"/>
    <cellStyle name="Normal 9 2 4 9" xfId="22392" xr:uid="{2C9F56CF-34C9-42D2-B78E-0C24A9506BCF}"/>
    <cellStyle name="Normal 9 2 4 9 2" xfId="40747" xr:uid="{229F58E1-16DB-4E83-A55E-563CB43F013A}"/>
    <cellStyle name="Normal 9 2 5" xfId="4693" xr:uid="{EF26F818-A6F3-4B19-A770-E1B5E808D0E4}"/>
    <cellStyle name="Normal 9 2 6" xfId="4294" xr:uid="{33533896-2D97-45DF-9262-A10925F98B8D}"/>
    <cellStyle name="Normal 9 3" xfId="372" xr:uid="{7D95763C-3646-41A5-A15F-CA5EA68D8EB5}"/>
    <cellStyle name="Normal 9 3 10" xfId="25825" xr:uid="{1492C703-FE7B-4BFB-A864-D8D9ED519D88}"/>
    <cellStyle name="Normal 9 3 2" xfId="4037" xr:uid="{CBDCAA80-AE7F-4C2B-A9C8-18F0BC3A28AD}"/>
    <cellStyle name="Normal 9 3 2 2" xfId="4700" xr:uid="{22536823-3BF2-4020-9923-226FC4E40CF6}"/>
    <cellStyle name="Normal 9 3 2 2 2" xfId="26883" xr:uid="{FE6BA8AA-B7F0-4315-946C-562E76F0E85A}"/>
    <cellStyle name="Normal 9 3 2 3" xfId="8314" xr:uid="{F54F6C32-A47A-4F22-8F4A-990F15338883}"/>
    <cellStyle name="Normal 9 3 2 3 2" xfId="28309" xr:uid="{6B2AD709-2777-4466-9D33-DEA3F395EB72}"/>
    <cellStyle name="Normal 9 3 2 4" xfId="8315" xr:uid="{C619303C-9FC7-4EB4-BC83-27421E4E6282}"/>
    <cellStyle name="Normal 9 3 2 4 2" xfId="28742" xr:uid="{C31AD399-19DC-4581-A53D-5D5F8DC86C5B}"/>
    <cellStyle name="Normal 9 3 2 5" xfId="25841" xr:uid="{316186D9-0B16-40BE-8E39-7E843B0AC4D7}"/>
    <cellStyle name="Normal 9 3 3" xfId="4295" xr:uid="{1B8F0CB0-9871-4CA8-8CDF-77DDDC2B8A8E}"/>
    <cellStyle name="Normal 9 3 3 2" xfId="26343" xr:uid="{0DD2A526-032C-4F36-84E1-F11E3568F78D}"/>
    <cellStyle name="Normal 9 3 4" xfId="8316" xr:uid="{4A7B34CA-9CFF-49B3-B117-85539D27214D}"/>
    <cellStyle name="Normal 9 3 4 2" xfId="26465" xr:uid="{2CC43C3A-B922-408A-8336-9BA667A473BC}"/>
    <cellStyle name="Normal 9 3 5" xfId="8317" xr:uid="{D38878E8-C21C-42C9-9F9D-575DE7DC7A5B}"/>
    <cellStyle name="Normal 9 3 5 2" xfId="26489" xr:uid="{739AA7CC-C875-4EB0-8A8E-FCF2A0027017}"/>
    <cellStyle name="Normal 9 3 6" xfId="8318" xr:uid="{42AFD294-684A-445A-9797-BEE70977214C}"/>
    <cellStyle name="Normal 9 3 6 2" xfId="28012" xr:uid="{AC4C4A8C-B529-4E3C-9684-8AB45A35020F}"/>
    <cellStyle name="Normal 9 3 7" xfId="8319" xr:uid="{7094C5A6-FB03-45A7-933E-0BCA02BB8C47}"/>
    <cellStyle name="Normal 9 3 7 2" xfId="28743" xr:uid="{3D5FC28B-9FDD-456B-80D1-C5BF4F0FD300}"/>
    <cellStyle name="Normal 9 3 8" xfId="8320" xr:uid="{FE8A7A21-ABD2-485E-A351-6453524BD856}"/>
    <cellStyle name="Normal 9 3 8 2" xfId="28744" xr:uid="{C3DB9238-0BEB-4D5E-896F-C1B440EFADF5}"/>
    <cellStyle name="Normal 9 3 9" xfId="22393" xr:uid="{2F6261E3-BC7B-468A-B63D-9E9D48D48796}"/>
    <cellStyle name="Normal 9 3 9 2" xfId="40748" xr:uid="{72C9A548-4B4B-49B4-8178-7A11B8705764}"/>
    <cellStyle name="Normal 9 4" xfId="373" xr:uid="{A643CD17-1A4C-4AB8-9C2F-0371D8E1F5AB}"/>
    <cellStyle name="Normal 9 4 2" xfId="374" xr:uid="{EB81532B-8177-45EC-8976-15D095C64041}"/>
    <cellStyle name="Normal 9 4 2 10" xfId="25843" xr:uid="{4F726B1C-F8B5-424C-AD84-AD1B8ADCB231}"/>
    <cellStyle name="Normal 9 4 2 2" xfId="4038" xr:uid="{26D74E8A-622B-4DD1-BBFB-4BF409F0EF71}"/>
    <cellStyle name="Normal 9 4 2 2 2" xfId="8321" xr:uid="{B9F9BBA4-B10B-417F-BF9D-7BF130ECF042}"/>
    <cellStyle name="Normal 9 4 2 2 2 2" xfId="28310" xr:uid="{D4140AA4-C7DF-43A1-8F27-1BDF2937EFDE}"/>
    <cellStyle name="Normal 9 4 2 2 3" xfId="8322" xr:uid="{6A1FEBD7-2427-45A9-AD1E-46000A23FBC7}"/>
    <cellStyle name="Normal 9 4 2 2 3 2" xfId="28745" xr:uid="{2DE9ECE7-3AAE-4D8D-A1F8-D0B9348F1DBF}"/>
    <cellStyle name="Normal 9 4 2 2 4" xfId="8323" xr:uid="{CAF37F8D-4052-4520-8AF1-FCA02B69513B}"/>
    <cellStyle name="Normal 9 4 2 2 4 2" xfId="28746" xr:uid="{C0E990DB-CCBA-48A8-ADFF-5847A4B58711}"/>
    <cellStyle name="Normal 9 4 2 2 5" xfId="26196" xr:uid="{DB8FFB94-FB95-45D7-A023-CEE05CC5B467}"/>
    <cellStyle name="Normal 9 4 2 3" xfId="4702" xr:uid="{F0E6CEE4-E527-4E80-8B35-BC6636C796ED}"/>
    <cellStyle name="Normal 9 4 2 3 2" xfId="8324" xr:uid="{48C03D6B-BCDB-44D2-9B90-A1EE5720FA81}"/>
    <cellStyle name="Normal 9 4 2 3 3" xfId="26344" xr:uid="{A89E5A1C-1A7C-4984-934B-8F62131AF387}"/>
    <cellStyle name="Normal 9 4 2 4" xfId="8325" xr:uid="{18CC52EB-585C-4125-B9D7-92C24EED05B8}"/>
    <cellStyle name="Normal 9 4 2 4 2" xfId="26466" xr:uid="{F56DA8A8-7F6D-4F61-BC3B-C1229785102D}"/>
    <cellStyle name="Normal 9 4 2 5" xfId="8326" xr:uid="{0E54A4AE-740A-4160-8DC6-D87F92094D30}"/>
    <cellStyle name="Normal 9 4 2 5 2" xfId="26885" xr:uid="{53D64240-B8E1-4676-A9E0-09A6B276B57F}"/>
    <cellStyle name="Normal 9 4 2 6" xfId="8327" xr:uid="{124C78EB-D473-4023-876B-A90C5AE30E5D}"/>
    <cellStyle name="Normal 9 4 2 6 2" xfId="28013" xr:uid="{1ED94A7A-94A1-4D25-93F1-DDB6295EA570}"/>
    <cellStyle name="Normal 9 4 2 7" xfId="8328" xr:uid="{19EACF9E-489B-4502-9405-106B2DB23615}"/>
    <cellStyle name="Normal 9 4 2 7 2" xfId="28747" xr:uid="{79D80F57-491F-4D2D-B83A-214AC9BF8C7E}"/>
    <cellStyle name="Normal 9 4 2 8" xfId="8329" xr:uid="{AD1B0594-3BFC-4994-B300-FE1EE7BA1765}"/>
    <cellStyle name="Normal 9 4 2 8 2" xfId="28748" xr:uid="{2568EE8C-4163-4C8B-9F19-352A90FE4506}"/>
    <cellStyle name="Normal 9 4 2 9" xfId="22395" xr:uid="{07ABE600-F0DD-48DB-9FE4-163CA553161D}"/>
    <cellStyle name="Normal 9 4 2 9 2" xfId="40749" xr:uid="{D1546EEC-1BD6-4185-840A-512485913A2C}"/>
    <cellStyle name="Normal 9 4 3" xfId="375" xr:uid="{1B45CD0C-FFE4-4C4F-A302-B982BABB5697}"/>
    <cellStyle name="Normal 9 4 3 2" xfId="4703" xr:uid="{D1146FFE-D7BE-4074-B640-E4FBD9EC8C67}"/>
    <cellStyle name="Normal 9 4 4" xfId="4704" xr:uid="{AD31F05F-B2EB-4E9B-89D8-E05081748FDD}"/>
    <cellStyle name="Normal 9 4 5" xfId="4701" xr:uid="{9534A266-026E-4982-B279-EB1F13ED0779}"/>
    <cellStyle name="Normal 9 4 5 2" xfId="26884" xr:uid="{4EBF66EE-CE5A-4F85-B6FB-DFC1455FFFD0}"/>
    <cellStyle name="Normal 9 4 6" xfId="22394" xr:uid="{4D4D2460-6ECB-487D-AF0F-07E02CD67B2F}"/>
    <cellStyle name="Normal 9 4 6 2" xfId="40750" xr:uid="{69C1C5C3-7935-4F60-A811-6D097D5611E9}"/>
    <cellStyle name="Normal 9 4 7" xfId="25842" xr:uid="{833C842C-2CD4-45E5-A880-0FF83E213937}"/>
    <cellStyle name="Normal 9 5" xfId="376" xr:uid="{576BAEBC-4974-4F7E-A78D-59AC6001506A}"/>
    <cellStyle name="Normal 9 5 2" xfId="377" xr:uid="{711DDE23-2E57-4F99-BDE6-EDDB0F40E4AF}"/>
    <cellStyle name="Normal 9 5 2 2" xfId="4706" xr:uid="{9633D390-7A6D-470A-A548-BD12B55F6467}"/>
    <cellStyle name="Normal 9 5 3" xfId="4707" xr:uid="{11674517-962F-47E0-9AF3-94197E1F1169}"/>
    <cellStyle name="Normal 9 5 4" xfId="4708" xr:uid="{1913770A-42D1-406A-BD85-810FE72ED3E8}"/>
    <cellStyle name="Normal 9 5 5" xfId="4705" xr:uid="{DB876EF3-63E0-4A0D-BC2C-4896D0DB2FC3}"/>
    <cellStyle name="Normal 9 6" xfId="378" xr:uid="{C6EA0BA1-B319-4ECE-8378-2E11888060B0}"/>
    <cellStyle name="Normal 9 6 2" xfId="379" xr:uid="{BEC3127D-A391-44E5-B5FB-132DC8DBD27C}"/>
    <cellStyle name="Normal 9 6 2 2" xfId="4710" xr:uid="{8201C62A-B08A-48A6-BD3F-ADB81D977D5A}"/>
    <cellStyle name="Normal 9 6 3" xfId="4709" xr:uid="{EADB6B08-FAB1-4C9E-949B-93B56AAD5D8D}"/>
    <cellStyle name="Normal 9 7" xfId="4035" xr:uid="{A1781173-CC6A-4D00-81AA-6E27BE65F395}"/>
    <cellStyle name="Normal 9 7 2" xfId="4711" xr:uid="{5E92EF24-B42C-488A-A4AB-5C293545A3F2}"/>
    <cellStyle name="Normal 9 7 3" xfId="8330" xr:uid="{7FC625C4-F9E3-4AD3-A0F8-EB0B9A5BC26F}"/>
    <cellStyle name="Normal 9 7 3 2" xfId="28307" xr:uid="{AFC5C960-38E6-48FF-A9E6-4D17B2FFE56C}"/>
    <cellStyle name="Normal 9 7 4" xfId="8331" xr:uid="{FF43055F-A8C1-4341-9727-853DEAF1000F}"/>
    <cellStyle name="Normal 9 7 4 2" xfId="28749" xr:uid="{9BD8404E-DF8E-4149-9721-73AC3EB43736}"/>
    <cellStyle name="Normal 9 8" xfId="4712" xr:uid="{A9C9372C-2CB9-4AC3-A560-275A35A35667}"/>
    <cellStyle name="Normal 9 8 2" xfId="8332" xr:uid="{A93AC403-2ED7-4E56-A38D-F3C1AACF5E64}"/>
    <cellStyle name="Normal 9 8 2 2" xfId="26886" xr:uid="{2B26AA60-B3A5-4905-8050-00A92EC52946}"/>
    <cellStyle name="Normal 9 8 3" xfId="22396" xr:uid="{AEF0C118-0164-45C1-A1A4-BDB03F4B5F4A}"/>
    <cellStyle name="Normal 9 8 3 2" xfId="40751" xr:uid="{05B130E3-2327-45B4-8F89-763946719D61}"/>
    <cellStyle name="Normal 9 8 4" xfId="25844" xr:uid="{D4066A4E-A7DF-42CC-94F3-869B4B9345EE}"/>
    <cellStyle name="Normal 9 9" xfId="4713" xr:uid="{0808DDDC-B1D4-4F95-9B21-7BBE6EEE6F5C}"/>
    <cellStyle name="Normal 9 9 2" xfId="8333" xr:uid="{71B5F114-F7B3-4765-ADF8-A9B5ED0D7B41}"/>
    <cellStyle name="Normal GHG Textfiels Bold" xfId="380" xr:uid="{7A18BFA3-15BE-4403-BFC2-597E09A53E51}"/>
    <cellStyle name="Normal GHG-Shade 2" xfId="381" xr:uid="{B4749B00-B8C4-47B0-91BF-FF2A676B8641}"/>
    <cellStyle name="Normal GHG-Shade 2 2" xfId="4296" xr:uid="{7C0CF91D-7087-4972-873E-89A323E47B80}"/>
    <cellStyle name="Normale_B2020" xfId="382" xr:uid="{2766040E-DA56-4CC7-B228-6BAB66615341}"/>
    <cellStyle name="Note 2" xfId="383" xr:uid="{57F15A01-16B8-482F-A23E-14991B1B69B0}"/>
    <cellStyle name="Note 2 2" xfId="4714" xr:uid="{E379C76C-0ABE-4870-B9D3-0CC8AE8852B5}"/>
    <cellStyle name="Note 2 2 2" xfId="25845" xr:uid="{9AF6C312-2139-4642-ADB1-74A59E3CA34D}"/>
    <cellStyle name="Note 2 3" xfId="25826" xr:uid="{AE35C3A7-F33A-4DD9-B21C-0E75E92C49F3}"/>
    <cellStyle name="Note 3" xfId="384" xr:uid="{288656B9-AECC-40AF-8DD7-FF2BAFFC7BF8}"/>
    <cellStyle name="Note 3 10" xfId="8334" xr:uid="{3409627A-733D-4C10-B3FA-90B53ED41BEF}"/>
    <cellStyle name="Note 3 11" xfId="8335" xr:uid="{E8E7DD87-5EDA-402E-9385-65AC543BE72F}"/>
    <cellStyle name="Note 3 12" xfId="25846" xr:uid="{4883B223-DE4C-4487-BCE5-A6E1C4DD86FC}"/>
    <cellStyle name="Note 3 2" xfId="4715" xr:uid="{D4C81E44-799C-40EE-9F90-264709B837CF}"/>
    <cellStyle name="Note 3 2 10" xfId="26887" xr:uid="{A43E7041-FD06-4C9C-A3D1-1A38CE77FBED}"/>
    <cellStyle name="Note 3 2 2" xfId="8336" xr:uid="{552D8A2D-0342-415A-8926-CB6DA6A6CD1B}"/>
    <cellStyle name="Note 3 2 3" xfId="8337" xr:uid="{A3A07F94-5D8D-4622-B0EE-693396C52275}"/>
    <cellStyle name="Note 3 2 4" xfId="8338" xr:uid="{B840DDD3-E933-4DCB-99F1-FADDFF538846}"/>
    <cellStyle name="Note 3 2 5" xfId="8339" xr:uid="{B1ED31AB-DB3A-438C-99A6-9EA0F846E65C}"/>
    <cellStyle name="Note 3 2 6" xfId="8340" xr:uid="{983C41D2-36F3-4429-9ED8-A4E3F02DE718}"/>
    <cellStyle name="Note 3 2 7" xfId="8341" xr:uid="{D4F81014-FFB4-420F-8894-4A1E06B25F2F}"/>
    <cellStyle name="Note 3 2 8" xfId="8342" xr:uid="{95620944-8F6F-49A7-A505-8FA635AD1722}"/>
    <cellStyle name="Note 3 2 9" xfId="8343" xr:uid="{23951D82-DB2F-4C6D-844E-513E36C3ADC0}"/>
    <cellStyle name="Note 3 3" xfId="8344" xr:uid="{73AC03C9-0209-44A3-8022-3A6DC17DECE8}"/>
    <cellStyle name="Note 3 3 2" xfId="8345" xr:uid="{ABF47925-7F26-4AA2-AE14-FAB1148A990E}"/>
    <cellStyle name="Note 3 3 3" xfId="8346" xr:uid="{F4127397-13E3-42DA-AECE-DF07CA97FEA1}"/>
    <cellStyle name="Note 3 3 4" xfId="8347" xr:uid="{9811BEA3-4476-40A9-9EF3-56EF4BF58283}"/>
    <cellStyle name="Note 3 3 5" xfId="8348" xr:uid="{C0E3AD61-25F6-45D0-8EC7-17E4CCD31505}"/>
    <cellStyle name="Note 3 3 6" xfId="8349" xr:uid="{1DD11E50-840F-417C-B152-261F707E501C}"/>
    <cellStyle name="Note 3 3 7" xfId="8350" xr:uid="{C9BE3DB4-1B8B-4D72-BE5C-316B50564C0B}"/>
    <cellStyle name="Note 3 3 8" xfId="8351" xr:uid="{8B8C02D6-A10A-4056-B5D7-CC46458F4ACB}"/>
    <cellStyle name="Note 3 4" xfId="8352" xr:uid="{4FB146CC-00C8-43CE-A1EA-8DC55EC653D6}"/>
    <cellStyle name="Note 3 4 2" xfId="8353" xr:uid="{A2FA429C-7E7E-4744-92D3-7A3A7A3BB676}"/>
    <cellStyle name="Note 3 4 3" xfId="8354" xr:uid="{7C02B472-AFA9-4760-AC87-CFEFEEAD662C}"/>
    <cellStyle name="Note 3 4 4" xfId="8355" xr:uid="{1D0AC5BF-37F9-42A9-944A-18C3823148A7}"/>
    <cellStyle name="Note 3 4 5" xfId="8356" xr:uid="{D23F99A8-96C2-4181-880F-18EEFC18A882}"/>
    <cellStyle name="Note 3 4 6" xfId="8357" xr:uid="{1CC394CA-B533-4591-ACBB-3C732FD0AC78}"/>
    <cellStyle name="Note 3 5" xfId="8358" xr:uid="{3271FBE4-C7FA-4FF1-BADC-2130D382C7C8}"/>
    <cellStyle name="Note 3 6" xfId="8359" xr:uid="{62E62A6B-6900-49AB-A9E5-863DDDDF0399}"/>
    <cellStyle name="Note 3 7" xfId="8360" xr:uid="{EDAA90A9-242B-487F-872D-6D4DC3C89BFD}"/>
    <cellStyle name="Note 3 8" xfId="8361" xr:uid="{BFB423CF-B06F-49FA-BD04-AA3DA3EAF066}"/>
    <cellStyle name="Note 3 9" xfId="8362" xr:uid="{E67CD53D-EDF9-425C-BA44-EAF6FF237B5A}"/>
    <cellStyle name="Note 4" xfId="8363" xr:uid="{1A6D50F8-55BB-4BA9-B921-E6E363401F75}"/>
    <cellStyle name="Note 4 10" xfId="26469" xr:uid="{F825BB95-9C80-4F8A-B1C6-E6F8F5793E21}"/>
    <cellStyle name="Note 4 2" xfId="8364" xr:uid="{F333F06D-64C5-4E23-88D1-A624AB55B154}"/>
    <cellStyle name="Note 4 3" xfId="8365" xr:uid="{3F341861-507D-4BBC-9A21-01ACC5F3F820}"/>
    <cellStyle name="Note 4 4" xfId="8366" xr:uid="{650CACBA-0089-4D42-AA79-8C0F59472388}"/>
    <cellStyle name="Note 4 5" xfId="8367" xr:uid="{366C1076-3F0C-4AE0-A700-34BAFF73C60E}"/>
    <cellStyle name="Note 4 6" xfId="8368" xr:uid="{FCFA071D-64FF-4E9F-A66F-F7BD646CF1DF}"/>
    <cellStyle name="Note 4 7" xfId="8369" xr:uid="{530D9887-D510-4658-963C-287C920AF717}"/>
    <cellStyle name="Note 4 8" xfId="8370" xr:uid="{F4E28A9B-6F44-4A59-AB62-2EE347EE2AB0}"/>
    <cellStyle name="Note 4 9" xfId="8371" xr:uid="{F99C07FF-8A82-49F3-8E33-D4FDAF63DA94}"/>
    <cellStyle name="Notiz" xfId="385" xr:uid="{3EFAEFC9-7307-4D8C-A062-ED85422B9883}"/>
    <cellStyle name="Notiz 10" xfId="386" xr:uid="{9AC7E8D1-392F-400C-9237-C9DEC9360E05}"/>
    <cellStyle name="Notiz 10 2" xfId="387" xr:uid="{3D97735B-202E-4A81-A6FA-4EF97AF11F09}"/>
    <cellStyle name="Notiz 10 2 2" xfId="4716" xr:uid="{82B7BF08-EEC3-47C7-8419-4DE042A0556E}"/>
    <cellStyle name="Notiz 10 2 2 2" xfId="26889" xr:uid="{AA3E6BA4-A453-40F7-88CF-12BB979B7B4C}"/>
    <cellStyle name="Notiz 10 2 3" xfId="25848" xr:uid="{1CEE4744-B0FD-4C06-B6B2-AAEA8354F8A5}"/>
    <cellStyle name="Notiz 10 3" xfId="4039" xr:uid="{1DADCDA1-FB95-4A05-AFD7-CDE4DE0CAF63}"/>
    <cellStyle name="Notiz 10 3 2" xfId="26888" xr:uid="{C827241D-154B-4D63-9809-B9240ED56E2D}"/>
    <cellStyle name="Notiz 10 4" xfId="25847" xr:uid="{482EC56D-63E6-4D14-B9C9-71173848E957}"/>
    <cellStyle name="Notiz 11" xfId="388" xr:uid="{1BDDDE0B-1013-4E44-87AE-EBC2E4AF18B3}"/>
    <cellStyle name="Notiz 11 2" xfId="389" xr:uid="{BCADA508-71FE-4126-811C-93400A0B8EB0}"/>
    <cellStyle name="Notiz 11 2 2" xfId="4718" xr:uid="{F2AB7C69-8711-4924-8635-92BD36D1FC0B}"/>
    <cellStyle name="Notiz 11 2 2 2" xfId="26891" xr:uid="{D5B4B34C-24FF-43FE-B256-60E3C387F1A3}"/>
    <cellStyle name="Notiz 11 2 3" xfId="25850" xr:uid="{CE8E9F7D-917B-4884-815A-49EA002C6552}"/>
    <cellStyle name="Notiz 11 3" xfId="4717" xr:uid="{3EC1BEBC-37C6-48D9-8AE8-01FCE235F913}"/>
    <cellStyle name="Notiz 11 3 2" xfId="26890" xr:uid="{2A86C3EA-47E9-4718-BABB-37C7B80BE442}"/>
    <cellStyle name="Notiz 11 4" xfId="25849" xr:uid="{614CC3CF-B281-420E-AEDA-00434D29AE2F}"/>
    <cellStyle name="Notiz 12" xfId="390" xr:uid="{B0C19482-3143-404B-92EB-25D2A1E9A418}"/>
    <cellStyle name="Notiz 12 2" xfId="4719" xr:uid="{466E3ADD-4692-49D1-9578-FA14B764D6A0}"/>
    <cellStyle name="Notiz 12 2 2" xfId="26892" xr:uid="{63031800-461C-4FDF-94A0-923FF2CC6CE2}"/>
    <cellStyle name="Notiz 12 3" xfId="8372" xr:uid="{B5E3B960-470D-4835-BCB4-269127FB0721}"/>
    <cellStyle name="Notiz 12 3 2" xfId="28750" xr:uid="{A48230D7-D1D0-4F64-84BC-347033EBFF75}"/>
    <cellStyle name="Notiz 12 4" xfId="8373" xr:uid="{4E3FDA35-4B53-4A1D-A88C-F0DFEA731591}"/>
    <cellStyle name="Notiz 12 4 2" xfId="28751" xr:uid="{D4F1E407-FA56-452D-804D-ACF046048249}"/>
    <cellStyle name="Notiz 12 5" xfId="8374" xr:uid="{1002B616-5B21-4349-908B-12A860AC7826}"/>
    <cellStyle name="Notiz 12 5 2" xfId="28752" xr:uid="{4CF3B7DB-2161-41E0-AC26-6D62B14F0C56}"/>
    <cellStyle name="Notiz 12 6" xfId="8375" xr:uid="{82919BCD-303F-4005-9867-7E00B60E5C31}"/>
    <cellStyle name="Notiz 12 6 2" xfId="28753" xr:uid="{089693D4-06A5-4B3A-9643-CEA1B7718C15}"/>
    <cellStyle name="Notiz 12 7" xfId="25851" xr:uid="{17EC6010-CBF2-444A-99FC-131C35E89292}"/>
    <cellStyle name="Notiz 13" xfId="8376" xr:uid="{C526C072-EED8-4422-8DD0-CCC90068F3ED}"/>
    <cellStyle name="Notiz 13 2" xfId="8377" xr:uid="{C89E3B75-EA1E-4CEB-82D1-EF070C0B3E79}"/>
    <cellStyle name="Notiz 13 2 2" xfId="28754" xr:uid="{D7F377E0-C316-42F0-BEBF-0D7D30B286AD}"/>
    <cellStyle name="Notiz 13 3" xfId="8378" xr:uid="{DB8D59D7-3E83-48D6-AB32-974052F8AAA8}"/>
    <cellStyle name="Notiz 13 3 2" xfId="28755" xr:uid="{AFD99A61-457C-4F0E-BE6D-21F3591BD7E1}"/>
    <cellStyle name="Notiz 13 4" xfId="26490" xr:uid="{5B667EE3-C031-45B9-831C-DDF934B23448}"/>
    <cellStyle name="Notiz 14" xfId="8379" xr:uid="{19641906-CE59-4AFF-9AF3-68D34F33AB83}"/>
    <cellStyle name="Notiz 14 2" xfId="8380" xr:uid="{F8624103-F278-43FE-B69A-078F2FFD44B2}"/>
    <cellStyle name="Notiz 14 2 2" xfId="28757" xr:uid="{B615E697-F449-4503-8881-3B4B543648FD}"/>
    <cellStyle name="Notiz 14 3" xfId="28756" xr:uid="{DF47D7B8-2AD3-48BC-BA6F-F18CE2A7FC05}"/>
    <cellStyle name="Notiz 15" xfId="8381" xr:uid="{B32BCB85-8B5F-4DAA-B19E-FC24B6CF82C5}"/>
    <cellStyle name="Notiz 15 2" xfId="8382" xr:uid="{023AF4A7-E32C-4DEB-B2C2-17CBADDEE780}"/>
    <cellStyle name="Notiz 15 2 2" xfId="28759" xr:uid="{0F9F8603-F563-4833-B1FA-F8735A4B7D64}"/>
    <cellStyle name="Notiz 15 3" xfId="28758" xr:uid="{E9109D76-964F-4EB4-8EC5-C1CA9D6E59DC}"/>
    <cellStyle name="Notiz 16" xfId="25827" xr:uid="{892F9DFB-7705-4294-B4C5-2A9FD66E6873}"/>
    <cellStyle name="Notiz 2" xfId="391" xr:uid="{29DB2B8F-6680-4923-B098-FA0D41466DB6}"/>
    <cellStyle name="Notiz 2 2" xfId="4297" xr:uid="{CF891E3B-EB54-4D86-B77D-16B723D59570}"/>
    <cellStyle name="Notiz 2 2 2" xfId="26491" xr:uid="{E36E50AF-E5BB-4480-9B5D-F1C121ED1C14}"/>
    <cellStyle name="Notiz 2 3" xfId="25828" xr:uid="{BD6E4583-41D0-4100-9D9B-12F3475DFA45}"/>
    <cellStyle name="Notiz 3" xfId="392" xr:uid="{A91E3230-267D-49A9-A0D2-C65E7DCD1420}"/>
    <cellStyle name="Notiz 3 2" xfId="393" xr:uid="{6DAEFC07-3D86-4283-B87F-DA7A8B2933DA}"/>
    <cellStyle name="Notiz 3 2 2" xfId="394" xr:uid="{7CAD78E3-6D28-41CA-842A-230AD161B113}"/>
    <cellStyle name="Notiz 3 2 2 2" xfId="4720" xr:uid="{9278E664-B88D-48E7-AF45-8E373E22EA5E}"/>
    <cellStyle name="Notiz 3 2 2 2 2" xfId="26893" xr:uid="{0494E573-ED89-4066-AEAA-98215368012A}"/>
    <cellStyle name="Notiz 3 2 2 3" xfId="25852" xr:uid="{BE824498-BFFE-4FE5-85B2-7C2E12BE1085}"/>
    <cellStyle name="Notiz 3 2 3" xfId="4299" xr:uid="{AA0050FE-24C3-4422-A195-55F969A05905}"/>
    <cellStyle name="Notiz 3 2 3 2" xfId="26493" xr:uid="{CD2349FE-1F9A-472A-ADE6-2741B724AB15}"/>
    <cellStyle name="Notiz 3 2 4" xfId="25830" xr:uid="{0FFF702A-702D-461F-A7E8-455CB5EFA828}"/>
    <cellStyle name="Notiz 3 3" xfId="395" xr:uid="{52C08C22-4F62-4C7B-B175-F87B6C73AF99}"/>
    <cellStyle name="Notiz 3 3 2" xfId="396" xr:uid="{696D2122-4BB0-4AA2-971C-12731EFCDDBA}"/>
    <cellStyle name="Notiz 3 3 2 2" xfId="4722" xr:uid="{73F99578-3DC0-434B-A131-0FBFFF30D90C}"/>
    <cellStyle name="Notiz 3 3 2 2 2" xfId="26895" xr:uid="{5A9ABCBD-EE4B-46AE-AE73-068B238D5E0C}"/>
    <cellStyle name="Notiz 3 3 2 3" xfId="25854" xr:uid="{6637B5D4-150B-408F-BB91-C9BC1D424AE9}"/>
    <cellStyle name="Notiz 3 3 3" xfId="397" xr:uid="{E340E60E-0CAC-422E-912E-2A82CAB24BE7}"/>
    <cellStyle name="Notiz 3 3 3 2" xfId="398" xr:uid="{A48B970C-ED61-4761-8231-C18D1B97F5D4}"/>
    <cellStyle name="Notiz 3 3 3 2 2" xfId="4724" xr:uid="{E484E912-BCF5-4DDD-AFB2-B32AFFC9AFAE}"/>
    <cellStyle name="Notiz 3 3 3 2 2 2" xfId="26897" xr:uid="{7EE6E50D-681F-4156-A32D-D19D69DD3A96}"/>
    <cellStyle name="Notiz 3 3 3 2 3" xfId="25856" xr:uid="{C54B1FD9-7F35-4E76-A2E6-33F2560E4E55}"/>
    <cellStyle name="Notiz 3 3 3 3" xfId="4725" xr:uid="{440821D0-DCA2-4898-B1EC-B55C5A97BE67}"/>
    <cellStyle name="Notiz 3 3 3 3 2" xfId="25857" xr:uid="{341595CC-23EE-476A-B640-08FF34292F11}"/>
    <cellStyle name="Notiz 3 3 3 4" xfId="4726" xr:uid="{D9F4B075-E965-4CEF-9A13-B46606C78474}"/>
    <cellStyle name="Notiz 3 3 3 4 2" xfId="25858" xr:uid="{C315CF4C-9639-43F8-A9E2-2B94864EECD6}"/>
    <cellStyle name="Notiz 3 3 3 5" xfId="4723" xr:uid="{13322D65-8C04-41C8-B6E8-C637C2464C32}"/>
    <cellStyle name="Notiz 3 3 3 5 2" xfId="26896" xr:uid="{AD411223-EB12-4A30-AF3E-502F4CCDD26C}"/>
    <cellStyle name="Notiz 3 3 3 6" xfId="25855" xr:uid="{1D6DD1DF-368E-47FA-B859-99FCA3ADBC41}"/>
    <cellStyle name="Notiz 3 3 4" xfId="399" xr:uid="{4744B731-A437-4D9C-8710-7D00BCCA57EA}"/>
    <cellStyle name="Notiz 3 3 4 2" xfId="400" xr:uid="{EE817CD4-31EA-49DC-B671-6E0FB52F99CC}"/>
    <cellStyle name="Notiz 3 3 4 2 2" xfId="4728" xr:uid="{94FB5C14-3691-4D78-B4C9-BC89A35D6FDB}"/>
    <cellStyle name="Notiz 3 3 4 2 2 2" xfId="26899" xr:uid="{FE7128D2-6828-4720-BC6E-A8941DB2D3C2}"/>
    <cellStyle name="Notiz 3 3 4 2 3" xfId="25860" xr:uid="{C1B7EEC6-595F-4558-A951-A2057181257B}"/>
    <cellStyle name="Notiz 3 3 4 3" xfId="4727" xr:uid="{708CCBA1-C7A8-467E-8B36-35704740F0FC}"/>
    <cellStyle name="Notiz 3 3 4 3 2" xfId="26898" xr:uid="{0C1D48DE-FF52-4A3D-BE52-77D6F280878B}"/>
    <cellStyle name="Notiz 3 3 4 4" xfId="25859" xr:uid="{E0C09F5A-C7A7-42BC-B502-E47F2AFB4558}"/>
    <cellStyle name="Notiz 3 3 5" xfId="4729" xr:uid="{ABD5176C-3D39-4F30-B920-7A7B8B084742}"/>
    <cellStyle name="Notiz 3 3 5 2" xfId="25861" xr:uid="{E79DE156-A8F0-46AC-B339-6285D7AEBB52}"/>
    <cellStyle name="Notiz 3 3 6" xfId="4721" xr:uid="{7186297E-AAA8-4BA9-B47A-5851A5FEF153}"/>
    <cellStyle name="Notiz 3 3 6 2" xfId="26894" xr:uid="{B5610EFC-ADB9-41CD-9109-9DF677B0B65B}"/>
    <cellStyle name="Notiz 3 3 7" xfId="25853" xr:uid="{7E9A81F0-956F-4A14-85C4-8906A83BFFBD}"/>
    <cellStyle name="Notiz 3 4" xfId="401" xr:uid="{ABCAE0F0-575D-41B9-8E3C-D6509D701718}"/>
    <cellStyle name="Notiz 3 4 2" xfId="4731" xr:uid="{47674DEE-C22D-4B69-A391-0A9EE5A356A9}"/>
    <cellStyle name="Notiz 3 4 2 2" xfId="25863" xr:uid="{43AA5BFD-AD6B-4870-A3B2-2DF947E31371}"/>
    <cellStyle name="Notiz 3 4 3" xfId="4732" xr:uid="{EE27ED78-E373-4102-BDF0-407A898434D2}"/>
    <cellStyle name="Notiz 3 4 3 2" xfId="25864" xr:uid="{71F1FA54-5F96-46B4-B0AD-428BF5CE61F0}"/>
    <cellStyle name="Notiz 3 4 4" xfId="4730" xr:uid="{AFE28A73-BA8B-4498-8547-54C98CE2E796}"/>
    <cellStyle name="Notiz 3 4 4 2" xfId="26900" xr:uid="{B16D69E2-BDEB-4CB2-BEA9-3D67419D5593}"/>
    <cellStyle name="Notiz 3 4 5" xfId="25862" xr:uid="{1DF63160-4064-45C7-8DA4-B53CCA8E89D7}"/>
    <cellStyle name="Notiz 3 5" xfId="4733" xr:uid="{185A18A2-CCE9-4C63-856E-CAE314D72143}"/>
    <cellStyle name="Notiz 3 5 2" xfId="8383" xr:uid="{1A24B89B-C00C-403E-8C0C-B1428E66D9BF}"/>
    <cellStyle name="Notiz 3 5 2 2" xfId="26901" xr:uid="{94B9DD55-AD9D-4538-8872-8EFCA9D47A37}"/>
    <cellStyle name="Notiz 3 5 3" xfId="25865" xr:uid="{A88C5994-BACD-45F2-B6CA-EFA67F8CBDAF}"/>
    <cellStyle name="Notiz 3 6" xfId="4298" xr:uid="{72A11372-84BC-4CCE-8A75-3F3F5D6F8DE5}"/>
    <cellStyle name="Notiz 3 6 2" xfId="26492" xr:uid="{97C4B4B9-8300-4E17-9926-3C061DD03D39}"/>
    <cellStyle name="Notiz 3 7" xfId="25829" xr:uid="{5B7606DE-C9DF-4BFF-9B5A-ED01A4C6C0B4}"/>
    <cellStyle name="Notiz 4" xfId="402" xr:uid="{B4F1BD07-976A-4380-BE17-C42BE9FBED7F}"/>
    <cellStyle name="Notiz 4 2" xfId="403" xr:uid="{A0A711BF-4080-491F-A105-919F8C2395A2}"/>
    <cellStyle name="Notiz 4 2 2" xfId="404" xr:uid="{43F785A5-7F74-4BA6-B7EE-5E0E04967D25}"/>
    <cellStyle name="Notiz 4 2 2 2" xfId="4736" xr:uid="{EAA98909-B759-4139-B0A4-1AE8CC0C4CC0}"/>
    <cellStyle name="Notiz 4 2 2 2 2" xfId="26903" xr:uid="{46480239-A055-4BB6-B2F2-AEF77A28B064}"/>
    <cellStyle name="Notiz 4 2 2 3" xfId="25868" xr:uid="{86C3FAA7-AC3D-43F8-8287-458DA2D0E9E5}"/>
    <cellStyle name="Notiz 4 2 3" xfId="405" xr:uid="{18574B26-4510-45BE-A073-353297BE75A3}"/>
    <cellStyle name="Notiz 4 2 3 2" xfId="406" xr:uid="{2C5495CC-E61B-4141-B168-3723F7767A23}"/>
    <cellStyle name="Notiz 4 2 3 2 2" xfId="4738" xr:uid="{9C1F9D1F-1002-4208-BA80-7C7C39A5F12C}"/>
    <cellStyle name="Notiz 4 2 3 2 2 2" xfId="26905" xr:uid="{4A0EA872-CEDB-4D55-9AF8-84AB60C4F21C}"/>
    <cellStyle name="Notiz 4 2 3 2 3" xfId="25870" xr:uid="{AD913D2B-0792-42BE-8E76-AE5E06A26DAE}"/>
    <cellStyle name="Notiz 4 2 3 3" xfId="4739" xr:uid="{55C07F54-ECB7-4DFF-B053-C3BE606A714D}"/>
    <cellStyle name="Notiz 4 2 3 3 2" xfId="25871" xr:uid="{815210DB-339F-44E8-877E-2797BADF3C15}"/>
    <cellStyle name="Notiz 4 2 3 4" xfId="4740" xr:uid="{99637CC3-9316-43FE-B372-115E61299184}"/>
    <cellStyle name="Notiz 4 2 3 4 2" xfId="25872" xr:uid="{189E669E-0EDA-4491-A743-848939105A22}"/>
    <cellStyle name="Notiz 4 2 3 5" xfId="4737" xr:uid="{6CFE4D2E-AC59-47C5-91C9-A4E5D16B74D6}"/>
    <cellStyle name="Notiz 4 2 3 5 2" xfId="26904" xr:uid="{45551FB9-D59F-45FC-83A9-7D8D225DFEC0}"/>
    <cellStyle name="Notiz 4 2 3 6" xfId="25869" xr:uid="{71B3BE38-31D9-436F-A1B9-0A08605FA0DD}"/>
    <cellStyle name="Notiz 4 2 4" xfId="407" xr:uid="{D36F2402-A73B-4415-B023-36638AABC2D8}"/>
    <cellStyle name="Notiz 4 2 4 2" xfId="408" xr:uid="{D85C254E-01DC-4AEC-90F1-AE9C72CD32E2}"/>
    <cellStyle name="Notiz 4 2 4 2 2" xfId="4742" xr:uid="{561BF673-B2F2-4D72-B506-481A103C7FE9}"/>
    <cellStyle name="Notiz 4 2 4 2 2 2" xfId="26907" xr:uid="{A254E622-C200-4ADA-B7BA-5BA6157816BD}"/>
    <cellStyle name="Notiz 4 2 4 2 3" xfId="25874" xr:uid="{8C8A04FE-72D2-4CEE-BDD6-CBB2F3AE1E21}"/>
    <cellStyle name="Notiz 4 2 4 3" xfId="4741" xr:uid="{211993C5-1C34-48AA-88D2-ED3C7745F6B9}"/>
    <cellStyle name="Notiz 4 2 4 3 2" xfId="26906" xr:uid="{2E1AD46D-553F-4B52-9190-065C7101B5B3}"/>
    <cellStyle name="Notiz 4 2 4 4" xfId="25873" xr:uid="{07D965F0-34CB-4018-A7DE-28CDA21EFFF4}"/>
    <cellStyle name="Notiz 4 2 5" xfId="4743" xr:uid="{62F431A7-AE7F-4889-8774-B78C4A68AADC}"/>
    <cellStyle name="Notiz 4 2 5 2" xfId="25875" xr:uid="{7A20E3CD-8113-4DC1-84AA-FE88C20CAD5B}"/>
    <cellStyle name="Notiz 4 2 6" xfId="4735" xr:uid="{20E3E044-4846-4591-A9C6-8812AD4DB545}"/>
    <cellStyle name="Notiz 4 2 6 2" xfId="26902" xr:uid="{3C22EDC8-C4CB-432A-9556-47385F95D201}"/>
    <cellStyle name="Notiz 4 2 7" xfId="25867" xr:uid="{16021AE1-F87B-41E4-ACFB-5C602ED2B21A}"/>
    <cellStyle name="Notiz 4 3" xfId="409" xr:uid="{F3D3F760-72BE-40EF-8121-09A79A486B2D}"/>
    <cellStyle name="Notiz 4 3 2" xfId="4744" xr:uid="{A5411654-4ABB-4EF4-A55E-E61FB8E1F6DE}"/>
    <cellStyle name="Notiz 4 3 2 2" xfId="26908" xr:uid="{E98B401B-808A-4969-8A19-CC39CC3249BA}"/>
    <cellStyle name="Notiz 4 3 3" xfId="25876" xr:uid="{F4C3F915-42CB-4A99-99FE-D57266AC0485}"/>
    <cellStyle name="Notiz 4 4" xfId="4745" xr:uid="{A6406E2B-7FFC-4366-992B-7ADB8F8F3CF1}"/>
    <cellStyle name="Notiz 4 4 2" xfId="4746" xr:uid="{264B3D8D-2EF1-442A-A364-4EA4A44B0594}"/>
    <cellStyle name="Notiz 4 4 2 2" xfId="25878" xr:uid="{D62322A6-5B10-49F8-80A4-885C26AE0D1B}"/>
    <cellStyle name="Notiz 4 4 3" xfId="25877" xr:uid="{070693C6-E663-430B-9308-23E6D598E684}"/>
    <cellStyle name="Notiz 4 5" xfId="4734" xr:uid="{0DA99B4D-6ECD-46C3-A865-4E48B7582C0B}"/>
    <cellStyle name="Notiz 4 5 2" xfId="25866" xr:uid="{4FB2522D-FCC7-4044-A9C0-B691C4A7D7FF}"/>
    <cellStyle name="Notiz 4 6" xfId="4300" xr:uid="{B9EC3DFC-5979-4A17-8EEA-BB29BBC45675}"/>
    <cellStyle name="Notiz 4 6 2" xfId="26494" xr:uid="{820B03EF-F8BC-4FBF-8486-9421B3E35195}"/>
    <cellStyle name="Notiz 4 7" xfId="25831" xr:uid="{8FABFEAF-CF8E-43FE-816C-EED6F8886203}"/>
    <cellStyle name="Notiz 5" xfId="410" xr:uid="{64B103C1-CA68-4B62-8988-4A5EB5A76270}"/>
    <cellStyle name="Notiz 5 2" xfId="411" xr:uid="{31992844-C14B-4412-B18B-FC1795B92E4A}"/>
    <cellStyle name="Notiz 5 2 2" xfId="412" xr:uid="{169D9860-3F02-4244-A0C2-4E84E498F1F3}"/>
    <cellStyle name="Notiz 5 2 2 2" xfId="4749" xr:uid="{714F842E-B4B0-4D48-8414-E3C5B9A8D234}"/>
    <cellStyle name="Notiz 5 2 2 2 2" xfId="26910" xr:uid="{90A84AE3-0760-49ED-BC65-C7B11748240E}"/>
    <cellStyle name="Notiz 5 2 2 3" xfId="25881" xr:uid="{1368A766-23E7-44A9-B0D6-206E04B59ECC}"/>
    <cellStyle name="Notiz 5 2 3" xfId="413" xr:uid="{10183EE0-B3DD-4251-8A84-1ED927041C2F}"/>
    <cellStyle name="Notiz 5 2 3 2" xfId="414" xr:uid="{806DF40C-3719-417B-92FB-FB46A1B3530D}"/>
    <cellStyle name="Notiz 5 2 3 2 2" xfId="4751" xr:uid="{B397E8AD-DA6A-44D4-8170-EE0C7D537DDF}"/>
    <cellStyle name="Notiz 5 2 3 2 2 2" xfId="26912" xr:uid="{8091FEA7-70C1-40B9-B204-CBE157A40645}"/>
    <cellStyle name="Notiz 5 2 3 2 3" xfId="25883" xr:uid="{ABD0EA2B-39C4-472E-9891-02CAA20D83EA}"/>
    <cellStyle name="Notiz 5 2 3 3" xfId="4752" xr:uid="{C7C41BDE-5CEE-4D18-89C3-5565CE92752F}"/>
    <cellStyle name="Notiz 5 2 3 3 2" xfId="25884" xr:uid="{4A72A32F-7D13-4C9A-A1C6-2DD566DFE7D8}"/>
    <cellStyle name="Notiz 5 2 3 4" xfId="4753" xr:uid="{150DB8AA-2C00-4610-80D6-39107CF5BB51}"/>
    <cellStyle name="Notiz 5 2 3 4 2" xfId="25885" xr:uid="{89E6D5C1-2171-4A0F-BA8F-8C18D4FA9F75}"/>
    <cellStyle name="Notiz 5 2 3 5" xfId="4750" xr:uid="{73DD22D2-23DB-4966-BC3E-58EEEDCA5527}"/>
    <cellStyle name="Notiz 5 2 3 5 2" xfId="26911" xr:uid="{4F427374-B6CD-416D-8A05-C7D80165CBF8}"/>
    <cellStyle name="Notiz 5 2 3 6" xfId="25882" xr:uid="{4AC34C91-CD49-4883-B920-7141C314D7EB}"/>
    <cellStyle name="Notiz 5 2 4" xfId="415" xr:uid="{CBA3AAB0-A9B0-4D58-93D3-7B23F16A9ECD}"/>
    <cellStyle name="Notiz 5 2 4 2" xfId="416" xr:uid="{39905D77-8238-4DE2-A7CD-01F726D6492D}"/>
    <cellStyle name="Notiz 5 2 4 2 2" xfId="4755" xr:uid="{5D896546-8E4B-402A-8FCB-C72CF827F4AD}"/>
    <cellStyle name="Notiz 5 2 4 2 2 2" xfId="26914" xr:uid="{FD2CFA5D-6D6D-414E-AA50-7ECDE1C4BC36}"/>
    <cellStyle name="Notiz 5 2 4 2 3" xfId="25887" xr:uid="{296CB7EC-27E4-42E3-B32F-62A704681421}"/>
    <cellStyle name="Notiz 5 2 4 3" xfId="4754" xr:uid="{ABF5B45C-2EAB-4E36-BAD5-D3D4ED27F9BB}"/>
    <cellStyle name="Notiz 5 2 4 3 2" xfId="26913" xr:uid="{29FA3B72-52EC-4322-963E-52B98BDF9EF9}"/>
    <cellStyle name="Notiz 5 2 4 4" xfId="25886" xr:uid="{C7A8E8BB-5607-478A-AF59-F97B65AC65A1}"/>
    <cellStyle name="Notiz 5 2 5" xfId="4756" xr:uid="{60CD90CC-94BF-4112-AE9E-1C2A6F12881C}"/>
    <cellStyle name="Notiz 5 2 5 2" xfId="25888" xr:uid="{754EF5A3-0E89-406B-AF0A-3638DA8D609F}"/>
    <cellStyle name="Notiz 5 2 6" xfId="4748" xr:uid="{CE0A6C13-1201-482F-83DC-B527AB620C7F}"/>
    <cellStyle name="Notiz 5 2 6 2" xfId="26909" xr:uid="{4AFD8686-1050-449A-9963-E45ED04913C3}"/>
    <cellStyle name="Notiz 5 2 7" xfId="25880" xr:uid="{86E8BA7C-A4C0-480F-9F3C-F902C4E9828F}"/>
    <cellStyle name="Notiz 5 3" xfId="417" xr:uid="{F4CF29A9-FC2D-488F-9CA3-47BC048E24DF}"/>
    <cellStyle name="Notiz 5 3 2" xfId="4757" xr:uid="{98A85D63-4E9D-412F-9895-C2C7DFA9B78C}"/>
    <cellStyle name="Notiz 5 3 2 2" xfId="26915" xr:uid="{5E6B3C15-3AFC-40E2-8CD6-055CD7C21085}"/>
    <cellStyle name="Notiz 5 3 3" xfId="25889" xr:uid="{F0238571-3268-469A-A45D-0313C1BBB492}"/>
    <cellStyle name="Notiz 5 4" xfId="4758" xr:uid="{454DDCA7-2FB7-42BC-B428-892072EF5B7F}"/>
    <cellStyle name="Notiz 5 4 2" xfId="4759" xr:uid="{5DD3A954-B5E8-4B68-9E71-BA085337EC70}"/>
    <cellStyle name="Notiz 5 4 2 2" xfId="25891" xr:uid="{3B2714F1-6852-4CAB-B61E-9662242CA241}"/>
    <cellStyle name="Notiz 5 4 3" xfId="25890" xr:uid="{17C3DF76-3677-4649-8ADB-2FEA7CA0CE3A}"/>
    <cellStyle name="Notiz 5 5" xfId="4747" xr:uid="{D33E3251-4AF1-46C1-A55A-54EAF87CA538}"/>
    <cellStyle name="Notiz 5 5 2" xfId="25879" xr:uid="{852FF2B1-9FF8-4D27-976E-42DD9296FD5B}"/>
    <cellStyle name="Notiz 5 6" xfId="4301" xr:uid="{0956576C-834A-49A7-B8EA-C0262272AE2A}"/>
    <cellStyle name="Notiz 5 6 2" xfId="26495" xr:uid="{CAF5A7AB-166B-4CA5-853E-C34CCB519761}"/>
    <cellStyle name="Notiz 5 7" xfId="25832" xr:uid="{06416F44-DDC3-4C95-B538-61F89D25DADF}"/>
    <cellStyle name="Notiz 6" xfId="418" xr:uid="{FFC38343-0FB9-46E7-A8E2-D34CBC19D786}"/>
    <cellStyle name="Notiz 6 2" xfId="419" xr:uid="{0EDAA238-FA48-404D-9717-102CA14E4C99}"/>
    <cellStyle name="Notiz 6 2 2" xfId="4761" xr:uid="{A3BB952A-3A49-4C42-BA7B-D6BBD01C9335}"/>
    <cellStyle name="Notiz 6 2 2 2" xfId="26917" xr:uid="{C325F680-70AB-4BD2-B75E-EAA996007E28}"/>
    <cellStyle name="Notiz 6 2 3" xfId="25893" xr:uid="{96F295AA-8F4C-4479-AE6B-E87DDAE2BF3F}"/>
    <cellStyle name="Notiz 6 3" xfId="420" xr:uid="{010557C8-4A97-4024-9CEB-2640ECC479BC}"/>
    <cellStyle name="Notiz 6 3 2" xfId="421" xr:uid="{FBD099A8-0F37-4AB6-8A92-D814A9F91FB6}"/>
    <cellStyle name="Notiz 6 3 2 2" xfId="4763" xr:uid="{BC80FBE6-D62F-40D3-931B-0BCD5DE4A427}"/>
    <cellStyle name="Notiz 6 3 2 2 2" xfId="26919" xr:uid="{B1B8A4AB-A588-42C5-A01C-8C2D2F0BD1EC}"/>
    <cellStyle name="Notiz 6 3 2 3" xfId="25895" xr:uid="{95D060FA-8517-41F3-AA31-623EC6F78956}"/>
    <cellStyle name="Notiz 6 3 3" xfId="4764" xr:uid="{7FD16E27-ECC3-41C2-A20B-42F65493B988}"/>
    <cellStyle name="Notiz 6 3 3 2" xfId="25896" xr:uid="{75981238-9457-4882-A516-B1D91679E432}"/>
    <cellStyle name="Notiz 6 3 4" xfId="4765" xr:uid="{56BD67BE-0393-44FF-BCFF-4E81FA2E402E}"/>
    <cellStyle name="Notiz 6 3 4 2" xfId="25897" xr:uid="{BB3DCA4C-BD72-4C21-AC3B-A3584FBEBDEF}"/>
    <cellStyle name="Notiz 6 3 5" xfId="4762" xr:uid="{A500B188-B28F-4266-A956-6AC4FF073EAD}"/>
    <cellStyle name="Notiz 6 3 5 2" xfId="26918" xr:uid="{844B5B85-104E-41C5-B66D-EDD4EC971FB5}"/>
    <cellStyle name="Notiz 6 3 6" xfId="25894" xr:uid="{51ADB9CB-4AF0-408B-A7F9-A5968421D5E9}"/>
    <cellStyle name="Notiz 6 4" xfId="422" xr:uid="{6DAB5BCA-8F89-4108-88A5-6BF0C859220B}"/>
    <cellStyle name="Notiz 6 4 2" xfId="423" xr:uid="{8C04E7A0-7FE6-4936-9B1E-758B07EBCF39}"/>
    <cellStyle name="Notiz 6 4 2 2" xfId="4767" xr:uid="{BF0C8AC5-EFA6-42AD-BEEC-40DD40D204AC}"/>
    <cellStyle name="Notiz 6 4 2 2 2" xfId="26921" xr:uid="{4030E0FF-40A5-48C7-BA84-BCB157C2B6C4}"/>
    <cellStyle name="Notiz 6 4 2 3" xfId="25899" xr:uid="{6B265A76-26E6-4433-A622-F6CE0AFDD72D}"/>
    <cellStyle name="Notiz 6 4 3" xfId="4766" xr:uid="{E9A0FE6E-F1B0-4E2C-8924-36AFDE010291}"/>
    <cellStyle name="Notiz 6 4 3 2" xfId="26920" xr:uid="{0428895E-C98E-48B9-8EC8-C938876FE97B}"/>
    <cellStyle name="Notiz 6 4 4" xfId="25898" xr:uid="{84F0D7E4-B577-4946-86E6-37C41DD962F5}"/>
    <cellStyle name="Notiz 6 5" xfId="4768" xr:uid="{D39C7F6C-4E7E-44BF-A6E5-AE49247A5E9F}"/>
    <cellStyle name="Notiz 6 5 2" xfId="25900" xr:uid="{A20AFECB-9788-4B3D-AE61-7831D3BC9203}"/>
    <cellStyle name="Notiz 6 6" xfId="4760" xr:uid="{4D368CA4-148C-4010-AC50-6103FBC0CD7B}"/>
    <cellStyle name="Notiz 6 6 2" xfId="26916" xr:uid="{A94570F0-19F6-486B-82CA-CF7D107EF381}"/>
    <cellStyle name="Notiz 6 7" xfId="25892" xr:uid="{43B4A76C-BB8E-48E4-BEBB-8E1F3052B7F9}"/>
    <cellStyle name="Notiz 7" xfId="424" xr:uid="{62EB8CF5-C4F3-4E46-B893-E9C621DD9EAC}"/>
    <cellStyle name="Notiz 7 2" xfId="425" xr:uid="{4D714A06-A487-42BB-B642-E196047851A3}"/>
    <cellStyle name="Notiz 7 2 2" xfId="4770" xr:uid="{F6A8B538-F89C-4339-8093-372AE87D5204}"/>
    <cellStyle name="Notiz 7 2 2 2" xfId="26923" xr:uid="{435E1BBB-E581-4D5C-A82E-D7E996D71F6B}"/>
    <cellStyle name="Notiz 7 2 3" xfId="25902" xr:uid="{39ED16F9-9AC4-4A2E-A7BF-B451DFBF56B2}"/>
    <cellStyle name="Notiz 7 3" xfId="4771" xr:uid="{86850F43-8FC2-4F2E-B9CC-1104F771A7A9}"/>
    <cellStyle name="Notiz 7 3 2" xfId="25903" xr:uid="{39F3BE8D-0515-4245-909B-9BA9565AE571}"/>
    <cellStyle name="Notiz 7 4" xfId="4772" xr:uid="{9A6213BF-5D76-4E21-8233-2EAF88A64C66}"/>
    <cellStyle name="Notiz 7 4 2" xfId="25904" xr:uid="{942A7A33-F8E5-483E-978C-11C5C637965A}"/>
    <cellStyle name="Notiz 7 5" xfId="4769" xr:uid="{0F37A639-4EC3-417E-8ED3-8D7E2FBBF352}"/>
    <cellStyle name="Notiz 7 5 2" xfId="26922" xr:uid="{DD32B868-B30E-4129-A513-82888216054F}"/>
    <cellStyle name="Notiz 7 6" xfId="25901" xr:uid="{F56FF4D9-7A33-449D-B8FF-C8820F5E12AE}"/>
    <cellStyle name="Notiz 8" xfId="426" xr:uid="{34CA9204-1BFB-463C-B1DB-B5C56D6E5CB9}"/>
    <cellStyle name="Notiz 8 2" xfId="427" xr:uid="{8A4B61B3-2769-449F-8E53-E17435CA4C15}"/>
    <cellStyle name="Notiz 8 2 2" xfId="4774" xr:uid="{0B67BBD5-4552-482B-8192-D89E542C3998}"/>
    <cellStyle name="Notiz 8 2 2 2" xfId="26925" xr:uid="{6C23A64D-F6D1-4C98-B369-58FC24E4C628}"/>
    <cellStyle name="Notiz 8 2 3" xfId="25906" xr:uid="{365AD899-E4D7-4C99-A074-ADCD2ACE1AD1}"/>
    <cellStyle name="Notiz 8 3" xfId="4775" xr:uid="{EDCDF2A9-11B8-40DF-B56B-82DB13F2A707}"/>
    <cellStyle name="Notiz 8 3 2" xfId="25907" xr:uid="{00F81788-8ADD-4EE6-A0B0-97E307FF7352}"/>
    <cellStyle name="Notiz 8 4" xfId="4776" xr:uid="{20B692CE-858A-436D-B2A3-2C852964EC73}"/>
    <cellStyle name="Notiz 8 4 2" xfId="25908" xr:uid="{1DC0B0FD-EAB1-4F35-9119-794F042B4F7F}"/>
    <cellStyle name="Notiz 8 5" xfId="4773" xr:uid="{F3715BB1-0126-4B93-842E-2C530D2D2F54}"/>
    <cellStyle name="Notiz 8 5 2" xfId="26924" xr:uid="{30DBC8EE-D6F7-4053-875C-5893F3AF5DA6}"/>
    <cellStyle name="Notiz 8 6" xfId="25905" xr:uid="{BD9C5A12-48BC-49D4-B8D0-BD958BE5E0CD}"/>
    <cellStyle name="Notiz 9" xfId="428" xr:uid="{506B921A-6B7A-46D8-92AC-5965B58E6D4F}"/>
    <cellStyle name="Notiz 9 2" xfId="429" xr:uid="{AC0C4025-2D8A-4580-A594-D07182E0D8C9}"/>
    <cellStyle name="Notiz 9 2 2" xfId="4777" xr:uid="{A6996BDC-E560-4E35-97C2-16439F777D36}"/>
    <cellStyle name="Notiz 9 2 2 2" xfId="26927" xr:uid="{B0209E86-4EC5-455B-BF4D-75D8235B494D}"/>
    <cellStyle name="Notiz 9 2 3" xfId="25910" xr:uid="{9B2AA2F7-40AA-463A-8A1B-F0491C9E425C}"/>
    <cellStyle name="Notiz 9 3" xfId="4040" xr:uid="{028CEFAD-89C7-4B64-80A5-7356158EACF3}"/>
    <cellStyle name="Notiz 9 3 2" xfId="26926" xr:uid="{A2368B28-4DDD-4F65-8B0B-2B4E22E7A5FB}"/>
    <cellStyle name="Notiz 9 4" xfId="25909" xr:uid="{57AB8E7B-E723-419D-9397-2BD7D4041C49}"/>
    <cellStyle name="Notiz_ADDON" xfId="24855" xr:uid="{CC45001D-54BD-4E90-B159-0A1E47C9EFC7}"/>
    <cellStyle name="Output 2" xfId="430" xr:uid="{4C10F151-B6E2-4241-ABBB-CE17E3ADB755}"/>
    <cellStyle name="Output 3" xfId="431" xr:uid="{D9B15191-894F-482A-976A-F81EF33FB7EE}"/>
    <cellStyle name="Output 3 10" xfId="8384" xr:uid="{5EF15B47-1A4C-4A4B-BB66-7BA92BB780B8}"/>
    <cellStyle name="Output 3 10 2" xfId="28760" xr:uid="{CB37AC9E-6938-462D-9350-49FE4B3E1191}"/>
    <cellStyle name="Output 3 2" xfId="8385" xr:uid="{D3D2296C-6480-44DB-BAF1-F3A16FCF5F4F}"/>
    <cellStyle name="Output 3 2 2" xfId="8386" xr:uid="{9FA0DA7F-D14D-4D4A-B59D-62CB86AB122C}"/>
    <cellStyle name="Output 3 2 2 2" xfId="28762" xr:uid="{BCFB893A-5E1B-412B-B910-EB791AC89F1B}"/>
    <cellStyle name="Output 3 2 3" xfId="28761" xr:uid="{76495E5B-20AB-481A-A556-452389C43EC1}"/>
    <cellStyle name="Output 3 3" xfId="8387" xr:uid="{CD5EB547-04FB-48D2-8032-09CEEFDFC49F}"/>
    <cellStyle name="Output 3 3 2" xfId="28763" xr:uid="{2A0AC5E4-3E96-4230-80CE-BB054241AFB3}"/>
    <cellStyle name="Output 3 4" xfId="8388" xr:uid="{407DEA6E-6929-4310-AC41-1494FD87D73C}"/>
    <cellStyle name="Output 3 4 2" xfId="28764" xr:uid="{48CB6A65-BBF1-4CA3-B72C-9ABEFA7B670E}"/>
    <cellStyle name="Output 3 5" xfId="8389" xr:uid="{703C557A-49BE-4914-92DD-68A19EEB8009}"/>
    <cellStyle name="Output 3 5 2" xfId="28765" xr:uid="{0A2CD286-4C87-4441-B98F-EC8133D5A15F}"/>
    <cellStyle name="Output 3 6" xfId="8390" xr:uid="{C760B3F7-E6C8-4A8F-BA05-CC8ADA8148B7}"/>
    <cellStyle name="Output 3 6 2" xfId="28766" xr:uid="{5E9A136C-A567-4344-8BC1-5453EEF52F30}"/>
    <cellStyle name="Output 3 7" xfId="8391" xr:uid="{F80CD6E0-4B23-40F9-8236-244DE14E6CC7}"/>
    <cellStyle name="Output 3 7 2" xfId="28767" xr:uid="{35435F09-10CA-489E-8FAE-669C0DFFF86C}"/>
    <cellStyle name="Output 3 8" xfId="8392" xr:uid="{AB38C2C4-4DFB-4381-B64F-3E9A72FBAC5A}"/>
    <cellStyle name="Output 3 8 2" xfId="28768" xr:uid="{DED840AF-06BC-492D-BD06-2BA7055123E1}"/>
    <cellStyle name="Output 3 9" xfId="8393" xr:uid="{035F5897-A4B8-4DA4-A81C-E296A16201BD}"/>
    <cellStyle name="Output 3 9 2" xfId="28769" xr:uid="{D49C2F76-69D8-4DC8-AA6E-E3813C08D6A2}"/>
    <cellStyle name="Output 4" xfId="8394" xr:uid="{5969A7ED-399F-402D-B27B-8F7126131B02}"/>
    <cellStyle name="Output 4 10" xfId="28770" xr:uid="{0CBC27E7-0D5E-4E80-84A1-D2C8C1B933DD}"/>
    <cellStyle name="Output 4 2" xfId="8395" xr:uid="{2477E32F-C39C-45C3-8CCE-64FAA41053F9}"/>
    <cellStyle name="Output 4 2 2" xfId="8396" xr:uid="{FF1308C9-F0A6-4B1B-B23C-06E098EA6221}"/>
    <cellStyle name="Output 4 2 2 2" xfId="28772" xr:uid="{D3E605C9-AB72-442D-B7D8-4C5B946C1BE3}"/>
    <cellStyle name="Output 4 2 3" xfId="28771" xr:uid="{A68A31D6-738D-46C6-8B17-7AB92137A9C0}"/>
    <cellStyle name="Output 4 3" xfId="8397" xr:uid="{7F9868F1-816C-4440-8EEC-81A7D01C0491}"/>
    <cellStyle name="Output 4 3 2" xfId="28773" xr:uid="{C81940C4-A0A7-4CDE-B602-E0754D1D7363}"/>
    <cellStyle name="Output 4 4" xfId="8398" xr:uid="{9030D9AA-5F79-4112-ABDD-15A91A57A52F}"/>
    <cellStyle name="Output 4 4 2" xfId="28774" xr:uid="{F3106630-C32A-4A14-898D-B4138A5F952D}"/>
    <cellStyle name="Output 4 5" xfId="8399" xr:uid="{25F46AFC-8E19-42F2-8369-4499A25D6571}"/>
    <cellStyle name="Output 4 5 2" xfId="28775" xr:uid="{0A1929CC-23AB-46E6-8C75-D04FAFA8C818}"/>
    <cellStyle name="Output 4 6" xfId="8400" xr:uid="{C09B7CDB-7FB5-4532-9A54-58812085262E}"/>
    <cellStyle name="Output 4 6 2" xfId="28776" xr:uid="{54DAD629-FD9E-4391-80FD-4B0BE3C082D0}"/>
    <cellStyle name="Output 4 7" xfId="8401" xr:uid="{0E07B5DF-6691-4839-A1BD-BA90119E0793}"/>
    <cellStyle name="Output 4 7 2" xfId="28777" xr:uid="{A723A3D4-A1B0-44AD-8FF2-587A5BC635B8}"/>
    <cellStyle name="Output 4 8" xfId="8402" xr:uid="{B562E662-D5D1-4CF6-850C-8A7D00C14394}"/>
    <cellStyle name="Output 4 8 2" xfId="28778" xr:uid="{812F4AD8-82AB-4F8D-9D50-115387BD8E3D}"/>
    <cellStyle name="Output 4 9" xfId="8403" xr:uid="{C6B7934B-7DB9-4376-9D1A-2FBC221F4907}"/>
    <cellStyle name="Output 4 9 2" xfId="28779" xr:uid="{62D0E39E-D841-4DCB-9250-8F0C150ACF25}"/>
    <cellStyle name="Per cent" xfId="1" builtinId="5"/>
    <cellStyle name="Percent 10" xfId="433" xr:uid="{D2CB2BB2-F93B-4B1A-8202-59F0CF712E57}"/>
    <cellStyle name="Percent 10 2" xfId="434" xr:uid="{37A71B7D-C80B-4A11-9DF1-CB3CDDFD9F84}"/>
    <cellStyle name="Percent 10 3" xfId="4778" xr:uid="{4E4782A7-EC0D-450F-8FC2-2303042DD02B}"/>
    <cellStyle name="Percent 10 4" xfId="8404" xr:uid="{C13C99B7-CF11-4844-9FCE-C3350AD0B396}"/>
    <cellStyle name="Percent 10 4 2" xfId="8405" xr:uid="{219F5B9D-5709-4A11-B0A0-7861B65A50F5}"/>
    <cellStyle name="Percent 11" xfId="435" xr:uid="{588FD0A1-9D61-4DE0-B477-89AC647237E3}"/>
    <cellStyle name="Percent 11 2" xfId="436" xr:uid="{F67FA97B-17CB-4695-9DEE-181F84A13984}"/>
    <cellStyle name="Percent 11 2 2" xfId="4779" xr:uid="{879FF532-5F42-429F-B986-7D1BA46048A4}"/>
    <cellStyle name="Percent 11 3" xfId="4041" xr:uid="{DF606B6E-0EA0-4445-A952-3FDA587F9E5A}"/>
    <cellStyle name="Percent 12" xfId="437" xr:uid="{0BE0B380-019B-489A-B5B2-22E07111716A}"/>
    <cellStyle name="Percent 12 2" xfId="438" xr:uid="{896187D1-7133-4367-AFF9-39D9F042DB08}"/>
    <cellStyle name="Percent 12 2 2" xfId="4780" xr:uid="{8D93D6AC-5977-47EB-B9DB-2F32968904F0}"/>
    <cellStyle name="Percent 12 3" xfId="4042" xr:uid="{77099FAD-82A7-4642-A4C6-B3F6BDC95B2D}"/>
    <cellStyle name="Percent 13" xfId="439" xr:uid="{D6AC175E-F4D9-4101-8C17-812928A3A630}"/>
    <cellStyle name="Percent 13 2" xfId="440" xr:uid="{34F06566-7658-4153-9C6C-7D430173137C}"/>
    <cellStyle name="Percent 13 2 2" xfId="4782" xr:uid="{46A575FE-7296-4655-895C-02893E2607A7}"/>
    <cellStyle name="Percent 13 3" xfId="4781" xr:uid="{7860CA8E-6319-417A-AE26-44A201062BDE}"/>
    <cellStyle name="Percent 14" xfId="441" xr:uid="{DA1124E3-BAD4-4DF2-BB6A-C2DFEFEFDE55}"/>
    <cellStyle name="Percent 14 2" xfId="4783" xr:uid="{DEC577F4-CD5E-412A-B1E7-FE7551AB4FB3}"/>
    <cellStyle name="Percent 14 2 2" xfId="8406" xr:uid="{25A1C286-9122-4193-9F34-422716603FAF}"/>
    <cellStyle name="Percent 14 3" xfId="8407" xr:uid="{CEDEED72-814B-4C0D-A3DE-EFEB6EBA1748}"/>
    <cellStyle name="Percent 14 4" xfId="8408" xr:uid="{C2F27958-8B82-4FAF-A42F-636316747ABF}"/>
    <cellStyle name="Percent 14 5" xfId="8409" xr:uid="{512161FC-28CC-4321-8008-7D41093CFE1E}"/>
    <cellStyle name="Percent 14 6" xfId="8410" xr:uid="{71C3481E-D769-41FD-8F62-0340F924F4B6}"/>
    <cellStyle name="Percent 14 6 2" xfId="28780" xr:uid="{10C9884B-E9BA-4B37-A46C-BD6DF1FE9F3D}"/>
    <cellStyle name="Percent 15" xfId="4784" xr:uid="{EE57DA77-ED95-4B1B-BEA1-F83274153AA6}"/>
    <cellStyle name="Percent 16" xfId="7955" xr:uid="{BBF90EF4-3A46-4C4A-A481-84980A02A4DA}"/>
    <cellStyle name="Percent 17" xfId="7964" xr:uid="{61D7AC8F-8920-481A-A5FC-D7449C1C91C4}"/>
    <cellStyle name="Percent 17 2" xfId="25960" xr:uid="{DFD65B8C-A8D1-403D-A201-48C796739BB5}"/>
    <cellStyle name="Percent 18" xfId="8411" xr:uid="{A157E982-CA3A-470C-872A-0A10E04FFE95}"/>
    <cellStyle name="Percent 18 2" xfId="40707" xr:uid="{15885233-71FF-444C-8729-90C50A33AD46}"/>
    <cellStyle name="Percent 19" xfId="22386" xr:uid="{6C4FAC73-C3B8-4D1D-8F4D-D6DF2BF4CF45}"/>
    <cellStyle name="Percent 19 2" xfId="40728" xr:uid="{CDDE3302-D6A3-43CF-BDCB-BB17473FE99D}"/>
    <cellStyle name="Percent 2" xfId="4043" xr:uid="{365F14FE-DE31-43BD-B7F7-5004068B8443}"/>
    <cellStyle name="Percent 2 2" xfId="442" xr:uid="{22736F9A-A239-486C-A287-76D21B2DB729}"/>
    <cellStyle name="Percent 2 2 2" xfId="4302" xr:uid="{822754F6-E044-47A5-9E43-8559F92D3897}"/>
    <cellStyle name="Percent 2 3" xfId="443" xr:uid="{BDD43E31-E688-4518-A87C-B1ABB10D7C55}"/>
    <cellStyle name="Percent 2 3 2" xfId="4303" xr:uid="{641AE487-D368-4302-80AA-88F0EF6BA1BD}"/>
    <cellStyle name="Percent 2 4" xfId="444" xr:uid="{9ABBCD64-0C9C-466E-9CB5-5FF061C690D2}"/>
    <cellStyle name="Percent 2 4 2" xfId="8412" xr:uid="{654104BC-A874-4D00-8403-4062677C1447}"/>
    <cellStyle name="Percent 2 5" xfId="4785" xr:uid="{7401889C-93EA-4FB6-95AC-A819E5A41718}"/>
    <cellStyle name="Percent 2 6" xfId="24308" xr:uid="{80DFF632-9D72-4B8A-A4DB-51A5581A6572}"/>
    <cellStyle name="Percent 20" xfId="25722" xr:uid="{579D936D-8374-4AC8-ABCB-10CE6289DBB2}"/>
    <cellStyle name="Percent 21" xfId="25821" xr:uid="{7811FCDE-B39E-4BE1-8318-456277BD5CCC}"/>
    <cellStyle name="Percent 22" xfId="432" xr:uid="{2D14CA67-9600-4770-AA52-89CE10C8975C}"/>
    <cellStyle name="Percent 3" xfId="445" xr:uid="{42856755-BD2A-450F-A5E8-7E31F2E4809F}"/>
    <cellStyle name="Percent 3 10" xfId="446" xr:uid="{0968C34E-91B2-443A-A2A7-8883D5BBD93E}"/>
    <cellStyle name="Percent 3 10 2" xfId="447" xr:uid="{69E372AF-DD0E-4D67-837D-D922D64140D2}"/>
    <cellStyle name="Percent 3 10 2 2" xfId="4787" xr:uid="{B6FCD815-C73E-45CD-9841-12913AC91475}"/>
    <cellStyle name="Percent 3 10 3" xfId="4786" xr:uid="{FD33DB3F-44CC-49A1-9B81-954F34FA7FE5}"/>
    <cellStyle name="Percent 3 11" xfId="448" xr:uid="{2C48B64A-AF5C-4267-998B-F44E5DA45940}"/>
    <cellStyle name="Percent 3 11 2" xfId="8413" xr:uid="{3C1AB098-45BF-4712-8AFF-2C038A28D4DB}"/>
    <cellStyle name="Percent 3 11 3" xfId="8414" xr:uid="{D28DF084-7D36-4E50-AEF9-267B19581806}"/>
    <cellStyle name="Percent 3 11 4" xfId="8415" xr:uid="{AF38FBAC-2F02-42FE-8EE8-D41D5652E7B8}"/>
    <cellStyle name="Percent 3 11 5" xfId="8416" xr:uid="{707A39E6-7598-45E2-A15D-0A9749CEFEF1}"/>
    <cellStyle name="Percent 3 11 6" xfId="8417" xr:uid="{1F025331-99F5-4823-9B4D-452491FF1849}"/>
    <cellStyle name="Percent 3 11 6 2" xfId="28781" xr:uid="{AF66654D-4C18-41A7-B460-DA54FE2598B3}"/>
    <cellStyle name="Percent 3 12" xfId="8418" xr:uid="{531057A5-0356-453B-B9C0-C2F1250029ED}"/>
    <cellStyle name="Percent 3 12 2" xfId="8419" xr:uid="{A458C2FD-DCD4-4ED3-9EF2-0AC2F4E795C7}"/>
    <cellStyle name="Percent 3 12 3" xfId="8420" xr:uid="{29958694-1DDE-4CDA-B19E-86B0D0DD9B85}"/>
    <cellStyle name="Percent 3 13" xfId="8421" xr:uid="{93B8FE27-ED5C-49AC-A368-03A6FB1964EB}"/>
    <cellStyle name="Percent 3 13 2" xfId="8422" xr:uid="{66B23D2B-1FA0-41B9-AE73-32141C895F67}"/>
    <cellStyle name="Percent 3 14" xfId="8423" xr:uid="{B22EE324-1340-4D35-B47B-EB87BB04194F}"/>
    <cellStyle name="Percent 3 14 2" xfId="8424" xr:uid="{D13E38EB-AAAE-4A06-A442-86A5E25434A2}"/>
    <cellStyle name="Percent 3 2" xfId="449" xr:uid="{7EC4CED8-EC68-457A-945C-74AAFFFF7A42}"/>
    <cellStyle name="Percent 3 2 2" xfId="450" xr:uid="{4318CD39-6138-405F-9B6D-BD9A9DA4DB80}"/>
    <cellStyle name="Percent 3 2 2 2" xfId="451" xr:uid="{595E0293-3FC7-436A-B7C2-5A4EA79D8201}"/>
    <cellStyle name="Percent 3 2 2 2 2" xfId="4789" xr:uid="{36B34339-4D77-41DC-98FD-9AFC36A039C9}"/>
    <cellStyle name="Percent 3 2 2 3" xfId="4305" xr:uid="{4F0C9CAA-A32E-4E45-A739-FDB3EC5CE8C3}"/>
    <cellStyle name="Percent 3 2 3" xfId="452" xr:uid="{FDA9AB83-CD85-43A2-8906-E00F5DD9EF4C}"/>
    <cellStyle name="Percent 3 2 3 2" xfId="453" xr:uid="{298B3024-06A0-4FF6-A4C8-A3FC01E5DE1E}"/>
    <cellStyle name="Percent 3 2 3 2 2" xfId="4791" xr:uid="{0DCDBF88-ED5D-4F9F-945F-CE13B119DB98}"/>
    <cellStyle name="Percent 3 2 3 3" xfId="454" xr:uid="{379B9CDC-2EAE-41D6-8C32-398738EFE047}"/>
    <cellStyle name="Percent 3 2 3 3 2" xfId="455" xr:uid="{D52C62D7-D18B-40DD-B422-76293CC07C93}"/>
    <cellStyle name="Percent 3 2 3 3 2 2" xfId="4793" xr:uid="{8AAD65C2-AD99-4F5A-AA88-184E32F594DF}"/>
    <cellStyle name="Percent 3 2 3 3 3" xfId="4794" xr:uid="{D195162A-423F-4E7F-951A-9C3AB07851A3}"/>
    <cellStyle name="Percent 3 2 3 3 4" xfId="4795" xr:uid="{E2349FDB-A99A-4835-B114-32B62BC3C3D3}"/>
    <cellStyle name="Percent 3 2 3 3 5" xfId="4792" xr:uid="{E793F495-10F2-4437-83D1-3D72118E3AF6}"/>
    <cellStyle name="Percent 3 2 3 4" xfId="456" xr:uid="{88DD6568-6259-43D5-8FA3-DBA5A12F9EBD}"/>
    <cellStyle name="Percent 3 2 3 4 2" xfId="457" xr:uid="{D5893F67-345A-497F-A228-A4E8A7F32971}"/>
    <cellStyle name="Percent 3 2 3 4 2 2" xfId="4797" xr:uid="{2B67BF36-A4D5-47A3-BA72-8F8400652C80}"/>
    <cellStyle name="Percent 3 2 3 4 3" xfId="4796" xr:uid="{A2F3C0E5-18D4-4255-888D-177B92C03CBA}"/>
    <cellStyle name="Percent 3 2 3 5" xfId="4798" xr:uid="{E8FEC020-9A64-496B-8270-3E68A89EDE88}"/>
    <cellStyle name="Percent 3 2 3 6" xfId="4790" xr:uid="{688B2558-8DAF-4102-B367-DBBC5E335B7A}"/>
    <cellStyle name="Percent 3 2 4" xfId="458" xr:uid="{05D8F362-42AD-4A81-8325-C766732A0CA9}"/>
    <cellStyle name="Percent 3 2 4 2" xfId="4800" xr:uid="{C3CFD781-7A09-4AE6-ADF6-B59DBDB33792}"/>
    <cellStyle name="Percent 3 2 4 3" xfId="4801" xr:uid="{774B83F5-2D94-4E54-B705-16741490C96F}"/>
    <cellStyle name="Percent 3 2 4 4" xfId="4799" xr:uid="{7261C6AA-670B-405A-8B2E-8418870A4C1A}"/>
    <cellStyle name="Percent 3 2 5" xfId="4802" xr:uid="{1F734642-DE44-4562-96D0-8A9307E2325F}"/>
    <cellStyle name="Percent 3 2 5 2" xfId="8425" xr:uid="{0678F6A5-98B4-41C6-A2D3-A0B7D06FF0FA}"/>
    <cellStyle name="Percent 3 2 6" xfId="4803" xr:uid="{B1A193DC-7BDD-4464-BE9E-89B873FAB840}"/>
    <cellStyle name="Percent 3 2 7" xfId="4788" xr:uid="{7E8C0DE6-3ACC-444B-98E5-BD3230E2C6A1}"/>
    <cellStyle name="Percent 3 2 8" xfId="4304" xr:uid="{07A2F79E-B96B-4470-8AD4-BC5E074DA4A0}"/>
    <cellStyle name="Percent 3 3" xfId="459" xr:uid="{E000A651-5752-496E-B1E6-3629B24983D4}"/>
    <cellStyle name="Percent 3 3 2" xfId="460" xr:uid="{0B768391-D6D7-4D40-8F7E-E8DE5BC0EE9C}"/>
    <cellStyle name="Percent 3 3 2 2" xfId="461" xr:uid="{21B68889-289A-4758-8741-B1DB8DEF170C}"/>
    <cellStyle name="Percent 3 3 2 2 2" xfId="4804" xr:uid="{7B7CCE42-8088-4362-B165-DBF61AD64CA0}"/>
    <cellStyle name="Percent 3 3 2 3" xfId="4307" xr:uid="{4BEE69C1-0ED2-4EFA-8C1A-DCF8E1A347DD}"/>
    <cellStyle name="Percent 3 3 3" xfId="462" xr:uid="{D94EB08D-04B0-441E-9B30-C62965D2C2BF}"/>
    <cellStyle name="Percent 3 3 3 2" xfId="463" xr:uid="{B6CFC357-B9BC-4554-9BDF-0A8CFC78A04D}"/>
    <cellStyle name="Percent 3 3 3 2 2" xfId="4806" xr:uid="{65BAA884-2463-469B-8D51-68F19882606C}"/>
    <cellStyle name="Percent 3 3 3 3" xfId="464" xr:uid="{CD871453-6FD2-4D44-A62A-2728DFD96DEB}"/>
    <cellStyle name="Percent 3 3 3 3 2" xfId="465" xr:uid="{7D51A23B-6382-4D55-8B83-15027603D229}"/>
    <cellStyle name="Percent 3 3 3 3 2 2" xfId="4808" xr:uid="{5E61C2FD-25D1-4ADC-A4A7-0454CFB48DDA}"/>
    <cellStyle name="Percent 3 3 3 3 3" xfId="4809" xr:uid="{35DB7E32-464F-48A0-9BB8-4CFE493F5A4B}"/>
    <cellStyle name="Percent 3 3 3 3 4" xfId="4810" xr:uid="{D96E4250-3AEE-49B6-877D-F3E8D67E3876}"/>
    <cellStyle name="Percent 3 3 3 3 5" xfId="4807" xr:uid="{D85DF9D2-8D96-48DF-8C77-6B1F27B7412C}"/>
    <cellStyle name="Percent 3 3 3 4" xfId="466" xr:uid="{A75B9350-EF91-4FF6-8A32-6B9944E9E93A}"/>
    <cellStyle name="Percent 3 3 3 4 2" xfId="467" xr:uid="{779AE2FE-CE00-4F5D-B29E-9236FFCFFA48}"/>
    <cellStyle name="Percent 3 3 3 4 2 2" xfId="4812" xr:uid="{852C8894-9A70-4D71-9BF6-DA14D1C6CC56}"/>
    <cellStyle name="Percent 3 3 3 4 3" xfId="4811" xr:uid="{935791F9-94A6-439D-BFD0-CFB762DF6E03}"/>
    <cellStyle name="Percent 3 3 3 5" xfId="4813" xr:uid="{0CF76A40-636C-4D73-B245-CB10E4BAA339}"/>
    <cellStyle name="Percent 3 3 3 6" xfId="4805" xr:uid="{64E06328-409C-4EAD-B49D-00955D242B96}"/>
    <cellStyle name="Percent 3 3 4" xfId="4306" xr:uid="{2F5FC2C6-2E60-49C3-88A3-90E64559D0DD}"/>
    <cellStyle name="Percent 3 3 4 2" xfId="8426" xr:uid="{27ED3F89-35A3-4A91-8E63-75F9A8142D45}"/>
    <cellStyle name="Percent 3 4" xfId="468" xr:uid="{D13E4CD6-9882-46B1-B1FF-C1A89D0C4694}"/>
    <cellStyle name="Percent 3 4 2" xfId="469" xr:uid="{8CCB34D8-AB5A-48ED-A1F2-E173B58E8CDE}"/>
    <cellStyle name="Percent 3 4 2 2" xfId="470" xr:uid="{D2D969D6-CD44-4FCD-9EF6-21D5EEECC114}"/>
    <cellStyle name="Percent 3 4 2 2 2" xfId="4816" xr:uid="{57509C71-FBD8-4021-88A4-1E0AE969FC07}"/>
    <cellStyle name="Percent 3 4 2 3" xfId="471" xr:uid="{73945213-E508-46E0-905B-8CB6AC0D60A0}"/>
    <cellStyle name="Percent 3 4 2 3 2" xfId="472" xr:uid="{B8B4D827-DBEC-4C6B-A315-6B3CBEFCB259}"/>
    <cellStyle name="Percent 3 4 2 3 2 2" xfId="4818" xr:uid="{83A13F07-4910-47F0-B2E8-485139FA9311}"/>
    <cellStyle name="Percent 3 4 2 3 3" xfId="4819" xr:uid="{A1223032-9CDA-4FBB-8811-20804C4B4A23}"/>
    <cellStyle name="Percent 3 4 2 3 4" xfId="4820" xr:uid="{A801E45F-0C36-4741-93AF-9FDF3EC0FCA0}"/>
    <cellStyle name="Percent 3 4 2 3 5" xfId="4817" xr:uid="{3F8A55FF-9FA5-44B3-8B22-62A78A91EB82}"/>
    <cellStyle name="Percent 3 4 2 4" xfId="473" xr:uid="{EDB8428B-E1E3-4A6F-95D7-5DECA583037A}"/>
    <cellStyle name="Percent 3 4 2 4 2" xfId="474" xr:uid="{017575EE-FDAB-416B-A7AE-76F82B30042C}"/>
    <cellStyle name="Percent 3 4 2 4 2 2" xfId="4822" xr:uid="{1A8B10D9-1465-4A71-92EB-F219DC57192A}"/>
    <cellStyle name="Percent 3 4 2 4 3" xfId="4821" xr:uid="{E53A5C8F-4322-4C6B-8283-07F81761899B}"/>
    <cellStyle name="Percent 3 4 2 5" xfId="4823" xr:uid="{9C9D7ED4-9259-4836-AC60-364707D6E09B}"/>
    <cellStyle name="Percent 3 4 2 6" xfId="4815" xr:uid="{265B743B-D5D7-49D7-ABDE-3FB7EB465442}"/>
    <cellStyle name="Percent 3 4 3" xfId="475" xr:uid="{1A4524DC-C845-4597-891B-0B8C47254DD7}"/>
    <cellStyle name="Percent 3 4 3 2" xfId="4824" xr:uid="{BE5D68B8-51AF-46F1-8265-ACC2ADDB21E1}"/>
    <cellStyle name="Percent 3 4 4" xfId="4825" xr:uid="{29765E01-5D4E-4B2F-9F83-191E6BDFAFD1}"/>
    <cellStyle name="Percent 3 4 4 2" xfId="4826" xr:uid="{7166F135-3882-42E6-AD8E-DF17F4859085}"/>
    <cellStyle name="Percent 3 4 5" xfId="4814" xr:uid="{718C7EA8-C1C1-4F87-9AA6-2019C1B8DD73}"/>
    <cellStyle name="Percent 3 4 6" xfId="4308" xr:uid="{71501BC7-95E4-48E5-A986-958DCD9BBD54}"/>
    <cellStyle name="Percent 3 5" xfId="476" xr:uid="{2722F895-5C18-4EBE-8477-13F5776DCB5F}"/>
    <cellStyle name="Percent 3 5 2" xfId="477" xr:uid="{639DB57B-03CB-4792-A354-FAA65EED1769}"/>
    <cellStyle name="Percent 3 5 2 2" xfId="4828" xr:uid="{2A129923-4CBB-4F8F-99A4-FBD6C14CF3E8}"/>
    <cellStyle name="Percent 3 5 3" xfId="478" xr:uid="{6705D10D-8B68-44AC-AE02-745FDB5C969A}"/>
    <cellStyle name="Percent 3 5 3 2" xfId="479" xr:uid="{0BBBDF0A-BE0F-4201-AE2E-8CDDB6B0347E}"/>
    <cellStyle name="Percent 3 5 3 2 2" xfId="4830" xr:uid="{F8CC4C28-999C-4B6E-8F0C-1327F00EB8E4}"/>
    <cellStyle name="Percent 3 5 3 3" xfId="4831" xr:uid="{B59E7138-2EAC-4806-9854-2BFC81F38A77}"/>
    <cellStyle name="Percent 3 5 3 4" xfId="4832" xr:uid="{0EBF7A49-2947-48BF-85F0-A8A305B0A1AC}"/>
    <cellStyle name="Percent 3 5 3 5" xfId="4829" xr:uid="{53E9C91A-E2F0-4229-A64B-BEEE8208201A}"/>
    <cellStyle name="Percent 3 5 4" xfId="480" xr:uid="{504F1676-8D11-4EA8-9EDB-09AA81645489}"/>
    <cellStyle name="Percent 3 5 4 2" xfId="481" xr:uid="{13468E42-B0F5-47CA-B0D8-97203164F1E8}"/>
    <cellStyle name="Percent 3 5 4 2 2" xfId="4834" xr:uid="{DCF08E4B-D914-4C08-956D-46069C3720D3}"/>
    <cellStyle name="Percent 3 5 4 3" xfId="4833" xr:uid="{53D22298-B52D-41C4-8230-4A5D1BF20DEF}"/>
    <cellStyle name="Percent 3 5 5" xfId="4835" xr:uid="{7BDBDEEC-EBAC-4419-9D7A-CE2591871CA9}"/>
    <cellStyle name="Percent 3 5 6" xfId="4827" xr:uid="{BED94C59-50D4-443E-B921-7B8D8CBE29AD}"/>
    <cellStyle name="Percent 3 6" xfId="482" xr:uid="{43326008-B2F2-4484-9619-8996DDE2810F}"/>
    <cellStyle name="Percent 3 6 2" xfId="483" xr:uid="{C68D1790-8D79-40A0-A8F3-D55921B45658}"/>
    <cellStyle name="Percent 3 6 2 2" xfId="4837" xr:uid="{8DB935E4-9EFA-4DE0-B2D8-1878C1DED597}"/>
    <cellStyle name="Percent 3 6 3" xfId="4838" xr:uid="{536F9BC1-ABCF-456D-8D6D-9BE631D8157D}"/>
    <cellStyle name="Percent 3 6 4" xfId="4839" xr:uid="{EBDD2753-CD47-4653-B864-1F367446F1B8}"/>
    <cellStyle name="Percent 3 6 5" xfId="4836" xr:uid="{01B6D897-D311-40ED-B708-8F1C0C44E191}"/>
    <cellStyle name="Percent 3 7" xfId="484" xr:uid="{84ED9C0B-08E0-4962-83FC-7BFEC0478AF3}"/>
    <cellStyle name="Percent 3 7 2" xfId="485" xr:uid="{2670C8D0-34FA-4780-8E35-EA68725EE8C8}"/>
    <cellStyle name="Percent 3 7 2 2" xfId="4841" xr:uid="{356A359E-FC74-4C20-83C5-B65A31D3FFEE}"/>
    <cellStyle name="Percent 3 7 3" xfId="4842" xr:uid="{FC8EA017-27E4-443B-9226-EADADBE96595}"/>
    <cellStyle name="Percent 3 7 4" xfId="4843" xr:uid="{5F0D4552-19E1-48A9-AC02-AA7CFFA51688}"/>
    <cellStyle name="Percent 3 7 5" xfId="4840" xr:uid="{BD66BAEF-F4EB-40FF-9D17-3B46A8F950BB}"/>
    <cellStyle name="Percent 3 8" xfId="486" xr:uid="{41E06C4B-AC05-4457-8F73-E5C79A9E61AA}"/>
    <cellStyle name="Percent 3 8 2" xfId="487" xr:uid="{A28D7573-7E95-4463-AE09-DE08C9A6F029}"/>
    <cellStyle name="Percent 3 8 2 2" xfId="4844" xr:uid="{164432A0-6838-4BEA-A876-C2D3BA759F71}"/>
    <cellStyle name="Percent 3 8 3" xfId="4044" xr:uid="{67CCB973-6495-413C-B313-0F988D5B17BD}"/>
    <cellStyle name="Percent 3 9" xfId="488" xr:uid="{123D5C3E-4EA4-4FDF-9E30-F84835A3770D}"/>
    <cellStyle name="Percent 3 9 2" xfId="489" xr:uid="{F6B9F240-60A6-4B40-BB8D-D886622AC267}"/>
    <cellStyle name="Percent 3 9 2 2" xfId="4845" xr:uid="{359EBA11-DD64-494E-ABBD-1BA169162E55}"/>
    <cellStyle name="Percent 3 9 3" xfId="4045" xr:uid="{D09E4BE0-22E1-4569-93DF-24CC08722D83}"/>
    <cellStyle name="Percent 4" xfId="490" xr:uid="{E949556C-FD1A-4401-83BF-F93031157387}"/>
    <cellStyle name="Percent 4 2" xfId="491" xr:uid="{E64A3B7F-6394-4840-8D96-B0154E47C550}"/>
    <cellStyle name="Percent 4 2 2" xfId="492" xr:uid="{B65B9981-6D5E-4549-836E-E91A16FD3E4B}"/>
    <cellStyle name="Percent 4 2 2 2" xfId="4311" xr:uid="{7211B7D7-D51D-4A93-A9A2-8D9B389CB926}"/>
    <cellStyle name="Percent 4 2 3" xfId="493" xr:uid="{AD2D2603-F8D1-411D-8F19-F8344067313A}"/>
    <cellStyle name="Percent 4 2 4" xfId="4310" xr:uid="{E220F318-84E2-4241-A0C1-75BD81093233}"/>
    <cellStyle name="Percent 4 3" xfId="494" xr:uid="{23C9162F-96DE-4D10-8B38-F19EBA3F25AC}"/>
    <cellStyle name="Percent 4 3 2" xfId="495" xr:uid="{5B908159-BDF9-4DA5-8420-A13B07E1D97F}"/>
    <cellStyle name="Percent 4 3 3" xfId="496" xr:uid="{2ECCCC6C-E678-4969-8DF8-9A4A6B49FC20}"/>
    <cellStyle name="Percent 4 3 3 2" xfId="4846" xr:uid="{7E287E6E-9D0B-4B40-B027-1D7DE5D4367A}"/>
    <cellStyle name="Percent 4 4" xfId="497" xr:uid="{8AB65D25-A682-456B-9C25-A7B4C27B4A1E}"/>
    <cellStyle name="Percent 4 4 2" xfId="498" xr:uid="{911D9E7F-4C70-4820-8F02-A118E7168F60}"/>
    <cellStyle name="Percent 4 4 2 2" xfId="4848" xr:uid="{E69F8A73-B5EF-449E-A6DF-8DCA1564BD9E}"/>
    <cellStyle name="Percent 4 4 3" xfId="499" xr:uid="{1243F3FC-A1B5-44F2-8767-52A267808A4F}"/>
    <cellStyle name="Percent 4 4 3 2" xfId="500" xr:uid="{0611FC71-CC46-4156-B761-34B82DA11569}"/>
    <cellStyle name="Percent 4 4 3 2 2" xfId="4850" xr:uid="{81136676-BDB4-4DCD-8597-DCD8192D42B7}"/>
    <cellStyle name="Percent 4 4 3 3" xfId="4851" xr:uid="{E87C7645-86E8-4E7D-9959-FEF3C4D42281}"/>
    <cellStyle name="Percent 4 4 3 4" xfId="4852" xr:uid="{F1AD79AC-C075-4512-A3DA-E341F28915DB}"/>
    <cellStyle name="Percent 4 4 3 5" xfId="4849" xr:uid="{84390EFB-C394-4DB6-B620-747DAB1B0867}"/>
    <cellStyle name="Percent 4 4 4" xfId="501" xr:uid="{5C8E81B6-0EE5-4777-9B06-1DEA2653D6EC}"/>
    <cellStyle name="Percent 4 4 4 2" xfId="502" xr:uid="{5CF154FB-1195-437C-9D89-6CA915D6E26C}"/>
    <cellStyle name="Percent 4 4 4 2 2" xfId="4854" xr:uid="{7F8F3F66-FA38-4833-8DAC-97424B1DDC6C}"/>
    <cellStyle name="Percent 4 4 4 3" xfId="4853" xr:uid="{91A230C9-A968-4E6B-BC3C-4A653B1A5DBE}"/>
    <cellStyle name="Percent 4 4 5" xfId="4847" xr:uid="{C858C2D9-8928-46BE-91CA-262B128B42DD}"/>
    <cellStyle name="Percent 4 5" xfId="503" xr:uid="{018113C1-668B-4051-879F-D5BBEB5CEAD5}"/>
    <cellStyle name="Percent 4 5 2" xfId="4855" xr:uid="{250BE955-A407-4916-9FCA-F533BA677C8F}"/>
    <cellStyle name="Percent 4 6" xfId="4856" xr:uid="{F41A7AF9-8E54-4397-9E05-C61282760F16}"/>
    <cellStyle name="Percent 4 6 2" xfId="4857" xr:uid="{44D7136F-04DD-4236-AE2B-25F7D6C7EED2}"/>
    <cellStyle name="Percent 4 6 3" xfId="8427" xr:uid="{73543DC3-BFEB-41C3-B82E-B9B1011248A0}"/>
    <cellStyle name="Percent 4 7" xfId="4858" xr:uid="{D8433018-7EF0-4CDF-9ED1-4FD9158053B0}"/>
    <cellStyle name="Percent 4 8" xfId="4309" xr:uid="{6A187FF4-280A-4DA2-B511-FA33E2C2563C}"/>
    <cellStyle name="Percent 5" xfId="504" xr:uid="{1CC3E006-C574-4DBF-9A9D-D22330E996D1}"/>
    <cellStyle name="Percent 5 2" xfId="505" xr:uid="{DEE5B8D0-153D-4BBE-A94F-99C13BE24CB1}"/>
    <cellStyle name="Percent 5 2 2" xfId="506" xr:uid="{2A825829-7B3A-48FB-BB1F-F706D7B6FBF3}"/>
    <cellStyle name="Percent 5 2 2 2" xfId="4861" xr:uid="{7B9AFD25-EE10-459A-9B14-2047E0E054CF}"/>
    <cellStyle name="Percent 5 2 3" xfId="4862" xr:uid="{11F3DF80-65B4-4044-94A9-D3B8AC402851}"/>
    <cellStyle name="Percent 5 2 4" xfId="4860" xr:uid="{36CA711A-B296-4033-B3D5-A1233C3C40BD}"/>
    <cellStyle name="Percent 5 3" xfId="507" xr:uid="{34E4DC7E-C7A0-4E31-BCFB-C99C55BD9F38}"/>
    <cellStyle name="Percent 5 3 2" xfId="8428" xr:uid="{B884CDDB-ABD6-4169-8269-6CC6B7EB781D}"/>
    <cellStyle name="Percent 5 4" xfId="508" xr:uid="{F23A95A0-B799-48E7-900B-5D290B863627}"/>
    <cellStyle name="Percent 5 4 2" xfId="509" xr:uid="{D0651B19-9A9E-42A3-8284-748496E08840}"/>
    <cellStyle name="Percent 5 4 2 2" xfId="4864" xr:uid="{5283BA8D-63F7-4EC7-80D6-E4413E2556CB}"/>
    <cellStyle name="Percent 5 4 3" xfId="4865" xr:uid="{9593D6BF-F4AD-4220-85ED-E37DE608A15C}"/>
    <cellStyle name="Percent 5 4 4" xfId="4863" xr:uid="{A2EB6FBA-5D6D-4251-9F66-3F294F8A9E75}"/>
    <cellStyle name="Percent 5 5" xfId="4866" xr:uid="{B9D9497E-89A4-479A-84EE-859723038891}"/>
    <cellStyle name="Percent 5 5 2" xfId="8429" xr:uid="{7A74E6E9-79EB-47A6-824E-AB6B2E2F3181}"/>
    <cellStyle name="Percent 5 5 2 2" xfId="8430" xr:uid="{16ED60F0-3AE0-478E-BA35-A1430971AB05}"/>
    <cellStyle name="Percent 5 6" xfId="4867" xr:uid="{DA21F3D9-857D-49C9-AC77-6113755DFA54}"/>
    <cellStyle name="Percent 5 6 2" xfId="8431" xr:uid="{0C406C30-462F-40B8-97A6-7ECA9B334D27}"/>
    <cellStyle name="Percent 5 6 3" xfId="8432" xr:uid="{448FC88B-FAEF-43F0-BD77-CB96584AF441}"/>
    <cellStyle name="Percent 5 7" xfId="4868" xr:uid="{CD9BD156-C084-4E2B-86FF-5A64EB8B96EC}"/>
    <cellStyle name="Percent 5 8" xfId="4859" xr:uid="{83F5CE77-E39E-4418-8AFF-1B90B25DBE46}"/>
    <cellStyle name="Percent 5 9" xfId="4312" xr:uid="{3E9B07DC-430D-4944-89D3-3FDC76BE2FC9}"/>
    <cellStyle name="Percent 6" xfId="510" xr:uid="{0109DAFD-0D8A-459B-BB69-F622B1C51971}"/>
    <cellStyle name="Percent 6 2" xfId="511" xr:uid="{9E1CF5A6-9CA8-4228-AF92-6562428C207B}"/>
    <cellStyle name="Percent 6 2 2" xfId="512" xr:uid="{C6D615BC-B126-495A-A439-7AAC3B959EAC}"/>
    <cellStyle name="Percent 6 2 3" xfId="513" xr:uid="{01326259-862B-4639-8452-293EA0B0B244}"/>
    <cellStyle name="Percent 6 2 3 2" xfId="4869" xr:uid="{C388EF59-6686-4F3F-AF00-0AB6500C0376}"/>
    <cellStyle name="Percent 6 3" xfId="514" xr:uid="{B1D4E4D1-D25D-4AE0-9D01-799863243F8F}"/>
    <cellStyle name="Percent 6 3 2" xfId="515" xr:uid="{05675F29-FF49-4067-87A7-AD875949C0BB}"/>
    <cellStyle name="Percent 6 3 2 2" xfId="4871" xr:uid="{FB6CC98E-02F3-4F80-8087-48E953FFDE6E}"/>
    <cellStyle name="Percent 6 3 3" xfId="516" xr:uid="{60801B13-4DA0-424F-AC10-31AFB03162F9}"/>
    <cellStyle name="Percent 6 3 3 2" xfId="517" xr:uid="{A421CDD7-FBE2-4AF2-9AAF-86529CA8E131}"/>
    <cellStyle name="Percent 6 3 3 2 2" xfId="4873" xr:uid="{9AAC52DC-D198-4525-A257-217DF1C153C0}"/>
    <cellStyle name="Percent 6 3 3 3" xfId="4874" xr:uid="{05BC1D98-B0E5-44AA-940B-4B4324F0BCA1}"/>
    <cellStyle name="Percent 6 3 3 4" xfId="4875" xr:uid="{7A96DC0C-8205-4551-9677-EFC7F5D3E77D}"/>
    <cellStyle name="Percent 6 3 3 5" xfId="4872" xr:uid="{8DD3416D-118B-4EBC-912B-10020CFEF70E}"/>
    <cellStyle name="Percent 6 3 4" xfId="518" xr:uid="{79F593FF-B032-4CA9-B9A0-CEB8BD2D9DDE}"/>
    <cellStyle name="Percent 6 3 4 2" xfId="519" xr:uid="{57ACCB31-7088-4037-9465-AB2BBB6C9EB3}"/>
    <cellStyle name="Percent 6 3 4 2 2" xfId="4877" xr:uid="{A4BD84A7-FBA1-4464-B286-D9A54042EDA2}"/>
    <cellStyle name="Percent 6 3 4 3" xfId="4876" xr:uid="{04C650FE-C4C4-442B-902F-13A1EB0A4826}"/>
    <cellStyle name="Percent 6 3 5" xfId="4870" xr:uid="{905DCD92-8A15-4192-9DFC-8B9CEB2B50F3}"/>
    <cellStyle name="Percent 6 4" xfId="520" xr:uid="{C3764B7C-15E9-428C-BCF8-2DDC09CBB7B8}"/>
    <cellStyle name="Percent 6 4 2" xfId="4878" xr:uid="{7AC98255-4694-4594-82D0-46D388DC5618}"/>
    <cellStyle name="Percent 6 5" xfId="4313" xr:uid="{947A5003-63ED-4D8B-8B2D-B0F3D477D6EB}"/>
    <cellStyle name="Percent 6 5 2" xfId="8433" xr:uid="{3BCEBD89-988B-47FB-9892-8B9D90707585}"/>
    <cellStyle name="Percent 7" xfId="521" xr:uid="{E9580BCE-9359-4E63-BA20-C87F5B0E79D7}"/>
    <cellStyle name="Percent 7 2" xfId="522" xr:uid="{355E208E-CDD3-433B-8931-BBE666CB244F}"/>
    <cellStyle name="Percent 7 2 2" xfId="523" xr:uid="{1D73D5DB-6978-42EF-879E-9B7C99EBF5E5}"/>
    <cellStyle name="Percent 7 2 2 2" xfId="4881" xr:uid="{C6452EEB-5E22-4F94-91DD-38FB62686FE6}"/>
    <cellStyle name="Percent 7 2 3" xfId="524" xr:uid="{4670C489-90BF-4B7E-AA9A-B7170710D75B}"/>
    <cellStyle name="Percent 7 2 3 2" xfId="525" xr:uid="{C94AD375-C587-4AA6-81DB-58BA278FF2D0}"/>
    <cellStyle name="Percent 7 2 3 2 2" xfId="4883" xr:uid="{105BF267-7889-4281-90C5-A56FB63C5469}"/>
    <cellStyle name="Percent 7 2 3 3" xfId="4884" xr:uid="{959B702E-216A-4F8A-BFE1-1C653D91413A}"/>
    <cellStyle name="Percent 7 2 3 4" xfId="4885" xr:uid="{8C1CB0A9-2FA8-4D64-80EE-B499A6BC7B1C}"/>
    <cellStyle name="Percent 7 2 3 5" xfId="4882" xr:uid="{26930A3A-1CEB-4462-A973-70D5C06E2B94}"/>
    <cellStyle name="Percent 7 2 4" xfId="526" xr:uid="{34284283-09AD-44F9-9FC0-B0A8592BFE49}"/>
    <cellStyle name="Percent 7 2 4 2" xfId="527" xr:uid="{49AD691C-6AB4-45DF-B647-C13BA34C9281}"/>
    <cellStyle name="Percent 7 2 4 2 2" xfId="4887" xr:uid="{0C469E9B-4BF8-49FE-A98C-B8C347070CFB}"/>
    <cellStyle name="Percent 7 2 4 3" xfId="4886" xr:uid="{B119AD8B-3C97-414D-AA9F-A3C401020955}"/>
    <cellStyle name="Percent 7 2 5" xfId="4888" xr:uid="{93F63487-3BBA-407F-925D-E3A45F684D8C}"/>
    <cellStyle name="Percent 7 2 6" xfId="4880" xr:uid="{7F9CDCC5-8670-4695-8BE9-5D4D661E403E}"/>
    <cellStyle name="Percent 7 3" xfId="528" xr:uid="{B0B7AACB-B84B-4B6E-9033-50BBE978DFFF}"/>
    <cellStyle name="Percent 7 3 2" xfId="529" xr:uid="{F83A3F52-6F5F-4C1F-9DC9-3FDBD96D0BDC}"/>
    <cellStyle name="Percent 7 3 3" xfId="4889" xr:uid="{8D3A8009-E954-42C6-91C5-324261DB2318}"/>
    <cellStyle name="Percent 7 3 4" xfId="8434" xr:uid="{58698D06-BDDC-48A4-BED2-C62C343E38CA}"/>
    <cellStyle name="Percent 7 3 4 2" xfId="8435" xr:uid="{AD7607E2-09CE-4273-8D96-1FA6A0901D4C}"/>
    <cellStyle name="Percent 7 4" xfId="530" xr:uid="{B79CFCB6-5E0D-467C-95B7-489841E5BAD3}"/>
    <cellStyle name="Percent 7 4 2" xfId="4891" xr:uid="{D642CE95-8642-43F7-9180-797DC78CD190}"/>
    <cellStyle name="Percent 7 4 3" xfId="4890" xr:uid="{CA9C4323-E627-42DF-B907-70E0A933C600}"/>
    <cellStyle name="Percent 7 5" xfId="4892" xr:uid="{AB78FAB6-465D-4069-AC97-255135EE6226}"/>
    <cellStyle name="Percent 7 6" xfId="4879" xr:uid="{4ACA5204-E10D-47FC-8713-78B4D463566E}"/>
    <cellStyle name="Percent 8" xfId="531" xr:uid="{143AF3AA-3A99-4F31-94A7-3CEB1347B721}"/>
    <cellStyle name="Percent 8 2" xfId="8436" xr:uid="{5DCC3DFA-B37B-4396-B386-6C514247C83C}"/>
    <cellStyle name="Percent 8 3" xfId="8437" xr:uid="{76385CE6-A80A-4084-8A8C-4DC3D3517515}"/>
    <cellStyle name="Percent 8 4" xfId="8438" xr:uid="{67BFF47D-2647-43C7-9073-8BEE0C458B75}"/>
    <cellStyle name="Percent 9" xfId="532" xr:uid="{2002B44B-6092-487B-980C-2F4B3D5900AB}"/>
    <cellStyle name="Percent 9 2" xfId="533" xr:uid="{B68988AA-3C98-4A08-99A7-EDA269BF4EE9}"/>
    <cellStyle name="Percent 9 2 2" xfId="4894" xr:uid="{1ADA1657-11B2-4578-AAD0-F6BE09230DFA}"/>
    <cellStyle name="Percent 9 3" xfId="534" xr:uid="{A1D957D2-0B8D-45E1-BA53-7AAC5E73FAC4}"/>
    <cellStyle name="Percent 9 3 2" xfId="535" xr:uid="{12B35084-6C37-4849-81C1-161255FAF371}"/>
    <cellStyle name="Percent 9 3 2 2" xfId="4896" xr:uid="{C62954C5-0B5A-4BB7-81B7-DD8823ECBB8F}"/>
    <cellStyle name="Percent 9 3 3" xfId="4897" xr:uid="{E5CCF66D-4D85-4281-AF50-77B64F457C50}"/>
    <cellStyle name="Percent 9 3 4" xfId="4898" xr:uid="{FDF3643F-079C-47E8-8C97-30752E65A9CF}"/>
    <cellStyle name="Percent 9 3 5" xfId="4895" xr:uid="{F043F0AB-E496-4A27-9CBB-470945DC784A}"/>
    <cellStyle name="Percent 9 4" xfId="536" xr:uid="{143F4F61-8015-4A22-A2E0-AD4B23816D73}"/>
    <cellStyle name="Percent 9 4 2" xfId="537" xr:uid="{298E4A83-E0CB-4529-A81C-FA306436B95D}"/>
    <cellStyle name="Percent 9 4 2 2" xfId="4900" xr:uid="{7996EC9C-1C37-4D57-8139-6CF9548FD0F7}"/>
    <cellStyle name="Percent 9 4 3" xfId="4899" xr:uid="{DEC3D7B1-E635-41F4-A8CD-6B0EABEF9576}"/>
    <cellStyle name="Percent 9 5" xfId="4901" xr:uid="{FACA4301-E7BB-4D12-8A51-F3CE03D6CE49}"/>
    <cellStyle name="Percent 9 6" xfId="4893" xr:uid="{B008856A-2657-4EB1-8876-34FEFCCD94BF}"/>
    <cellStyle name="Satisfaisant" xfId="538" xr:uid="{4389B37A-AE4F-4742-A1BC-C78866A24F67}"/>
    <cellStyle name="Schlecht" xfId="539" xr:uid="{FE686EC7-F284-4313-A2D1-2289278EA993}"/>
    <cellStyle name="Sortie" xfId="540" xr:uid="{984C6753-AE80-4934-9C95-D7E66D0E51BA}"/>
    <cellStyle name="Standard 2" xfId="541" xr:uid="{F5D5920B-50AC-47E4-A054-63FA22C8BF4A}"/>
    <cellStyle name="Standard 2 2" xfId="4314" xr:uid="{5AD454E1-F1DC-4DEF-AFFF-4ABB09FD1717}"/>
    <cellStyle name="Standard_Sce_D_Extraction" xfId="542" xr:uid="{96011FCD-AB1F-4331-9C14-C5BFBC3980D1}"/>
    <cellStyle name="Style 103" xfId="543" xr:uid="{726E835B-6D30-4057-A6CD-EA6832B3940F}"/>
    <cellStyle name="Style 103 10" xfId="544" xr:uid="{B842B674-7F4F-4AF1-BB4D-E18E922DD2F6}"/>
    <cellStyle name="Style 103 10 2" xfId="545" xr:uid="{A3B93FE3-EBDD-4CAA-950B-9E3E0BCD2BD4}"/>
    <cellStyle name="Style 103 10 2 2" xfId="4902" xr:uid="{6443090F-F04B-45B1-AEC5-E84F3CEE03C5}"/>
    <cellStyle name="Style 103 10 2 2 2" xfId="26929" xr:uid="{CD5D4E72-AC9A-4826-928D-B67BC4ED8913}"/>
    <cellStyle name="Style 103 10 2 3" xfId="24310" xr:uid="{0D2D9D66-3293-4EF8-BE90-C80ABD56862E}"/>
    <cellStyle name="Style 103 10 3" xfId="4046" xr:uid="{49339A10-CFF2-48CA-A39E-A3227695B30F}"/>
    <cellStyle name="Style 103 10 3 2" xfId="26928" xr:uid="{B5B160F2-4E44-4E63-A685-6F262638A957}"/>
    <cellStyle name="Style 103 10 4" xfId="22398" xr:uid="{718FE062-21A9-4D74-B2FA-8BBA3B7A6567}"/>
    <cellStyle name="Style 103 11" xfId="546" xr:uid="{A720F654-0855-433E-AEF8-8FE33D896C42}"/>
    <cellStyle name="Style 103 11 2" xfId="547" xr:uid="{CEEF8C9D-EC6A-45CA-AF8D-B9FFA9D57AC1}"/>
    <cellStyle name="Style 103 11 2 2" xfId="4904" xr:uid="{2BBA5A9E-181E-4471-B51D-729039560D4E}"/>
    <cellStyle name="Style 103 11 2 2 2" xfId="26931" xr:uid="{1E083B13-017C-4B44-9708-D7F3ADDB0F11}"/>
    <cellStyle name="Style 103 11 2 3" xfId="24311" xr:uid="{93E021C4-83FE-41DE-863C-29AED0EC1C37}"/>
    <cellStyle name="Style 103 11 3" xfId="4903" xr:uid="{B9F3A441-8C93-4793-89D2-BD2ECC401778}"/>
    <cellStyle name="Style 103 11 3 2" xfId="26930" xr:uid="{C8DCB58B-B335-45B8-8147-DD00D0F3F724}"/>
    <cellStyle name="Style 103 11 4" xfId="22399" xr:uid="{B3936815-A90F-480D-ACA8-3C0FCD99E28A}"/>
    <cellStyle name="Style 103 12" xfId="548" xr:uid="{06A5BD19-A9B9-4E38-8170-763C43DEAD10}"/>
    <cellStyle name="Style 103 12 2" xfId="4905" xr:uid="{FFD3C901-3C4A-4AB5-8773-7C0C29210984}"/>
    <cellStyle name="Style 103 12 2 2" xfId="26932" xr:uid="{04C6A5DE-AE1B-4DF7-A972-CD556FC3FE1D}"/>
    <cellStyle name="Style 103 12 3" xfId="8439" xr:uid="{320452BA-BA69-4EF0-B34E-6FBC970E847C}"/>
    <cellStyle name="Style 103 12 3 2" xfId="28782" xr:uid="{141ED355-2C3A-4378-B206-49EBF5EB3660}"/>
    <cellStyle name="Style 103 12 4" xfId="8440" xr:uid="{D40C8705-C2E9-495A-8EDF-906821D25FD9}"/>
    <cellStyle name="Style 103 12 4 2" xfId="28783" xr:uid="{FECFD3A6-EA5F-410A-B6BC-5F24F6870665}"/>
    <cellStyle name="Style 103 12 5" xfId="8441" xr:uid="{9B3568C1-911D-477E-9359-BD381446BA90}"/>
    <cellStyle name="Style 103 12 5 2" xfId="28784" xr:uid="{DBC97B5C-961B-4464-87A4-097FDC69B6AD}"/>
    <cellStyle name="Style 103 12 6" xfId="8442" xr:uid="{2BB2D326-FF15-4537-A8B3-41831D36FB79}"/>
    <cellStyle name="Style 103 12 6 2" xfId="28785" xr:uid="{2224E53E-2154-4F6E-A977-8256A3783D99}"/>
    <cellStyle name="Style 103 12 7" xfId="24312" xr:uid="{4DF959B5-BDA4-42EA-B839-4EE4A84FFC7F}"/>
    <cellStyle name="Style 103 13" xfId="8443" xr:uid="{13267867-1692-47F6-A858-9D1D5A4F8C68}"/>
    <cellStyle name="Style 103 13 2" xfId="8444" xr:uid="{CE79A440-E03F-4E29-BF2E-72CE29546D7F}"/>
    <cellStyle name="Style 103 13 2 2" xfId="28786" xr:uid="{BB40A1B3-5E4E-4CEB-A2E7-8E0ADEB1FE2B}"/>
    <cellStyle name="Style 103 13 3" xfId="8445" xr:uid="{0C8D61A9-5470-4B10-BFD6-A694F1FEDD0D}"/>
    <cellStyle name="Style 103 13 3 2" xfId="28787" xr:uid="{C33E6412-04F7-4069-A864-DA9E21D7249A}"/>
    <cellStyle name="Style 103 13 4" xfId="26496" xr:uid="{1056BAAD-4E98-4A9C-86ED-DBA56096BFFD}"/>
    <cellStyle name="Style 103 14" xfId="8446" xr:uid="{1246628B-4C47-4AEC-969D-941341B7A90E}"/>
    <cellStyle name="Style 103 14 2" xfId="8447" xr:uid="{CCC1693E-8269-4750-A551-F5ADA690EC34}"/>
    <cellStyle name="Style 103 14 2 2" xfId="28789" xr:uid="{76890292-134E-4970-A08E-836F8DD30116}"/>
    <cellStyle name="Style 103 14 3" xfId="28788" xr:uid="{CCD7500B-AA1A-4584-B95E-27EE61F102BC}"/>
    <cellStyle name="Style 103 15" xfId="8448" xr:uid="{AEA7B722-6CDE-4665-B379-21A1C16E35BC}"/>
    <cellStyle name="Style 103 15 2" xfId="8449" xr:uid="{8834E1A7-3CD5-42DF-A187-D46F055135B0}"/>
    <cellStyle name="Style 103 15 2 2" xfId="28791" xr:uid="{F8DEA5AB-A77F-431C-8083-B8407DCBFD70}"/>
    <cellStyle name="Style 103 15 3" xfId="28790" xr:uid="{86AB6957-DF75-471E-8BBE-660650BA8376}"/>
    <cellStyle name="Style 103 16" xfId="22397" xr:uid="{7562E1F3-9DD1-49C8-A3A1-4605C8C663E2}"/>
    <cellStyle name="Style 103 2" xfId="549" xr:uid="{59EDD8C3-CB3F-4089-BE4F-9A86F15AF908}"/>
    <cellStyle name="Style 103 2 2" xfId="4315" xr:uid="{C2D1A916-F7BC-4EC8-9A00-332F9836D722}"/>
    <cellStyle name="Style 103 2 2 2" xfId="26497" xr:uid="{BB25F382-895B-450F-A4C1-12BF8BFDE76B}"/>
    <cellStyle name="Style 103 2 3" xfId="22400" xr:uid="{CD970F14-6256-4E4D-B48A-44A08B007CF3}"/>
    <cellStyle name="Style 103 3" xfId="550" xr:uid="{7B0138FB-237C-47E4-8828-28F5412EF21A}"/>
    <cellStyle name="Style 103 3 2" xfId="551" xr:uid="{DAAB352A-480F-4EFC-87B4-16B4CA108F66}"/>
    <cellStyle name="Style 103 3 2 2" xfId="552" xr:uid="{110ADAE5-3982-4563-BAA0-8E887A517B0E}"/>
    <cellStyle name="Style 103 3 2 2 2" xfId="4906" xr:uid="{7F5C5E90-1861-465B-8124-819AAADD59E9}"/>
    <cellStyle name="Style 103 3 2 2 2 2" xfId="26933" xr:uid="{45873B78-AA99-49E2-AB2D-DEF7A687B49F}"/>
    <cellStyle name="Style 103 3 2 2 3" xfId="22403" xr:uid="{EE49EFF3-1147-4824-8496-1DFD1F4AAB63}"/>
    <cellStyle name="Style 103 3 2 3" xfId="4317" xr:uid="{6898ED6C-A9A4-44CD-8E31-639014E139DE}"/>
    <cellStyle name="Style 103 3 2 3 2" xfId="26499" xr:uid="{76462BAC-B9C2-4BF1-875D-7A8A7DA6512E}"/>
    <cellStyle name="Style 103 3 2 4" xfId="22402" xr:uid="{7C21B027-A947-4FB9-8F80-C6274FA4667E}"/>
    <cellStyle name="Style 103 3 3" xfId="553" xr:uid="{C1E4376F-7CC1-46E3-A36A-044B384836D6}"/>
    <cellStyle name="Style 103 3 3 2" xfId="554" xr:uid="{2A6914C8-F2CE-4260-B3F2-BD322C61B65B}"/>
    <cellStyle name="Style 103 3 3 2 2" xfId="4908" xr:uid="{4AAFCDC1-FB8C-4F25-9631-2D0D45AF2BC2}"/>
    <cellStyle name="Style 103 3 3 2 2 2" xfId="26935" xr:uid="{F8C97909-35AA-41BD-B7B1-72A79C35A258}"/>
    <cellStyle name="Style 103 3 3 2 3" xfId="22405" xr:uid="{C12B962E-61CE-4591-9E4E-69C8002CFD48}"/>
    <cellStyle name="Style 103 3 3 3" xfId="555" xr:uid="{191341BA-610A-4E6F-9719-FFC194ED5079}"/>
    <cellStyle name="Style 103 3 3 3 2" xfId="556" xr:uid="{484C9F48-683A-42F7-BA25-A24450AB3BAF}"/>
    <cellStyle name="Style 103 3 3 3 2 2" xfId="4910" xr:uid="{BBDFA4AE-4F07-4439-ABD4-6B8DA5A6A0C7}"/>
    <cellStyle name="Style 103 3 3 3 2 2 2" xfId="26937" xr:uid="{22936DEE-1978-449E-8754-E4F41A96302E}"/>
    <cellStyle name="Style 103 3 3 3 2 3" xfId="22407" xr:uid="{8CA7D42B-C82F-4485-AE32-E6E66190C73A}"/>
    <cellStyle name="Style 103 3 3 3 3" xfId="4911" xr:uid="{519F1934-BA1C-438D-9E35-B8B7F891159F}"/>
    <cellStyle name="Style 103 3 3 3 3 2" xfId="22408" xr:uid="{C70929C4-8821-4B4F-AA23-C22F0348EA53}"/>
    <cellStyle name="Style 103 3 3 3 4" xfId="4912" xr:uid="{B653459C-67B5-4365-9DE9-3D290ECC1C14}"/>
    <cellStyle name="Style 103 3 3 3 4 2" xfId="24313" xr:uid="{4419B7E6-7911-4808-9483-47D7A0F1CACE}"/>
    <cellStyle name="Style 103 3 3 3 5" xfId="4909" xr:uid="{8D46A82E-839A-4EA0-974F-5C3E416E8430}"/>
    <cellStyle name="Style 103 3 3 3 5 2" xfId="26936" xr:uid="{EEC02779-4CC9-4A29-AFE1-B5F37111CDA1}"/>
    <cellStyle name="Style 103 3 3 3 6" xfId="22406" xr:uid="{DCB6CDBA-783A-4192-A454-94C126871E47}"/>
    <cellStyle name="Style 103 3 3 4" xfId="557" xr:uid="{AB0C2D01-0C13-4457-8B5D-2D55F1099E73}"/>
    <cellStyle name="Style 103 3 3 4 2" xfId="558" xr:uid="{CC8F3B90-945B-48E4-B3A4-DAFA4AD01D20}"/>
    <cellStyle name="Style 103 3 3 4 2 2" xfId="4914" xr:uid="{1C83E475-E0F0-4573-A0DB-8C3F4E0190B1}"/>
    <cellStyle name="Style 103 3 3 4 2 2 2" xfId="26939" xr:uid="{54652256-C22A-4A56-976B-CA56975B6A0F}"/>
    <cellStyle name="Style 103 3 3 4 2 3" xfId="22410" xr:uid="{32AE0CBB-3BD8-4835-B69C-32D50F20DE44}"/>
    <cellStyle name="Style 103 3 3 4 3" xfId="4913" xr:uid="{05174FB3-4E44-45E5-871D-60F305699341}"/>
    <cellStyle name="Style 103 3 3 4 3 2" xfId="26938" xr:uid="{45376081-3557-4FDE-9BE7-0D620D7627F1}"/>
    <cellStyle name="Style 103 3 3 4 4" xfId="22409" xr:uid="{2E71D2AE-7AC9-4DE8-A94A-E8599C2C8360}"/>
    <cellStyle name="Style 103 3 3 5" xfId="4915" xr:uid="{604EC27C-67B9-435C-9290-1C82A0B0EE43}"/>
    <cellStyle name="Style 103 3 3 5 2" xfId="24314" xr:uid="{4FA12886-A394-47F9-978D-DEB1FD26A91F}"/>
    <cellStyle name="Style 103 3 3 6" xfId="4907" xr:uid="{2A4A5E34-24CA-491A-B26C-543CE49CA9FB}"/>
    <cellStyle name="Style 103 3 3 6 2" xfId="26934" xr:uid="{A284BD33-4BF3-437D-B580-F900C2A06B76}"/>
    <cellStyle name="Style 103 3 3 7" xfId="22404" xr:uid="{A84192FF-B40F-4896-B7EE-88FFA6C55D52}"/>
    <cellStyle name="Style 103 3 4" xfId="559" xr:uid="{B7E3EB55-7A1B-4FF6-9D6D-C2E24D943A14}"/>
    <cellStyle name="Style 103 3 4 2" xfId="4917" xr:uid="{FAA5D1DE-927D-4598-9164-24DB0D886951}"/>
    <cellStyle name="Style 103 3 4 2 2" xfId="22412" xr:uid="{C52CB494-945A-4977-A6A0-67A7E313CF67}"/>
    <cellStyle name="Style 103 3 4 3" xfId="4918" xr:uid="{5357C5F4-7414-4ECA-902A-99C79A873F61}"/>
    <cellStyle name="Style 103 3 4 3 2" xfId="24315" xr:uid="{0846D0FA-EA57-4103-B0FD-0D658EA6D7BE}"/>
    <cellStyle name="Style 103 3 4 4" xfId="4916" xr:uid="{285FC451-57BB-4D97-95F9-88A7F0D3F2F2}"/>
    <cellStyle name="Style 103 3 4 4 2" xfId="26940" xr:uid="{F556FBFD-517C-4F74-8BA4-D3A254B4BC1E}"/>
    <cellStyle name="Style 103 3 4 5" xfId="22411" xr:uid="{8DF8B268-6AEA-4A37-A34A-B24E0EAB5C25}"/>
    <cellStyle name="Style 103 3 5" xfId="4919" xr:uid="{04054E24-2CFF-49EE-BB7D-200345545D79}"/>
    <cellStyle name="Style 103 3 5 2" xfId="8450" xr:uid="{C4E1EE3D-154D-43E8-944C-77F45A46AF9B}"/>
    <cellStyle name="Style 103 3 5 2 2" xfId="26941" xr:uid="{1E552128-AC4F-448E-96CF-F2831C05B6FC}"/>
    <cellStyle name="Style 103 3 5 3" xfId="22413" xr:uid="{C9064B31-5F21-41D6-B27F-360267FB14EB}"/>
    <cellStyle name="Style 103 3 6" xfId="4316" xr:uid="{E9585B98-1475-4D56-B048-84565AEBA47A}"/>
    <cellStyle name="Style 103 3 6 2" xfId="26498" xr:uid="{BE4C8011-9F69-4733-A86C-35CFBB9089CC}"/>
    <cellStyle name="Style 103 3 7" xfId="22401" xr:uid="{C50B1821-3AD4-4E5D-8210-BF578F03CB61}"/>
    <cellStyle name="Style 103 4" xfId="560" xr:uid="{AFD34A12-5D3E-40EE-8EC7-75D1C2DB5F60}"/>
    <cellStyle name="Style 103 4 2" xfId="561" xr:uid="{243F3082-F17D-4B40-BF7D-E3C107237BE1}"/>
    <cellStyle name="Style 103 4 2 2" xfId="562" xr:uid="{85B5AE1E-B5EE-4F7F-BD1D-7B4F8B58E705}"/>
    <cellStyle name="Style 103 4 2 2 2" xfId="4922" xr:uid="{C871F0CF-32D9-42E9-9D9D-D62D44D353BF}"/>
    <cellStyle name="Style 103 4 2 2 2 2" xfId="26943" xr:uid="{C2147CC8-1425-4065-930E-F1D92EBB7547}"/>
    <cellStyle name="Style 103 4 2 2 3" xfId="22416" xr:uid="{73C4A29C-13C3-4507-8E15-7668B045D95D}"/>
    <cellStyle name="Style 103 4 2 3" xfId="563" xr:uid="{4F4FF4E7-73F7-420C-B43B-E79187F1FA04}"/>
    <cellStyle name="Style 103 4 2 3 2" xfId="564" xr:uid="{1564F522-419F-456B-8480-B15CDC09A768}"/>
    <cellStyle name="Style 103 4 2 3 2 2" xfId="4924" xr:uid="{F6C1A401-6A4F-4086-BA17-CFEA32C3919A}"/>
    <cellStyle name="Style 103 4 2 3 2 2 2" xfId="26945" xr:uid="{85CD8419-8EB9-433B-B189-F755197B292E}"/>
    <cellStyle name="Style 103 4 2 3 2 3" xfId="22418" xr:uid="{82FBFBDA-7168-4BBC-A4D5-01821413BCF8}"/>
    <cellStyle name="Style 103 4 2 3 3" xfId="4925" xr:uid="{D9F40064-CFCF-475D-A9A9-4A8876FC04F0}"/>
    <cellStyle name="Style 103 4 2 3 3 2" xfId="22419" xr:uid="{4BF06428-634C-4F5E-9D53-0EA00D630755}"/>
    <cellStyle name="Style 103 4 2 3 4" xfId="4926" xr:uid="{ECB367AC-B328-401C-8A64-975FE207524D}"/>
    <cellStyle name="Style 103 4 2 3 4 2" xfId="24316" xr:uid="{1FC6E70C-835A-4672-A6E4-30FA6C15AE95}"/>
    <cellStyle name="Style 103 4 2 3 5" xfId="4923" xr:uid="{45C2670F-F82E-481C-8851-4ECFC8A1AC14}"/>
    <cellStyle name="Style 103 4 2 3 5 2" xfId="26944" xr:uid="{5F4C86D0-493F-4708-88A2-56F0A1194D25}"/>
    <cellStyle name="Style 103 4 2 3 6" xfId="22417" xr:uid="{736F5F29-699E-4651-B2F5-8A2305FE7802}"/>
    <cellStyle name="Style 103 4 2 4" xfId="565" xr:uid="{F755ED28-5A6B-422A-BE01-B203CBDD1CC5}"/>
    <cellStyle name="Style 103 4 2 4 2" xfId="566" xr:uid="{5320BC6D-EF51-44F2-AC5E-4B8149ABD50E}"/>
    <cellStyle name="Style 103 4 2 4 2 2" xfId="4928" xr:uid="{12077EAA-127F-4B33-9099-AD644AF96241}"/>
    <cellStyle name="Style 103 4 2 4 2 2 2" xfId="26947" xr:uid="{218EC0B8-4F5E-4250-91CC-A63FFF4E83F0}"/>
    <cellStyle name="Style 103 4 2 4 2 3" xfId="22421" xr:uid="{92E2670A-A91D-4FC7-B1A9-08EB4B3A26EA}"/>
    <cellStyle name="Style 103 4 2 4 3" xfId="4927" xr:uid="{52E90EBA-3076-435D-831D-EB1BF82B28DF}"/>
    <cellStyle name="Style 103 4 2 4 3 2" xfId="26946" xr:uid="{70F48673-50BE-4F7E-90EA-5760A2F34412}"/>
    <cellStyle name="Style 103 4 2 4 4" xfId="22420" xr:uid="{3232AE17-DBC1-4ED8-AB0D-1369116CE75B}"/>
    <cellStyle name="Style 103 4 2 5" xfId="4929" xr:uid="{DCD3D174-BF33-43E2-94F5-E8199C77D6C2}"/>
    <cellStyle name="Style 103 4 2 5 2" xfId="24317" xr:uid="{F6295B4E-1B8F-4269-9FF6-536F2723FF46}"/>
    <cellStyle name="Style 103 4 2 6" xfId="4921" xr:uid="{6B31E041-9C2B-4A5B-B493-B94BD5197440}"/>
    <cellStyle name="Style 103 4 2 6 2" xfId="26942" xr:uid="{AD8CAE86-8309-487F-A44D-F303D5FABC90}"/>
    <cellStyle name="Style 103 4 2 7" xfId="22415" xr:uid="{98BD0CF4-D097-4AED-81C3-6CE85B13CD23}"/>
    <cellStyle name="Style 103 4 3" xfId="567" xr:uid="{043C9A30-CB51-448A-A4DB-9421810A0DE5}"/>
    <cellStyle name="Style 103 4 3 2" xfId="4930" xr:uid="{2FDD03F3-3E66-4FEE-B1B1-477D865CC22B}"/>
    <cellStyle name="Style 103 4 3 2 2" xfId="26948" xr:uid="{74D554D5-75EC-44C6-94A9-C5DA18B97838}"/>
    <cellStyle name="Style 103 4 3 3" xfId="22422" xr:uid="{36788627-02C7-43ED-B7F0-795B157EA97C}"/>
    <cellStyle name="Style 103 4 4" xfId="4931" xr:uid="{2BB6FBC3-CA5B-4A5B-B4A3-B58E086E27BD}"/>
    <cellStyle name="Style 103 4 4 2" xfId="4932" xr:uid="{0258E5C9-D400-4637-BB1D-B5441B7A8D52}"/>
    <cellStyle name="Style 103 4 4 2 2" xfId="24318" xr:uid="{8B49829B-E886-4DCC-93C4-C2E90A7FA4A0}"/>
    <cellStyle name="Style 103 4 4 3" xfId="22423" xr:uid="{1E88EE97-0453-46DC-B004-879863104AD7}"/>
    <cellStyle name="Style 103 4 5" xfId="4920" xr:uid="{05152C5A-5D24-4933-BF47-6AED2FD37909}"/>
    <cellStyle name="Style 103 4 5 2" xfId="25911" xr:uid="{3036AC88-7273-4ACA-AB03-6CC351866463}"/>
    <cellStyle name="Style 103 4 6" xfId="4318" xr:uid="{1AAB9DD7-EB04-498B-8CE6-9C5400FF8330}"/>
    <cellStyle name="Style 103 4 6 2" xfId="26500" xr:uid="{5910ADD2-F5C5-406D-8C51-1493532393A4}"/>
    <cellStyle name="Style 103 4 7" xfId="22414" xr:uid="{1448C05E-097F-4C0D-872F-4FD60E4393D0}"/>
    <cellStyle name="Style 103 5" xfId="568" xr:uid="{1A9F30F0-A037-47DE-8C3D-195D05B90F4E}"/>
    <cellStyle name="Style 103 5 2" xfId="569" xr:uid="{B3F06214-F78D-4CD4-8AE2-4991429A507D}"/>
    <cellStyle name="Style 103 5 2 2" xfId="570" xr:uid="{0DCEB154-2076-40CD-AF5D-DCAE5FC9C6AD}"/>
    <cellStyle name="Style 103 5 2 2 2" xfId="4935" xr:uid="{7318C858-2600-4BDC-8803-036A724337DF}"/>
    <cellStyle name="Style 103 5 2 2 2 2" xfId="26950" xr:uid="{41A6EA65-69B4-479A-933C-E5C53C55BC98}"/>
    <cellStyle name="Style 103 5 2 2 3" xfId="22426" xr:uid="{AAAF13D1-1524-4713-8100-BA84AD592B4C}"/>
    <cellStyle name="Style 103 5 2 3" xfId="571" xr:uid="{8780C5EB-5EA7-4D85-BA5F-A18013086117}"/>
    <cellStyle name="Style 103 5 2 3 2" xfId="572" xr:uid="{1C1EE29B-1DB9-4A6F-B493-56696C4DDB13}"/>
    <cellStyle name="Style 103 5 2 3 2 2" xfId="4937" xr:uid="{18BA015A-BA90-4E95-98FF-963C3BF7BA9F}"/>
    <cellStyle name="Style 103 5 2 3 2 2 2" xfId="26952" xr:uid="{0857DC2E-363E-4F17-A1EA-19CC3252B017}"/>
    <cellStyle name="Style 103 5 2 3 2 3" xfId="22428" xr:uid="{FE501C5C-E893-4242-B1D5-B929BA74D105}"/>
    <cellStyle name="Style 103 5 2 3 3" xfId="4938" xr:uid="{1B4094D3-1939-457D-A832-BB59A5A40BEF}"/>
    <cellStyle name="Style 103 5 2 3 3 2" xfId="22429" xr:uid="{E7BC9710-D9C2-4AF9-BD9B-88619151C233}"/>
    <cellStyle name="Style 103 5 2 3 4" xfId="4939" xr:uid="{C4EE00F6-D7D7-4F36-8E06-0C8C6C08B3D3}"/>
    <cellStyle name="Style 103 5 2 3 4 2" xfId="24319" xr:uid="{5B08D225-038A-41AE-88C3-9B467C7F3C94}"/>
    <cellStyle name="Style 103 5 2 3 5" xfId="4936" xr:uid="{F42C29A1-5AD3-4DB0-A871-A84A535665A0}"/>
    <cellStyle name="Style 103 5 2 3 5 2" xfId="26951" xr:uid="{28794B66-F4A4-463F-9786-09821CEBCFB0}"/>
    <cellStyle name="Style 103 5 2 3 6" xfId="22427" xr:uid="{DD03EFBD-4DD2-44A4-9ECC-B75C920CB0C7}"/>
    <cellStyle name="Style 103 5 2 4" xfId="573" xr:uid="{7B867565-E3E6-4429-B82F-7AB3A975AACA}"/>
    <cellStyle name="Style 103 5 2 4 2" xfId="574" xr:uid="{AE7C2F5E-0567-40A5-8226-8AF6F8A74F90}"/>
    <cellStyle name="Style 103 5 2 4 2 2" xfId="4941" xr:uid="{7B366F87-36EC-4889-8636-A00703B27E07}"/>
    <cellStyle name="Style 103 5 2 4 2 2 2" xfId="26954" xr:uid="{679D26E8-DD76-4A83-AD71-3A0CFC403E3D}"/>
    <cellStyle name="Style 103 5 2 4 2 3" xfId="22431" xr:uid="{E6E74A43-971F-4C6B-9176-2A0727CEF73A}"/>
    <cellStyle name="Style 103 5 2 4 3" xfId="4940" xr:uid="{43927E40-EC41-4891-B40A-F6AA1DDD0967}"/>
    <cellStyle name="Style 103 5 2 4 3 2" xfId="26953" xr:uid="{BE56BDF0-DBE5-4ADF-95AC-4689FAAA764E}"/>
    <cellStyle name="Style 103 5 2 4 4" xfId="22430" xr:uid="{AFB20A70-3AA0-46D9-ACBB-B6F45E9002FC}"/>
    <cellStyle name="Style 103 5 2 5" xfId="4942" xr:uid="{7838B624-74F3-4EC0-90C6-F3936C847885}"/>
    <cellStyle name="Style 103 5 2 5 2" xfId="24320" xr:uid="{6E3FAFAB-B7A6-4BC0-98AE-21A1BC5DBE49}"/>
    <cellStyle name="Style 103 5 2 6" xfId="4934" xr:uid="{ED501A28-9EF1-4E3A-BFC2-064C9A26709E}"/>
    <cellStyle name="Style 103 5 2 6 2" xfId="26949" xr:uid="{6022A268-8E42-4D29-A79A-EEBEF3612F23}"/>
    <cellStyle name="Style 103 5 2 7" xfId="22425" xr:uid="{927C4ABB-C3EC-4275-96A6-614A57CF35A6}"/>
    <cellStyle name="Style 103 5 3" xfId="575" xr:uid="{F1AA1137-D5F1-4821-B467-BCED44370C2B}"/>
    <cellStyle name="Style 103 5 3 2" xfId="4943" xr:uid="{85B0C8D9-DDC9-4CF5-8BDE-00DDAEFBECE8}"/>
    <cellStyle name="Style 103 5 3 2 2" xfId="26955" xr:uid="{E8CA4A91-9132-4F99-9FAA-3877FE3B7BAE}"/>
    <cellStyle name="Style 103 5 3 3" xfId="22432" xr:uid="{B79050D9-C876-4D6A-A5EE-14588F652DF8}"/>
    <cellStyle name="Style 103 5 4" xfId="4944" xr:uid="{04711645-D2F9-4641-8D2D-CF753F6B6585}"/>
    <cellStyle name="Style 103 5 4 2" xfId="4945" xr:uid="{EEA5FC3E-39AC-49D3-A2F9-7B84B177DF7F}"/>
    <cellStyle name="Style 103 5 4 2 2" xfId="24321" xr:uid="{A92C8E45-B0EC-476A-85FF-157AAA1BD5B6}"/>
    <cellStyle name="Style 103 5 4 3" xfId="22433" xr:uid="{DFC7C66E-29D8-4FE7-A355-93927F3A8F4C}"/>
    <cellStyle name="Style 103 5 5" xfId="4933" xr:uid="{CD87A4AA-5DF6-4D15-8B66-F45670BB5760}"/>
    <cellStyle name="Style 103 5 5 2" xfId="25912" xr:uid="{A412190A-F2D7-47B4-9BE7-790FB02837D1}"/>
    <cellStyle name="Style 103 5 6" xfId="4319" xr:uid="{7C7C11A9-A713-4193-8ACA-C43A96451184}"/>
    <cellStyle name="Style 103 5 6 2" xfId="26501" xr:uid="{4C898401-979D-4B4E-B6B7-822B3265F611}"/>
    <cellStyle name="Style 103 5 7" xfId="22424" xr:uid="{2592E363-FB0A-42B0-8CCF-5111064E93C9}"/>
    <cellStyle name="Style 103 6" xfId="576" xr:uid="{2ADB90EE-F26F-4C4D-9A7D-E2CC60F1CA01}"/>
    <cellStyle name="Style 103 6 2" xfId="577" xr:uid="{DDE4DD2A-0C09-40E3-A67A-46C523C4C70C}"/>
    <cellStyle name="Style 103 6 2 2" xfId="4947" xr:uid="{5CEDE9B0-B67E-4844-B111-FAAACF9C915B}"/>
    <cellStyle name="Style 103 6 2 2 2" xfId="26957" xr:uid="{DE45699C-F409-4E85-AA2B-32A27C8C1971}"/>
    <cellStyle name="Style 103 6 2 3" xfId="22435" xr:uid="{F6F0B93F-A4A6-4D1F-9A2C-12DC5DD4CA72}"/>
    <cellStyle name="Style 103 6 3" xfId="578" xr:uid="{E69FCFBE-E422-4D29-8FBB-55F1C5263DEB}"/>
    <cellStyle name="Style 103 6 3 2" xfId="579" xr:uid="{AD23683C-AE37-4D83-A700-F6D11DC7D4B8}"/>
    <cellStyle name="Style 103 6 3 2 2" xfId="4949" xr:uid="{BACCD021-201F-4BC8-8743-F9109D9A4BED}"/>
    <cellStyle name="Style 103 6 3 2 2 2" xfId="26959" xr:uid="{0CCE932E-8281-4E89-A8F0-B7810F579668}"/>
    <cellStyle name="Style 103 6 3 2 3" xfId="22437" xr:uid="{D1426158-9F83-4241-AB9D-3540ED967669}"/>
    <cellStyle name="Style 103 6 3 3" xfId="4950" xr:uid="{B521FA90-8521-4DAD-B3D1-605A0DC86296}"/>
    <cellStyle name="Style 103 6 3 3 2" xfId="22438" xr:uid="{38AACC71-982A-4935-A458-B5E584A2DC91}"/>
    <cellStyle name="Style 103 6 3 4" xfId="4951" xr:uid="{DD9978DB-B0D0-497B-8828-7E982EC0F722}"/>
    <cellStyle name="Style 103 6 3 4 2" xfId="24322" xr:uid="{4743F458-F346-4A10-93B1-30FB2C62AE4D}"/>
    <cellStyle name="Style 103 6 3 5" xfId="4948" xr:uid="{70D097AB-743E-47CA-918A-8938975C3798}"/>
    <cellStyle name="Style 103 6 3 5 2" xfId="26958" xr:uid="{4F4A76F4-D2C6-43C1-81B3-CA39FE56DEFC}"/>
    <cellStyle name="Style 103 6 3 6" xfId="22436" xr:uid="{C9FD24B0-F348-4F5D-98E5-25BE304BAA83}"/>
    <cellStyle name="Style 103 6 4" xfId="580" xr:uid="{FD72074F-ACB6-4DAC-A0BF-B53535F06331}"/>
    <cellStyle name="Style 103 6 4 2" xfId="581" xr:uid="{A2452424-33B0-4A33-B00A-9D5FDAF3388A}"/>
    <cellStyle name="Style 103 6 4 2 2" xfId="4953" xr:uid="{AAAC2C6A-6EA1-4D52-BB01-96204CE370FC}"/>
    <cellStyle name="Style 103 6 4 2 2 2" xfId="26961" xr:uid="{DDAEED19-E4CA-49E9-9D44-EC1455A38E63}"/>
    <cellStyle name="Style 103 6 4 2 3" xfId="22440" xr:uid="{189B657D-B8A4-4EED-9CD7-41D0A7E45884}"/>
    <cellStyle name="Style 103 6 4 3" xfId="4952" xr:uid="{8DE12DDD-CD10-493D-8CE2-9CF68AD0B27B}"/>
    <cellStyle name="Style 103 6 4 3 2" xfId="26960" xr:uid="{8BC1915E-BF4D-40D2-B31B-F7264E388A11}"/>
    <cellStyle name="Style 103 6 4 4" xfId="22439" xr:uid="{D1DF419B-0876-4443-AC3E-AA35B2169A6C}"/>
    <cellStyle name="Style 103 6 5" xfId="4954" xr:uid="{760E99E9-172D-4A34-A650-93A10F13911C}"/>
    <cellStyle name="Style 103 6 5 2" xfId="24323" xr:uid="{9C23B394-487D-4861-A2A2-B3A328B51E93}"/>
    <cellStyle name="Style 103 6 6" xfId="4946" xr:uid="{05611A3C-FB14-437D-91F6-525538E77D78}"/>
    <cellStyle name="Style 103 6 6 2" xfId="26956" xr:uid="{107864A5-8C15-4134-B119-20DE6A525464}"/>
    <cellStyle name="Style 103 6 7" xfId="22434" xr:uid="{CB7F4268-8401-4737-9012-3D1D90F0F56E}"/>
    <cellStyle name="Style 103 7" xfId="582" xr:uid="{3ACFB4BF-5E9B-4717-AFD9-5E98F9D5A223}"/>
    <cellStyle name="Style 103 7 2" xfId="583" xr:uid="{319FC97B-A685-47CD-B24C-CA1E7749F58D}"/>
    <cellStyle name="Style 103 7 2 2" xfId="4956" xr:uid="{19CC8788-8DF1-4AD3-9A45-C6FB64A54AA1}"/>
    <cellStyle name="Style 103 7 2 2 2" xfId="26963" xr:uid="{4B1C19BE-0637-442B-8278-D357861C7091}"/>
    <cellStyle name="Style 103 7 2 3" xfId="22442" xr:uid="{8DA3D0D0-6651-4B7D-83C3-8DD1084422DC}"/>
    <cellStyle name="Style 103 7 3" xfId="4957" xr:uid="{08CC8F47-8799-4DFD-9A40-C86D09633C9B}"/>
    <cellStyle name="Style 103 7 3 2" xfId="22443" xr:uid="{CA05C9EE-D85C-4F28-942F-D4C395460C65}"/>
    <cellStyle name="Style 103 7 4" xfId="4958" xr:uid="{FE0C5B68-DA57-48D3-BFAB-394D59310B56}"/>
    <cellStyle name="Style 103 7 4 2" xfId="24324" xr:uid="{8F120928-C768-4FAA-8A54-888DE9AEAB45}"/>
    <cellStyle name="Style 103 7 5" xfId="4955" xr:uid="{4123CC84-74FA-4829-895F-1526897D4F99}"/>
    <cellStyle name="Style 103 7 5 2" xfId="26962" xr:uid="{3797BABB-EA4F-4C0E-A177-E90E959D6520}"/>
    <cellStyle name="Style 103 7 6" xfId="22441" xr:uid="{42A5C65F-819E-466F-B633-A8E3103EDA95}"/>
    <cellStyle name="Style 103 8" xfId="584" xr:uid="{1065A7BC-C619-4E34-8796-C9D02B263A92}"/>
    <cellStyle name="Style 103 8 2" xfId="585" xr:uid="{8A366B41-54D4-49A1-A30C-EA2C701C3291}"/>
    <cellStyle name="Style 103 8 2 2" xfId="4960" xr:uid="{3BC75BC1-E9C9-4FB8-BA8A-BC1DE1437EB0}"/>
    <cellStyle name="Style 103 8 2 2 2" xfId="26965" xr:uid="{A84C9730-5D50-4D3E-82CF-ABE125858BEA}"/>
    <cellStyle name="Style 103 8 2 3" xfId="22445" xr:uid="{F621471A-E988-40C9-95B6-D9007BF9D3FE}"/>
    <cellStyle name="Style 103 8 3" xfId="4961" xr:uid="{13D71F4F-2177-4568-B1AF-D047584C7500}"/>
    <cellStyle name="Style 103 8 3 2" xfId="22446" xr:uid="{1C153E04-ACF7-4454-9F84-4FA3FF15368C}"/>
    <cellStyle name="Style 103 8 4" xfId="4962" xr:uid="{FA22132B-9E1A-416B-8F4C-3A092E926CA8}"/>
    <cellStyle name="Style 103 8 4 2" xfId="24325" xr:uid="{329DE55B-A3F4-4308-893F-4AA91286F30D}"/>
    <cellStyle name="Style 103 8 5" xfId="4959" xr:uid="{C6AD3BE5-1B6D-4F61-8281-9319DD7B7750}"/>
    <cellStyle name="Style 103 8 5 2" xfId="26964" xr:uid="{8841C611-66CD-4387-8971-AC2CCEC82D32}"/>
    <cellStyle name="Style 103 8 6" xfId="22444" xr:uid="{BB744751-1FA5-497C-9CCC-E76C5C6835DD}"/>
    <cellStyle name="Style 103 9" xfId="586" xr:uid="{096BCEBA-E46F-4503-9A65-988F0EB0BCB5}"/>
    <cellStyle name="Style 103 9 2" xfId="587" xr:uid="{9F22DDBD-EC35-4EF0-B326-E06297A9D451}"/>
    <cellStyle name="Style 103 9 2 2" xfId="4963" xr:uid="{77E26D36-A4DE-4669-A2A7-6080F093288E}"/>
    <cellStyle name="Style 103 9 2 2 2" xfId="26967" xr:uid="{5689895E-9D01-4647-ADE1-E0B60BF6CDCD}"/>
    <cellStyle name="Style 103 9 2 3" xfId="24326" xr:uid="{B99EFEF5-1281-4DB9-BA21-F70C3412FBD2}"/>
    <cellStyle name="Style 103 9 3" xfId="4047" xr:uid="{E8A3F661-0419-4938-8661-63F90123D65B}"/>
    <cellStyle name="Style 103 9 3 2" xfId="26966" xr:uid="{865D3374-55DF-4652-B516-0BE2121AB111}"/>
    <cellStyle name="Style 103 9 4" xfId="22447" xr:uid="{41A699A7-B484-4B48-A62B-5DBD0256E4C7}"/>
    <cellStyle name="Style 103_ADDON" xfId="25758" xr:uid="{C0660E97-C31F-4194-8C78-F2919C698C3A}"/>
    <cellStyle name="Style 104" xfId="588" xr:uid="{3D0E3D71-6E3F-47C5-8BCA-F94276BE0C79}"/>
    <cellStyle name="Style 104 10" xfId="589" xr:uid="{1BAD97F1-C66E-4EED-926A-AE6880943508}"/>
    <cellStyle name="Style 104 10 2" xfId="590" xr:uid="{E10568E9-12ED-4AA5-93D2-E82A32886739}"/>
    <cellStyle name="Style 104 10 2 2" xfId="4964" xr:uid="{DE76BFC0-A7C2-4540-B4FE-C164CF23739E}"/>
    <cellStyle name="Style 104 10 2 2 2" xfId="26969" xr:uid="{1680AB71-8320-4BC5-9A17-C1FC729F1897}"/>
    <cellStyle name="Style 104 10 2 3" xfId="24327" xr:uid="{FF977666-6155-41EF-B1E2-04E708F3FC83}"/>
    <cellStyle name="Style 104 10 3" xfId="4048" xr:uid="{76D29B70-723B-40E4-B32D-9C1BD2AD30C2}"/>
    <cellStyle name="Style 104 10 3 2" xfId="26968" xr:uid="{A8C8D8FA-F4DD-42DD-A83C-7FD6740ACD6C}"/>
    <cellStyle name="Style 104 10 4" xfId="22449" xr:uid="{4B6BA5E4-CBBE-46F8-B93C-04EB395FAF34}"/>
    <cellStyle name="Style 104 11" xfId="591" xr:uid="{10ACF993-90E1-4AE4-84F3-A75F3D744F45}"/>
    <cellStyle name="Style 104 11 2" xfId="592" xr:uid="{6A3737FA-EC3B-4674-99BF-5CAA8EBB62C8}"/>
    <cellStyle name="Style 104 11 2 2" xfId="4966" xr:uid="{9A504E59-F590-4522-9D0C-002CD058125D}"/>
    <cellStyle name="Style 104 11 2 2 2" xfId="26971" xr:uid="{6E25219E-D050-4801-ACA0-D6672DD82F52}"/>
    <cellStyle name="Style 104 11 2 3" xfId="24328" xr:uid="{DDED64D0-08EE-4BF1-88D7-D7DD846B121C}"/>
    <cellStyle name="Style 104 11 3" xfId="4965" xr:uid="{CD554198-B222-4869-8279-0CC98C1EC371}"/>
    <cellStyle name="Style 104 11 3 2" xfId="26970" xr:uid="{6646BA24-3B9B-49C6-83C1-E7D6F87C04C6}"/>
    <cellStyle name="Style 104 11 4" xfId="22450" xr:uid="{3B7D957B-FB53-46DC-8EF4-705295F86581}"/>
    <cellStyle name="Style 104 12" xfId="593" xr:uid="{71AF7B2C-8D15-4199-847B-83B791EF9FDD}"/>
    <cellStyle name="Style 104 12 2" xfId="4967" xr:uid="{62E641C8-EF47-4E6F-86AF-65B03D5FFE6E}"/>
    <cellStyle name="Style 104 12 2 2" xfId="26972" xr:uid="{C3668B1D-27D0-4CA5-ACFD-34F87FA4EF2F}"/>
    <cellStyle name="Style 104 12 3" xfId="8451" xr:uid="{10B96D5B-004C-4E65-B85C-4774A48F3399}"/>
    <cellStyle name="Style 104 12 3 2" xfId="28792" xr:uid="{97D0B523-496D-4024-982E-FCA3196FC3EA}"/>
    <cellStyle name="Style 104 12 4" xfId="8452" xr:uid="{81FD32F0-B59B-4113-AA4C-3B469BCAC386}"/>
    <cellStyle name="Style 104 12 4 2" xfId="28793" xr:uid="{A8DE4464-A599-4222-A9FB-A2886CB17C38}"/>
    <cellStyle name="Style 104 12 5" xfId="8453" xr:uid="{61FC9C85-568C-4265-BE77-D2DDB81BF69A}"/>
    <cellStyle name="Style 104 12 5 2" xfId="28794" xr:uid="{57BF810A-941D-49E5-B5E7-96B2C5FDED50}"/>
    <cellStyle name="Style 104 12 6" xfId="8454" xr:uid="{C6EA474C-DD7F-4593-A1D6-3765423A3E8D}"/>
    <cellStyle name="Style 104 12 6 2" xfId="28795" xr:uid="{DC929B6E-3F56-43BD-AE55-3E635067E80B}"/>
    <cellStyle name="Style 104 12 7" xfId="24329" xr:uid="{68D6B38E-2EE7-42E6-957E-5F7D26170094}"/>
    <cellStyle name="Style 104 13" xfId="8455" xr:uid="{4021C94C-7F2B-43E6-A424-910EADC2330E}"/>
    <cellStyle name="Style 104 13 2" xfId="8456" xr:uid="{F3542018-756D-4470-B123-471D5BC671AE}"/>
    <cellStyle name="Style 104 13 2 2" xfId="28796" xr:uid="{8EC7B541-4A06-4C2F-9E48-B61F80A643AD}"/>
    <cellStyle name="Style 104 13 3" xfId="8457" xr:uid="{0FB5762C-2DD0-44DB-AA3D-2E0AEDA57AE5}"/>
    <cellStyle name="Style 104 13 3 2" xfId="28797" xr:uid="{8773C580-FA15-4EC4-8817-CDF3472F16C4}"/>
    <cellStyle name="Style 104 13 4" xfId="26502" xr:uid="{7B9AE1E5-1E06-4862-BEDF-7EEF694D6D00}"/>
    <cellStyle name="Style 104 14" xfId="8458" xr:uid="{3174C5BD-33CD-42B4-86C7-74793118E995}"/>
    <cellStyle name="Style 104 14 2" xfId="8459" xr:uid="{EFCC4852-C0CF-4414-BD39-643ED0068049}"/>
    <cellStyle name="Style 104 14 2 2" xfId="28799" xr:uid="{7C4EDE0B-FF3B-4476-BF93-DDD41F40A592}"/>
    <cellStyle name="Style 104 14 3" xfId="28798" xr:uid="{87C94309-2B2E-4BE3-B9E9-8ED5CC750DDC}"/>
    <cellStyle name="Style 104 15" xfId="8460" xr:uid="{EC1FCAB8-74E1-441C-B2A6-F917D2B1FAB4}"/>
    <cellStyle name="Style 104 15 2" xfId="8461" xr:uid="{3C2AECD7-13FB-4097-BD87-BE07FBBC2D14}"/>
    <cellStyle name="Style 104 15 2 2" xfId="28801" xr:uid="{2B760E8B-C89C-4094-B8AD-260A704449E4}"/>
    <cellStyle name="Style 104 15 3" xfId="28800" xr:uid="{7F707514-E65E-4F65-B94D-82B27349AEC8}"/>
    <cellStyle name="Style 104 16" xfId="22448" xr:uid="{5E724ECB-9A36-4BE8-97D7-92FF6CCE2E87}"/>
    <cellStyle name="Style 104 2" xfId="594" xr:uid="{E0CA0B3F-7CDF-4DA8-BEB4-00C286A90364}"/>
    <cellStyle name="Style 104 2 2" xfId="4320" xr:uid="{A252C143-AC1C-4D83-A177-6F82F9B9FC2B}"/>
    <cellStyle name="Style 104 2 2 2" xfId="26503" xr:uid="{78ABE614-CCC7-485B-ADDE-985DDD826A18}"/>
    <cellStyle name="Style 104 2 3" xfId="22451" xr:uid="{CE4BF20E-C2D2-492C-B977-1EB11C0A653C}"/>
    <cellStyle name="Style 104 3" xfId="595" xr:uid="{C1F0F02F-FA82-4A3B-85D7-39D433C1C7A7}"/>
    <cellStyle name="Style 104 3 2" xfId="596" xr:uid="{870E15EF-2845-4980-B3C3-AE08AFDE49FA}"/>
    <cellStyle name="Style 104 3 2 2" xfId="597" xr:uid="{AF2BA16A-14AB-46D2-8961-BF38D38835F2}"/>
    <cellStyle name="Style 104 3 2 2 2" xfId="4968" xr:uid="{EFB5FD4F-032D-4540-8A60-F19F2F9668E7}"/>
    <cellStyle name="Style 104 3 2 2 2 2" xfId="26973" xr:uid="{49730C6E-1DBC-4671-9525-F4AF6CDCAFC9}"/>
    <cellStyle name="Style 104 3 2 2 3" xfId="22454" xr:uid="{531EBF55-73AD-4A4A-A8F9-5EB965009DCF}"/>
    <cellStyle name="Style 104 3 2 3" xfId="4322" xr:uid="{5692B119-90DC-4AF4-A039-41F44D1004A8}"/>
    <cellStyle name="Style 104 3 2 3 2" xfId="26505" xr:uid="{C563B8FC-5878-486C-9E1E-F135067D35A5}"/>
    <cellStyle name="Style 104 3 2 4" xfId="22453" xr:uid="{34FC605A-8D34-4FE8-8DD5-4BF6D5B52D3B}"/>
    <cellStyle name="Style 104 3 3" xfId="598" xr:uid="{3842A00E-EF5D-442E-AFD0-98DAE9BC639C}"/>
    <cellStyle name="Style 104 3 3 2" xfId="599" xr:uid="{01F8C8EE-8646-4C80-B703-855A93717968}"/>
    <cellStyle name="Style 104 3 3 2 2" xfId="4970" xr:uid="{16DEF7A8-CE19-4BC2-B2CC-F296AA27A40E}"/>
    <cellStyle name="Style 104 3 3 2 2 2" xfId="26975" xr:uid="{BCADC313-FEFB-4FC9-9A60-AB58F935EBFC}"/>
    <cellStyle name="Style 104 3 3 2 3" xfId="22456" xr:uid="{B3166544-E3C8-4303-891A-7B7C1B11AFA4}"/>
    <cellStyle name="Style 104 3 3 3" xfId="600" xr:uid="{5458EE0E-D56E-4416-AD7A-6BFAFD69480F}"/>
    <cellStyle name="Style 104 3 3 3 2" xfId="601" xr:uid="{F8428126-AD40-4A80-9656-BB3E400B5C13}"/>
    <cellStyle name="Style 104 3 3 3 2 2" xfId="4972" xr:uid="{1A845F57-B8EC-4501-91D3-CB2F2A2EF507}"/>
    <cellStyle name="Style 104 3 3 3 2 2 2" xfId="26977" xr:uid="{A09BF296-6DF8-491A-AFA0-E426E03C7C0A}"/>
    <cellStyle name="Style 104 3 3 3 2 3" xfId="22458" xr:uid="{BC82AE86-9D42-470A-99F3-E7F14BCA87C6}"/>
    <cellStyle name="Style 104 3 3 3 3" xfId="4973" xr:uid="{397A7308-1F19-4266-8FFD-389D1F321384}"/>
    <cellStyle name="Style 104 3 3 3 3 2" xfId="22459" xr:uid="{C2599D41-A9EF-4E0F-A336-F093646D9376}"/>
    <cellStyle name="Style 104 3 3 3 4" xfId="4974" xr:uid="{8E164877-D095-48DA-AA7D-A1AF4DE0400F}"/>
    <cellStyle name="Style 104 3 3 3 4 2" xfId="24330" xr:uid="{0CD4CC1A-20AC-4BC9-BA75-7DE680A3881F}"/>
    <cellStyle name="Style 104 3 3 3 5" xfId="4971" xr:uid="{5CCEF4B6-813A-40A4-B549-3D54202F4306}"/>
    <cellStyle name="Style 104 3 3 3 5 2" xfId="26976" xr:uid="{C92D0A85-E4A9-42F5-BF1F-C8D7455792FB}"/>
    <cellStyle name="Style 104 3 3 3 6" xfId="22457" xr:uid="{5613EB0E-0122-44C1-9904-F8CA11E26D90}"/>
    <cellStyle name="Style 104 3 3 4" xfId="602" xr:uid="{0377F4E2-945D-42D0-BFB7-523B0C4A9BEB}"/>
    <cellStyle name="Style 104 3 3 4 2" xfId="603" xr:uid="{8413FDA8-5FE9-4585-960F-E01D74F6885C}"/>
    <cellStyle name="Style 104 3 3 4 2 2" xfId="4976" xr:uid="{77164726-9CE4-4045-A15C-EC4D9AA95D5F}"/>
    <cellStyle name="Style 104 3 3 4 2 2 2" xfId="26979" xr:uid="{C73086F8-EBE4-4009-8A18-3FF8375002A5}"/>
    <cellStyle name="Style 104 3 3 4 2 3" xfId="22461" xr:uid="{11CCE070-AF0A-4253-8AD4-15324FDF280D}"/>
    <cellStyle name="Style 104 3 3 4 3" xfId="4975" xr:uid="{F8AFE2CD-A9CF-4A23-B94F-8DCB02CC5E47}"/>
    <cellStyle name="Style 104 3 3 4 3 2" xfId="26978" xr:uid="{C687FD80-D0A4-4F9A-8994-0564C46B5C3E}"/>
    <cellStyle name="Style 104 3 3 4 4" xfId="22460" xr:uid="{2256B6A8-1A2C-46FE-8131-3CDA0BF1A780}"/>
    <cellStyle name="Style 104 3 3 5" xfId="4977" xr:uid="{D061FFB6-EB4D-4592-9ED4-C74006D695B4}"/>
    <cellStyle name="Style 104 3 3 5 2" xfId="24331" xr:uid="{630A567C-2ADE-4467-AFEA-636F1AF94D3F}"/>
    <cellStyle name="Style 104 3 3 6" xfId="4969" xr:uid="{026FE8D2-BAE7-4DBF-908F-CECD0D396305}"/>
    <cellStyle name="Style 104 3 3 6 2" xfId="26974" xr:uid="{4C98C4AC-E25A-4C39-879C-5E93EFEB73A5}"/>
    <cellStyle name="Style 104 3 3 7" xfId="22455" xr:uid="{F1E795D0-BAD5-47E7-ACC4-F02E8EE71DF3}"/>
    <cellStyle name="Style 104 3 4" xfId="604" xr:uid="{54B8FA1C-DC89-4AB1-A64A-948704FA32D8}"/>
    <cellStyle name="Style 104 3 4 2" xfId="4979" xr:uid="{6D266FF3-62AD-41D6-8374-3425E7F805E6}"/>
    <cellStyle name="Style 104 3 4 2 2" xfId="22463" xr:uid="{E7CA669E-2E12-464C-9650-202446752C42}"/>
    <cellStyle name="Style 104 3 4 3" xfId="4980" xr:uid="{C2ACE558-E3E9-483E-94D2-518586D75B7C}"/>
    <cellStyle name="Style 104 3 4 3 2" xfId="24332" xr:uid="{9275AF70-47FF-4042-922A-4ED8337B8117}"/>
    <cellStyle name="Style 104 3 4 4" xfId="4978" xr:uid="{5B85CA52-081E-4914-8CF0-261BEFC69D65}"/>
    <cellStyle name="Style 104 3 4 4 2" xfId="26980" xr:uid="{20BF6C30-960A-4675-869E-63A22FC5DA4D}"/>
    <cellStyle name="Style 104 3 4 5" xfId="22462" xr:uid="{7AAA4662-8639-476B-A982-C5281D3E7A9F}"/>
    <cellStyle name="Style 104 3 5" xfId="4981" xr:uid="{28639F25-8E3F-462B-8454-880BC3FF289A}"/>
    <cellStyle name="Style 104 3 5 2" xfId="8462" xr:uid="{527F1AD6-49F1-4F01-8F4F-50494F1BB408}"/>
    <cellStyle name="Style 104 3 5 2 2" xfId="26981" xr:uid="{4CE8624D-6840-488E-9B8F-0B3C001517A8}"/>
    <cellStyle name="Style 104 3 5 3" xfId="22464" xr:uid="{2C5653B5-F5A1-457F-A64C-E88740CC548E}"/>
    <cellStyle name="Style 104 3 6" xfId="4321" xr:uid="{27BB5C85-7D52-4C03-8036-18BF92109A39}"/>
    <cellStyle name="Style 104 3 6 2" xfId="26504" xr:uid="{F08FBE2D-395F-41C2-97AC-0EA6C8840919}"/>
    <cellStyle name="Style 104 3 7" xfId="22452" xr:uid="{D6538DFF-057C-48C3-B526-CC3063EA4C27}"/>
    <cellStyle name="Style 104 4" xfId="605" xr:uid="{1F2E3C99-5D68-41E7-8894-B2B0A8406747}"/>
    <cellStyle name="Style 104 4 2" xfId="606" xr:uid="{FCB1BE50-39DD-4796-8BA4-B9BCBF071061}"/>
    <cellStyle name="Style 104 4 2 2" xfId="607" xr:uid="{77C67158-E00C-4D28-B625-756D3DF0C9AC}"/>
    <cellStyle name="Style 104 4 2 2 2" xfId="4984" xr:uid="{4833CB78-AA04-4C7F-A0B5-D48B16B32896}"/>
    <cellStyle name="Style 104 4 2 2 2 2" xfId="26983" xr:uid="{AA16B5D5-BD8B-4B91-99D2-ABB2890D9861}"/>
    <cellStyle name="Style 104 4 2 2 3" xfId="22467" xr:uid="{D6A246D6-22FA-45EE-B795-632FB96C3756}"/>
    <cellStyle name="Style 104 4 2 3" xfId="608" xr:uid="{0872EFB0-68B6-45D5-A068-A82616EE125E}"/>
    <cellStyle name="Style 104 4 2 3 2" xfId="609" xr:uid="{8D1D9B95-F0E9-4B2C-9143-AF4B0733B27A}"/>
    <cellStyle name="Style 104 4 2 3 2 2" xfId="4986" xr:uid="{593B382F-9828-48FA-B658-2563198EB3E8}"/>
    <cellStyle name="Style 104 4 2 3 2 2 2" xfId="26985" xr:uid="{89D46314-AF55-4F06-B9F4-22A143995F70}"/>
    <cellStyle name="Style 104 4 2 3 2 3" xfId="22469" xr:uid="{FBDD61B8-67C2-41C5-939B-F0C4FDCA8F59}"/>
    <cellStyle name="Style 104 4 2 3 3" xfId="4987" xr:uid="{D91313B2-F1DE-4DF6-80C9-E2B3C1D762EB}"/>
    <cellStyle name="Style 104 4 2 3 3 2" xfId="22470" xr:uid="{C924865A-301E-4B43-8451-15D238A52252}"/>
    <cellStyle name="Style 104 4 2 3 4" xfId="4988" xr:uid="{1ED7BEC1-9D87-437A-86D8-5ED584F5DFD8}"/>
    <cellStyle name="Style 104 4 2 3 4 2" xfId="24333" xr:uid="{F2ABB58D-848D-484F-A59B-3CA44CAF78A9}"/>
    <cellStyle name="Style 104 4 2 3 5" xfId="4985" xr:uid="{500897C8-7C98-494F-8C1E-4BB8343FE9BB}"/>
    <cellStyle name="Style 104 4 2 3 5 2" xfId="26984" xr:uid="{CA8B201F-2915-495A-8272-E502EE5A31B0}"/>
    <cellStyle name="Style 104 4 2 3 6" xfId="22468" xr:uid="{D96B4BE2-249D-40E5-834E-D484193987CE}"/>
    <cellStyle name="Style 104 4 2 4" xfId="610" xr:uid="{2A1A03A7-AE59-4AD2-9E5B-06476ED59233}"/>
    <cellStyle name="Style 104 4 2 4 2" xfId="611" xr:uid="{EF662F7F-89A3-47A3-B678-5379D9463275}"/>
    <cellStyle name="Style 104 4 2 4 2 2" xfId="4990" xr:uid="{54694A1F-5D5B-4667-B033-1C63B72CABD6}"/>
    <cellStyle name="Style 104 4 2 4 2 2 2" xfId="26987" xr:uid="{82D70B87-0C10-4F71-9FB0-FBEAE859EF1B}"/>
    <cellStyle name="Style 104 4 2 4 2 3" xfId="22472" xr:uid="{8041FC36-619A-408D-9720-54EEEB88D331}"/>
    <cellStyle name="Style 104 4 2 4 3" xfId="4989" xr:uid="{908B8EF4-CC0F-4ABF-9C15-D132E82EDDA5}"/>
    <cellStyle name="Style 104 4 2 4 3 2" xfId="26986" xr:uid="{6F7967F3-5AB9-400B-9F48-7C829114CD89}"/>
    <cellStyle name="Style 104 4 2 4 4" xfId="22471" xr:uid="{6C7854A0-8917-4255-B2E0-941EE8750844}"/>
    <cellStyle name="Style 104 4 2 5" xfId="4991" xr:uid="{3384CEF9-7995-422A-9E3E-E89789F3CA99}"/>
    <cellStyle name="Style 104 4 2 5 2" xfId="24334" xr:uid="{55D7D939-BFBE-41A4-B9E1-CD86B5A37CE2}"/>
    <cellStyle name="Style 104 4 2 6" xfId="4983" xr:uid="{2D155ED2-69C9-4020-A0E5-A33A96E513C4}"/>
    <cellStyle name="Style 104 4 2 6 2" xfId="26982" xr:uid="{212FDF44-FB24-431D-97C3-23F0B5DEA506}"/>
    <cellStyle name="Style 104 4 2 7" xfId="22466" xr:uid="{6526C6E8-733A-4C71-B6F4-965E43245401}"/>
    <cellStyle name="Style 104 4 3" xfId="612" xr:uid="{5E3C64AD-C972-493E-9200-717109E5BA43}"/>
    <cellStyle name="Style 104 4 3 2" xfId="4992" xr:uid="{69C5C624-2C3F-4676-84B7-443D3CBA09CD}"/>
    <cellStyle name="Style 104 4 3 2 2" xfId="26988" xr:uid="{2930C0A0-B184-4CB6-A000-B21716F158B7}"/>
    <cellStyle name="Style 104 4 3 3" xfId="22473" xr:uid="{B1C33983-028D-4B7F-9A74-CC9DD05648F2}"/>
    <cellStyle name="Style 104 4 4" xfId="4993" xr:uid="{5FD211B9-794D-46D2-B897-E5382CF47205}"/>
    <cellStyle name="Style 104 4 4 2" xfId="4994" xr:uid="{CC3DD635-0B87-4AA2-94A6-2579732AE525}"/>
    <cellStyle name="Style 104 4 4 2 2" xfId="24335" xr:uid="{06799187-720C-4E53-87BF-569C7F25A46A}"/>
    <cellStyle name="Style 104 4 4 3" xfId="22474" xr:uid="{6A5BB822-0DC7-40C8-9B2D-92C97E184C77}"/>
    <cellStyle name="Style 104 4 5" xfId="4982" xr:uid="{E15B0F9C-7576-4EBB-99A4-9BFF6EF57FA8}"/>
    <cellStyle name="Style 104 4 5 2" xfId="25913" xr:uid="{47D8CD65-F01A-4B63-99DC-D2BA6C720D8C}"/>
    <cellStyle name="Style 104 4 6" xfId="4323" xr:uid="{5F375BEA-128E-431F-A0A8-88DBCF2C2851}"/>
    <cellStyle name="Style 104 4 6 2" xfId="26506" xr:uid="{5C58BCBB-9B91-44A5-AB6C-FE0C7255AF12}"/>
    <cellStyle name="Style 104 4 7" xfId="22465" xr:uid="{6055E486-04DE-41E4-9899-B34A1839CD5F}"/>
    <cellStyle name="Style 104 5" xfId="613" xr:uid="{55865443-00D2-4AAF-99D1-A71FD40456FE}"/>
    <cellStyle name="Style 104 5 2" xfId="614" xr:uid="{6E9D4B48-4434-45A1-9B30-14EEDD5C80C5}"/>
    <cellStyle name="Style 104 5 2 2" xfId="615" xr:uid="{ED3BA4C5-BA8F-4F25-8FB7-7AD05BF5FBE7}"/>
    <cellStyle name="Style 104 5 2 2 2" xfId="4997" xr:uid="{7FDF4E88-6028-46A6-BD5E-6DB4AC501E56}"/>
    <cellStyle name="Style 104 5 2 2 2 2" xfId="26990" xr:uid="{9BD4CBF1-5A42-4F9F-B926-443E427BA7D6}"/>
    <cellStyle name="Style 104 5 2 2 3" xfId="22477" xr:uid="{C258577E-9FA4-43C1-A53F-0AEE167522E2}"/>
    <cellStyle name="Style 104 5 2 3" xfId="616" xr:uid="{0EDFE177-06BF-467A-B773-3DBC52D9E3B9}"/>
    <cellStyle name="Style 104 5 2 3 2" xfId="617" xr:uid="{55A05C4A-8BE9-4F71-B274-5F80F2252EE9}"/>
    <cellStyle name="Style 104 5 2 3 2 2" xfId="4999" xr:uid="{2E547FB2-2BA1-48CD-8AE8-8C12E09BD0BE}"/>
    <cellStyle name="Style 104 5 2 3 2 2 2" xfId="26992" xr:uid="{3137D7B6-D42D-4119-B416-C683F10FBCB2}"/>
    <cellStyle name="Style 104 5 2 3 2 3" xfId="22479" xr:uid="{E9918309-40E8-4B9B-A31A-D417C486C301}"/>
    <cellStyle name="Style 104 5 2 3 3" xfId="5000" xr:uid="{5B7872A4-C4D8-45DE-8A17-53B771CF798A}"/>
    <cellStyle name="Style 104 5 2 3 3 2" xfId="22480" xr:uid="{CFE37AE6-D485-454B-956E-4E116A693A26}"/>
    <cellStyle name="Style 104 5 2 3 4" xfId="5001" xr:uid="{1955296B-4161-45B1-91E7-C89DC040CA99}"/>
    <cellStyle name="Style 104 5 2 3 4 2" xfId="24336" xr:uid="{3DE52353-23D4-4861-BE19-0F488233D6A9}"/>
    <cellStyle name="Style 104 5 2 3 5" xfId="4998" xr:uid="{46EBF2FE-1A55-48B3-83A3-B8D5D0C97454}"/>
    <cellStyle name="Style 104 5 2 3 5 2" xfId="26991" xr:uid="{4965F015-0F9E-4FB9-9DEA-74949F4D8D78}"/>
    <cellStyle name="Style 104 5 2 3 6" xfId="22478" xr:uid="{EC4A8C44-7CE9-4BEC-B9B2-A877CB91FCB1}"/>
    <cellStyle name="Style 104 5 2 4" xfId="618" xr:uid="{0509796C-3EC7-4F1E-915A-3833F7022DC3}"/>
    <cellStyle name="Style 104 5 2 4 2" xfId="619" xr:uid="{D8FA7954-C068-44BE-AD9C-14C3A7727034}"/>
    <cellStyle name="Style 104 5 2 4 2 2" xfId="5003" xr:uid="{6712C8E2-C4A8-4BB2-A445-C944CEDFC3F6}"/>
    <cellStyle name="Style 104 5 2 4 2 2 2" xfId="26994" xr:uid="{47341DA2-839B-4FDA-85CE-5A5D73DE869A}"/>
    <cellStyle name="Style 104 5 2 4 2 3" xfId="22482" xr:uid="{A9B42CF6-EFC6-4EBD-A68F-01308ED9B7A6}"/>
    <cellStyle name="Style 104 5 2 4 3" xfId="5002" xr:uid="{9CA5CA96-C005-44E2-B3CF-FAFC065CF722}"/>
    <cellStyle name="Style 104 5 2 4 3 2" xfId="26993" xr:uid="{A4C15F56-3549-4E90-A86A-378500898E9C}"/>
    <cellStyle name="Style 104 5 2 4 4" xfId="22481" xr:uid="{EF305582-B56B-4417-93CE-A225E6E98FE9}"/>
    <cellStyle name="Style 104 5 2 5" xfId="5004" xr:uid="{5944E9B4-9A7C-43F6-A92E-8FEA10226D73}"/>
    <cellStyle name="Style 104 5 2 5 2" xfId="24337" xr:uid="{6AC817C0-58BD-4BC2-8250-E8FA942A8CF4}"/>
    <cellStyle name="Style 104 5 2 6" xfId="4996" xr:uid="{7E74E189-F947-44EB-AA0E-10510F07BE33}"/>
    <cellStyle name="Style 104 5 2 6 2" xfId="26989" xr:uid="{57A80A19-B0A8-4648-9424-A33191A4D463}"/>
    <cellStyle name="Style 104 5 2 7" xfId="22476" xr:uid="{A392CB87-2E77-490A-92CF-A84B117766E9}"/>
    <cellStyle name="Style 104 5 3" xfId="620" xr:uid="{E012A4C7-8B02-468B-891E-1841154039E1}"/>
    <cellStyle name="Style 104 5 3 2" xfId="5005" xr:uid="{DE3BD376-31DF-47AA-A8AE-E002094B08CC}"/>
    <cellStyle name="Style 104 5 3 2 2" xfId="26995" xr:uid="{22960470-143D-4D50-A6C4-6D4B7E148C08}"/>
    <cellStyle name="Style 104 5 3 3" xfId="22483" xr:uid="{3A4F6307-A7B1-451F-961A-33C8EA3564A0}"/>
    <cellStyle name="Style 104 5 4" xfId="5006" xr:uid="{C7059D69-D713-4199-8F9D-BE0FCB094884}"/>
    <cellStyle name="Style 104 5 4 2" xfId="5007" xr:uid="{16D7874E-5C70-41DA-AB9E-3676E9F23850}"/>
    <cellStyle name="Style 104 5 4 2 2" xfId="24338" xr:uid="{C425D0B1-CF68-4018-B6FD-268415507A30}"/>
    <cellStyle name="Style 104 5 4 3" xfId="22484" xr:uid="{E12E995F-90BD-43F0-B74A-3F431D170DDF}"/>
    <cellStyle name="Style 104 5 5" xfId="4995" xr:uid="{BE66D1E8-CC9B-4E24-B494-0844015FCC44}"/>
    <cellStyle name="Style 104 5 5 2" xfId="25914" xr:uid="{32E6BA12-8C7C-4D88-999C-1E42BBF7DE40}"/>
    <cellStyle name="Style 104 5 6" xfId="4324" xr:uid="{3890A108-BF1D-4FB8-A36A-BDE19C09DC88}"/>
    <cellStyle name="Style 104 5 6 2" xfId="26507" xr:uid="{A066E703-D168-4DC5-9205-2EEB482910EE}"/>
    <cellStyle name="Style 104 5 7" xfId="22475" xr:uid="{D37A8DDE-0D53-4832-85CA-7CBF6E6563D0}"/>
    <cellStyle name="Style 104 6" xfId="621" xr:uid="{CD52F698-6CAA-4727-9BD7-E31E13D3DDFA}"/>
    <cellStyle name="Style 104 6 2" xfId="622" xr:uid="{00C859A4-1A84-46BD-ACCC-363C8721C799}"/>
    <cellStyle name="Style 104 6 2 2" xfId="5009" xr:uid="{65287B9A-D385-4158-AE41-030631B6C142}"/>
    <cellStyle name="Style 104 6 2 2 2" xfId="26997" xr:uid="{AF7F84E2-676A-48E0-A010-F2664ED2B5C4}"/>
    <cellStyle name="Style 104 6 2 3" xfId="22486" xr:uid="{364992B7-0571-4D89-B9CE-B77C83521C96}"/>
    <cellStyle name="Style 104 6 3" xfId="623" xr:uid="{57D11C9E-9356-4605-B048-9761463BC18B}"/>
    <cellStyle name="Style 104 6 3 2" xfId="624" xr:uid="{5FA9A0A6-7E36-4660-AB30-482F8E657A0B}"/>
    <cellStyle name="Style 104 6 3 2 2" xfId="5011" xr:uid="{D10D0041-759F-4B44-8551-6124330FC549}"/>
    <cellStyle name="Style 104 6 3 2 2 2" xfId="26999" xr:uid="{84E08901-DC72-4462-8D29-94E663A36EA0}"/>
    <cellStyle name="Style 104 6 3 2 3" xfId="22488" xr:uid="{28EB709A-2007-4C4F-87D5-BC990793252E}"/>
    <cellStyle name="Style 104 6 3 3" xfId="5012" xr:uid="{2EB19636-2C87-43E9-B477-1C1D98FE5D7C}"/>
    <cellStyle name="Style 104 6 3 3 2" xfId="22489" xr:uid="{A41182FC-1C98-458E-95D9-FD76206E580E}"/>
    <cellStyle name="Style 104 6 3 4" xfId="5013" xr:uid="{FD41C67B-5759-451F-96CB-0A7F220797FD}"/>
    <cellStyle name="Style 104 6 3 4 2" xfId="24339" xr:uid="{89902329-3A5D-473D-B092-2DD38EE77462}"/>
    <cellStyle name="Style 104 6 3 5" xfId="5010" xr:uid="{085FC370-65C8-40BC-9215-68AED96B525A}"/>
    <cellStyle name="Style 104 6 3 5 2" xfId="26998" xr:uid="{A7F3FDF1-FA4D-4542-A252-96965CCBED78}"/>
    <cellStyle name="Style 104 6 3 6" xfId="22487" xr:uid="{ECF9E0E6-D29E-4DE1-A559-683F0A17E3E2}"/>
    <cellStyle name="Style 104 6 4" xfId="625" xr:uid="{89D1AC42-5EDD-427F-9530-7A411CC4226A}"/>
    <cellStyle name="Style 104 6 4 2" xfId="626" xr:uid="{2E7E5C5A-B686-4B58-A0BE-758D00BEE89B}"/>
    <cellStyle name="Style 104 6 4 2 2" xfId="5015" xr:uid="{DE4AB301-E5DD-4481-AD0C-954862C84707}"/>
    <cellStyle name="Style 104 6 4 2 2 2" xfId="27001" xr:uid="{25753F22-0937-4B43-8A2A-D8E158C7C575}"/>
    <cellStyle name="Style 104 6 4 2 3" xfId="22491" xr:uid="{5BB05047-04D7-43CB-86EA-597F843C7440}"/>
    <cellStyle name="Style 104 6 4 3" xfId="5014" xr:uid="{3F1B2849-6C32-48B2-96B3-65BE1408CCED}"/>
    <cellStyle name="Style 104 6 4 3 2" xfId="27000" xr:uid="{21B53033-892E-4A8B-9ECF-4F6B9082F6B6}"/>
    <cellStyle name="Style 104 6 4 4" xfId="22490" xr:uid="{9042CD1C-68F5-4951-97F4-F65E9A16073D}"/>
    <cellStyle name="Style 104 6 5" xfId="5016" xr:uid="{E3A4BE33-6090-4B1C-AC91-3459F53C484F}"/>
    <cellStyle name="Style 104 6 5 2" xfId="24340" xr:uid="{882754A1-FABB-40F6-8FDF-74839F606433}"/>
    <cellStyle name="Style 104 6 6" xfId="5008" xr:uid="{D0DC1962-45C9-4512-AB26-C1733AF627F3}"/>
    <cellStyle name="Style 104 6 6 2" xfId="26996" xr:uid="{FF87981C-6E58-4D1A-80F0-AA034515B253}"/>
    <cellStyle name="Style 104 6 7" xfId="22485" xr:uid="{593E21C5-F3F5-4A8D-B2DA-8FBDBEF33CDD}"/>
    <cellStyle name="Style 104 7" xfId="627" xr:uid="{62205B81-5DCB-444D-A554-4E4530DDF294}"/>
    <cellStyle name="Style 104 7 2" xfId="628" xr:uid="{4F3BB90E-0CE5-4A72-AF42-37BFCA98D7EA}"/>
    <cellStyle name="Style 104 7 2 2" xfId="5018" xr:uid="{E89FEE1C-4BEA-43C0-8C70-2915543BE5BE}"/>
    <cellStyle name="Style 104 7 2 2 2" xfId="27003" xr:uid="{B5229DFA-0675-430E-801F-E4183C0FFDF2}"/>
    <cellStyle name="Style 104 7 2 3" xfId="22493" xr:uid="{B4A62E95-0150-4877-BC2E-3E3332F9DD4A}"/>
    <cellStyle name="Style 104 7 3" xfId="5019" xr:uid="{B08139F6-B2BB-47FE-ACDF-64A4DF86FF26}"/>
    <cellStyle name="Style 104 7 3 2" xfId="22494" xr:uid="{4A273F3F-000B-4684-A094-DED5381EF39D}"/>
    <cellStyle name="Style 104 7 4" xfId="5020" xr:uid="{DA6D3176-B090-4565-9E2E-1C930DE81D86}"/>
    <cellStyle name="Style 104 7 4 2" xfId="24341" xr:uid="{A4233E6D-1222-4A92-8589-34EEB71A68BE}"/>
    <cellStyle name="Style 104 7 5" xfId="5017" xr:uid="{81642588-4CDA-4452-ACDA-D85A41E5345D}"/>
    <cellStyle name="Style 104 7 5 2" xfId="27002" xr:uid="{67D4A0C3-701B-4C7F-A8D6-17D0D02925DF}"/>
    <cellStyle name="Style 104 7 6" xfId="22492" xr:uid="{AF43B755-266C-43D8-991B-D274E8D504E6}"/>
    <cellStyle name="Style 104 8" xfId="629" xr:uid="{121E7D59-EA62-42DB-99C8-066066FC9A6C}"/>
    <cellStyle name="Style 104 8 2" xfId="630" xr:uid="{05A5792C-A204-4750-BF3B-95838AE34E72}"/>
    <cellStyle name="Style 104 8 2 2" xfId="5022" xr:uid="{032585F0-6A5A-40BA-8F30-74647AC1A443}"/>
    <cellStyle name="Style 104 8 2 2 2" xfId="27005" xr:uid="{9FFA8AC5-9023-48BA-8EC5-6C5DB16EE825}"/>
    <cellStyle name="Style 104 8 2 3" xfId="22496" xr:uid="{2590C90B-8B33-4936-99CF-92EC327D4155}"/>
    <cellStyle name="Style 104 8 3" xfId="5023" xr:uid="{BF5E35F3-95E1-4681-99BA-5BA223FB821D}"/>
    <cellStyle name="Style 104 8 3 2" xfId="22497" xr:uid="{6917BFD0-9D8A-475B-A26C-901BE73BD82E}"/>
    <cellStyle name="Style 104 8 4" xfId="5024" xr:uid="{CF97B860-B841-4A26-844D-9199EC778A75}"/>
    <cellStyle name="Style 104 8 4 2" xfId="24342" xr:uid="{B39FBA53-C8B2-4C13-B628-D0E4C7E76FC7}"/>
    <cellStyle name="Style 104 8 5" xfId="5021" xr:uid="{A6295ED5-8EE0-4EDB-BD2D-A11DE6B45599}"/>
    <cellStyle name="Style 104 8 5 2" xfId="27004" xr:uid="{185C8491-C588-46EB-94E2-C98F99E39A58}"/>
    <cellStyle name="Style 104 8 6" xfId="22495" xr:uid="{482A69BB-05F6-49C0-A2AB-AA2D8E8DB232}"/>
    <cellStyle name="Style 104 9" xfId="631" xr:uid="{E392EB77-CADB-4E69-88BC-A6D646C7E721}"/>
    <cellStyle name="Style 104 9 2" xfId="632" xr:uid="{8F1262D8-393B-49C5-B45C-D8039147B56E}"/>
    <cellStyle name="Style 104 9 2 2" xfId="5025" xr:uid="{7393B6DD-A21D-4230-932C-D3889B1A2B6C}"/>
    <cellStyle name="Style 104 9 2 2 2" xfId="27007" xr:uid="{6DB2E1C4-4E10-4213-9FF7-06FF786E4F3E}"/>
    <cellStyle name="Style 104 9 2 3" xfId="24343" xr:uid="{08F119CB-80A8-4505-8FB9-6E5DCB70E644}"/>
    <cellStyle name="Style 104 9 3" xfId="4049" xr:uid="{2284AE03-2676-439E-BFAA-D82D1353E144}"/>
    <cellStyle name="Style 104 9 3 2" xfId="27006" xr:uid="{288D607A-DF0A-4382-A4CA-6133F0A2680C}"/>
    <cellStyle name="Style 104 9 4" xfId="22498" xr:uid="{218FC448-191D-4930-8091-8ED0FB8EC077}"/>
    <cellStyle name="Style 104_ADDON" xfId="25759" xr:uid="{2D13C9EF-057D-4388-BFE5-EC5D9D3C0C22}"/>
    <cellStyle name="Style 105" xfId="633" xr:uid="{E056E0D3-5ED0-4EFD-ACCF-C095ADDD3BF5}"/>
    <cellStyle name="Style 105 10" xfId="22499" xr:uid="{5A7C8D61-863F-4BB3-8130-9A63EBB0AA64}"/>
    <cellStyle name="Style 105 2" xfId="634" xr:uid="{E66ECB05-F4B8-4B8E-908E-E8A9281A61FD}"/>
    <cellStyle name="Style 105 2 2" xfId="8463" xr:uid="{B971A8A8-089D-4FAD-9A60-C19DE2E4B53B}"/>
    <cellStyle name="Style 105 2 2 2" xfId="28802" xr:uid="{33F1A367-83D4-48E7-B938-BE0D74DFF69A}"/>
    <cellStyle name="Style 105 2 3" xfId="22500" xr:uid="{A3339E9E-38CC-4509-A13C-9026CEA380BF}"/>
    <cellStyle name="Style 105 3" xfId="635" xr:uid="{CD16FCC9-4671-4863-BE4E-8BDFBC5ECFDB}"/>
    <cellStyle name="Style 105 3 2" xfId="636" xr:uid="{4971E5F9-7040-4789-83A9-CD04848DDF41}"/>
    <cellStyle name="Style 105 3 2 2" xfId="22502" xr:uid="{81F5E57C-DC34-4E5B-9D18-44F010965EB4}"/>
    <cellStyle name="Style 105 3 3" xfId="637" xr:uid="{705F2D32-CB44-40CF-A0C6-F92C8946339E}"/>
    <cellStyle name="Style 105 3 3 2" xfId="638" xr:uid="{7CE1B790-7207-41AE-864D-6FCA6332DED3}"/>
    <cellStyle name="Style 105 3 3 2 2" xfId="22504" xr:uid="{1A7401B9-E496-4714-A704-64A7C166924B}"/>
    <cellStyle name="Style 105 3 3 3" xfId="5026" xr:uid="{299AAF30-EF7E-45BF-AE00-E5EBD590AA72}"/>
    <cellStyle name="Style 105 3 3 3 2" xfId="22505" xr:uid="{47C1EBA7-610A-469B-8863-9F36411939C1}"/>
    <cellStyle name="Style 105 3 3 4" xfId="5027" xr:uid="{786F2A56-1B5B-4A11-A988-1EEF47139325}"/>
    <cellStyle name="Style 105 3 3 4 2" xfId="24344" xr:uid="{FC4835B8-8ABE-45F5-A764-6E1418C0458F}"/>
    <cellStyle name="Style 105 3 3 5" xfId="22503" xr:uid="{989B0A90-F30C-459A-9C1E-85697604F876}"/>
    <cellStyle name="Style 105 3 4" xfId="639" xr:uid="{5B4D3B0A-96A9-46D3-929E-6848A7342155}"/>
    <cellStyle name="Style 105 3 4 2" xfId="640" xr:uid="{F781048C-6586-4A92-A56D-664469A9559C}"/>
    <cellStyle name="Style 105 3 4 2 2" xfId="22507" xr:uid="{E7AD30D5-7B3A-4267-B41F-F97D42C8C1E1}"/>
    <cellStyle name="Style 105 3 4 3" xfId="22506" xr:uid="{430A90B0-9C1C-421B-AE04-775E77E2FA5E}"/>
    <cellStyle name="Style 105 3 5" xfId="5028" xr:uid="{FB3D40B5-B432-4D36-B2A8-BF550FC750EF}"/>
    <cellStyle name="Style 105 3 5 2" xfId="24345" xr:uid="{01762DA0-116C-4CD4-9136-9841F4CCC246}"/>
    <cellStyle name="Style 105 3 6" xfId="22501" xr:uid="{2DD97EFC-8DC5-4C06-AC2C-621CE3FD2F93}"/>
    <cellStyle name="Style 105 4" xfId="641" xr:uid="{878F98D7-8BA5-49CA-A823-6883DF7F45CA}"/>
    <cellStyle name="Style 105 4 2" xfId="642" xr:uid="{BCD562B0-2A77-4F5D-AD48-A46C6ECD3B4A}"/>
    <cellStyle name="Style 105 4 2 2" xfId="22509" xr:uid="{DF959665-8E25-4E76-94CC-A8DD28352D78}"/>
    <cellStyle name="Style 105 4 3" xfId="5029" xr:uid="{9FE6740C-DFA5-4284-A597-A700FE693DA6}"/>
    <cellStyle name="Style 105 4 3 2" xfId="22510" xr:uid="{2BDF90B5-AD23-4D0E-92B9-AF467E251C8F}"/>
    <cellStyle name="Style 105 4 4" xfId="5030" xr:uid="{A12002DA-B274-4ACA-BE99-1896B17CB330}"/>
    <cellStyle name="Style 105 4 4 2" xfId="24346" xr:uid="{2BC1BB7F-2758-40ED-A4DA-DD4D4A4E7F87}"/>
    <cellStyle name="Style 105 4 5" xfId="22508" xr:uid="{C050B940-510E-4514-8B06-D7552BFA3641}"/>
    <cellStyle name="Style 105 5" xfId="643" xr:uid="{95E253B6-5384-474A-B8AA-47DAE2433B8C}"/>
    <cellStyle name="Style 105 5 2" xfId="644" xr:uid="{08B737B9-5980-4FFD-B57B-B1B1FCBA5412}"/>
    <cellStyle name="Style 105 5 2 2" xfId="22512" xr:uid="{E70288CB-D8C5-4CA9-B644-4AC31211D700}"/>
    <cellStyle name="Style 105 5 3" xfId="22511" xr:uid="{880C3483-C8A2-4DBF-A595-69145CAD24C4}"/>
    <cellStyle name="Style 105 6" xfId="645" xr:uid="{182FB5DC-D493-440C-A854-2FF00C5EDAEE}"/>
    <cellStyle name="Style 105 6 2" xfId="646" xr:uid="{0F275F21-5FE6-4512-9391-F06181E63618}"/>
    <cellStyle name="Style 105 6 2 2" xfId="24347" xr:uid="{3DBEA76B-72BA-41E3-84E8-8404A630D321}"/>
    <cellStyle name="Style 105 6 3" xfId="4051" xr:uid="{7CE4003B-78B4-41FA-BF77-08872C4BA5A2}"/>
    <cellStyle name="Style 105 6 3 2" xfId="28311" xr:uid="{02EDAEB6-178A-4F86-BA5D-259227D8EA19}"/>
    <cellStyle name="Style 105 6 4" xfId="22513" xr:uid="{4642FE9A-63AC-4007-BC35-6A6A46237041}"/>
    <cellStyle name="Style 105 7" xfId="4050" xr:uid="{082B5704-214E-486E-8BC0-1CAD3508781A}"/>
    <cellStyle name="Style 105 7 2" xfId="5032" xr:uid="{08BCBF0A-1C89-4B1F-AA0C-DECC1B09DD76}"/>
    <cellStyle name="Style 105 7 2 2" xfId="24348" xr:uid="{460EE4E5-FBAA-4536-8A84-C1FB755C70FC}"/>
    <cellStyle name="Style 105 7 3" xfId="5031" xr:uid="{341DC5D6-7AAD-473E-8B45-88BB9CBFD51D}"/>
    <cellStyle name="Style 105 7 3 2" xfId="40708" xr:uid="{E57075AD-1D43-48EB-B2A5-364C420D7FF3}"/>
    <cellStyle name="Style 105 7 4" xfId="22514" xr:uid="{0A71174F-2FD1-4107-A9B0-0C00A9957F6B}"/>
    <cellStyle name="Style 105 8" xfId="5033" xr:uid="{E52984C7-B2D6-45B3-B3CB-6EE626CCE5D3}"/>
    <cellStyle name="Style 105 8 2" xfId="24349" xr:uid="{D73F5F49-C955-42A8-9971-8596EE0ABB89}"/>
    <cellStyle name="Style 105 9" xfId="8464" xr:uid="{ED0A92FA-1AFD-455A-A76D-C016BC2E8EFB}"/>
    <cellStyle name="Style 105 9 2" xfId="26508" xr:uid="{EE855B62-1355-4688-B788-D218186C8F9C}"/>
    <cellStyle name="Style 105_ADDON" xfId="25730" xr:uid="{35806AB8-0620-47CD-BB15-83E39397E34F}"/>
    <cellStyle name="Style 106" xfId="647" xr:uid="{AFDBDEA1-A064-4DBC-9CCA-197CA3F8F3E5}"/>
    <cellStyle name="Style 106 2" xfId="648" xr:uid="{1AEADD31-4B5D-49FB-948B-DFF209C4F8B4}"/>
    <cellStyle name="Style 106 2 2" xfId="649" xr:uid="{39FE2D50-ED6F-4603-B4F3-DEC1CBDBCC86}"/>
    <cellStyle name="Style 106 2 2 2" xfId="650" xr:uid="{AFCBD344-5DD0-42C2-A324-5DC9650F7AF7}"/>
    <cellStyle name="Style 106 2 2 2 2" xfId="651" xr:uid="{EB911540-166C-4A56-B87F-16B0E6FE9EBD}"/>
    <cellStyle name="Style 106 2 2 2 2 2" xfId="652" xr:uid="{D5D705D2-368F-4CE8-BEE4-29B95EA36D3B}"/>
    <cellStyle name="Style 106 2 2 2 2 2 2" xfId="8465" xr:uid="{CB40F37F-17DD-4B6D-A177-492AF7EF1AD1}"/>
    <cellStyle name="Style 106 2 2 2 2 3" xfId="8466" xr:uid="{EFD71122-140B-4140-9311-AEA4FD4640C3}"/>
    <cellStyle name="Style 106 2 2 2 3" xfId="653" xr:uid="{DD7D08C7-1570-44C5-85D7-C80D58AE3BA2}"/>
    <cellStyle name="Style 106 2 2 2 3 2" xfId="8467" xr:uid="{5A13CB51-2A13-45D9-87BA-A72D183FCE21}"/>
    <cellStyle name="Style 106 2 2 2 4" xfId="8468" xr:uid="{C6CB4091-3805-407C-86EE-26E5B9972466}"/>
    <cellStyle name="Style 106 2 2 3" xfId="654" xr:uid="{F78A0B4D-144A-4843-8554-A52036951F5F}"/>
    <cellStyle name="Style 106 2 2 3 2" xfId="655" xr:uid="{64F26610-9427-4481-B9C1-62C967C6017E}"/>
    <cellStyle name="Style 106 2 2 3 2 2" xfId="8469" xr:uid="{D1CF1194-5CF5-4C50-9AA2-A5B229AD5F88}"/>
    <cellStyle name="Style 106 2 2 3 3" xfId="8470" xr:uid="{1878FCE3-79F7-484F-ADC7-4C81B31D1AD7}"/>
    <cellStyle name="Style 106 2 2 4" xfId="656" xr:uid="{080B10E8-9FCC-41F0-8D3C-6C5028A97A9D}"/>
    <cellStyle name="Style 106 2 2 4 2" xfId="8471" xr:uid="{12F7195D-03A2-415C-8EBB-7CC86732465D}"/>
    <cellStyle name="Style 106 2 2 5" xfId="8472" xr:uid="{82AB89B3-98D6-4E43-B9A3-B11EECB5C514}"/>
    <cellStyle name="Style 106 2 3" xfId="657" xr:uid="{2A58D466-D93D-4F2E-9EB7-F7873A030033}"/>
    <cellStyle name="Style 106 2 3 2" xfId="658" xr:uid="{1F46813D-5E09-4F80-AA43-F84C15BC2CEA}"/>
    <cellStyle name="Style 106 2 3 2 2" xfId="659" xr:uid="{E5700A7D-6532-4EAD-B8EB-DC2184840620}"/>
    <cellStyle name="Style 106 2 3 2 2 2" xfId="8473" xr:uid="{B3AB17DA-8BC6-42DC-A2A2-D0C817FFBF72}"/>
    <cellStyle name="Style 106 2 3 2 3" xfId="8474" xr:uid="{5823FF9F-DD4D-404C-87DB-53A5043DD16C}"/>
    <cellStyle name="Style 106 2 3 3" xfId="660" xr:uid="{FBADAF30-DC12-4E2D-AAAD-8B8D5859FFAB}"/>
    <cellStyle name="Style 106 2 3 3 2" xfId="8475" xr:uid="{7A9CC0D7-B67D-447C-A487-C91FDEA17E01}"/>
    <cellStyle name="Style 106 2 3 4" xfId="8476" xr:uid="{5691F075-FF2B-494B-85AD-8B3111632809}"/>
    <cellStyle name="Style 106 2 4" xfId="661" xr:uid="{C9E60561-D8A3-48C6-8B52-8740DB81140F}"/>
    <cellStyle name="Style 106 2 4 2" xfId="662" xr:uid="{F8E59BBE-3213-47BD-B6A4-C47721A270A2}"/>
    <cellStyle name="Style 106 2 4 2 2" xfId="8477" xr:uid="{F4677E98-89D4-43EF-9BBF-EE9C0D530810}"/>
    <cellStyle name="Style 106 2 4 3" xfId="8478" xr:uid="{42037B5F-1AC0-4183-A075-1C89195CEF20}"/>
    <cellStyle name="Style 106 2 5" xfId="663" xr:uid="{D1B6F330-B8C9-4073-AD90-FEC6CCFA929D}"/>
    <cellStyle name="Style 106 2 5 2" xfId="8479" xr:uid="{980E5CB4-885E-4BE1-B4D2-9D3EE9A4F4E2}"/>
    <cellStyle name="Style 106 2 6" xfId="8480" xr:uid="{E9CA48C8-DEC8-4FD7-9924-C76D4CAE4E9C}"/>
    <cellStyle name="Style 106 3" xfId="664" xr:uid="{0990A86B-E8F3-4A1B-A83F-E94C714AD8D3}"/>
    <cellStyle name="Style 106 3 2" xfId="665" xr:uid="{3B9C4F7A-B82B-472E-8B54-80AA4C0F59A3}"/>
    <cellStyle name="Style 106 3 2 2" xfId="666" xr:uid="{AFCD6E3E-9AA2-4F85-9B45-DE5FA670ABE9}"/>
    <cellStyle name="Style 106 3 2 2 2" xfId="667" xr:uid="{FBB37CA0-4A33-4B04-A8F4-01F4122EACED}"/>
    <cellStyle name="Style 106 3 2 2 2 2" xfId="668" xr:uid="{AEA13FC9-E3BD-4009-8223-454295109214}"/>
    <cellStyle name="Style 106 3 2 2 2 2 2" xfId="8481" xr:uid="{3620003E-FB02-49AF-BAA7-BC9F347C1F6F}"/>
    <cellStyle name="Style 106 3 2 2 2 3" xfId="8482" xr:uid="{01BEB1F9-9D2B-4C95-AC62-36481EDCAFDB}"/>
    <cellStyle name="Style 106 3 2 2 3" xfId="669" xr:uid="{A7B53A88-BDE7-4849-B1D1-B140918D7A9A}"/>
    <cellStyle name="Style 106 3 2 2 3 2" xfId="8483" xr:uid="{38AE2E48-2D41-4BC1-B10C-40ADF32D06F6}"/>
    <cellStyle name="Style 106 3 2 2 4" xfId="8484" xr:uid="{5726A34E-B593-4395-86C1-EF3C8E229BE2}"/>
    <cellStyle name="Style 106 3 2 3" xfId="670" xr:uid="{DAC43BDD-D592-44BB-A08E-F32370817E84}"/>
    <cellStyle name="Style 106 3 2 3 2" xfId="671" xr:uid="{D9BD59B1-451F-4ECB-9833-8364F03C01BA}"/>
    <cellStyle name="Style 106 3 2 3 2 2" xfId="8485" xr:uid="{A1A80428-DEB5-4246-94FD-9649371D7C7B}"/>
    <cellStyle name="Style 106 3 2 3 3" xfId="8486" xr:uid="{16182DE9-B241-4BBE-8037-BA05C59800E5}"/>
    <cellStyle name="Style 106 3 2 4" xfId="672" xr:uid="{E54BD47B-834A-4721-B92B-7E91E0CFC441}"/>
    <cellStyle name="Style 106 3 2 4 2" xfId="8487" xr:uid="{E1AD1654-626C-4E85-861C-1635B918804F}"/>
    <cellStyle name="Style 106 3 2 5" xfId="8488" xr:uid="{A468C1B6-E041-453C-8CC3-5299244BAC3E}"/>
    <cellStyle name="Style 106 3 3" xfId="673" xr:uid="{EE35995F-3250-4D52-8A0B-D32DA01B3D4E}"/>
    <cellStyle name="Style 106 3 3 2" xfId="674" xr:uid="{AE1000C5-802F-4771-A6DB-EF36995FD7D5}"/>
    <cellStyle name="Style 106 3 3 2 2" xfId="675" xr:uid="{3C8AC317-9EBC-43B9-9BA3-A071D2383BE1}"/>
    <cellStyle name="Style 106 3 3 2 2 2" xfId="676" xr:uid="{F404090C-D076-4291-AE2F-61A553CDF341}"/>
    <cellStyle name="Style 106 3 3 2 2 2 2" xfId="8489" xr:uid="{74F1F132-252D-48A2-A114-DC66A39BAC39}"/>
    <cellStyle name="Style 106 3 3 2 2 3" xfId="8490" xr:uid="{7AF621F6-3DF3-4E63-9896-2C7498871B7F}"/>
    <cellStyle name="Style 106 3 3 2 3" xfId="677" xr:uid="{C5D3BDCB-5F17-403C-8448-5C8F97890828}"/>
    <cellStyle name="Style 106 3 3 2 3 2" xfId="8491" xr:uid="{C465C7E9-5D62-4801-A772-8487A01C223B}"/>
    <cellStyle name="Style 106 3 3 2 4" xfId="8492" xr:uid="{0F53BC84-602B-46A3-A89C-992BC01608E6}"/>
    <cellStyle name="Style 106 3 3 3" xfId="678" xr:uid="{7F30F5DC-D048-45BA-9326-EAF82EB2EF3A}"/>
    <cellStyle name="Style 106 3 3 3 2" xfId="8493" xr:uid="{44E471CA-2F47-46D4-B5C3-6B9896278D69}"/>
    <cellStyle name="Style 106 3 3 4" xfId="5034" xr:uid="{1E4A0E3B-093C-4580-8853-18C329334BAB}"/>
    <cellStyle name="Style 106 3 3 5" xfId="8494" xr:uid="{89FEEBEA-AAAE-4FF7-B352-B033DACF4044}"/>
    <cellStyle name="Style 106 3 4" xfId="679" xr:uid="{4E72869C-6C4E-42BB-9E97-220BA4DA5AA9}"/>
    <cellStyle name="Style 106 3 4 2" xfId="680" xr:uid="{5B1DFCA3-4670-4B6A-9838-D08295052DFA}"/>
    <cellStyle name="Style 106 3 4 2 2" xfId="8495" xr:uid="{833AD910-38DB-4ECF-9FDC-46EEABE24890}"/>
    <cellStyle name="Style 106 3 4 3" xfId="8496" xr:uid="{B34CB5C0-5FA1-4D16-91CE-AE612B7E35A6}"/>
    <cellStyle name="Style 106 3 5" xfId="681" xr:uid="{532A70C5-200F-4840-BC0D-0B046EB69E49}"/>
    <cellStyle name="Style 106 3 5 2" xfId="8497" xr:uid="{339E0710-2F4E-442C-93C8-B4069AAE803D}"/>
    <cellStyle name="Style 106 3 6" xfId="8498" xr:uid="{1CF7471D-E7EA-49F9-8B79-96D75423F59A}"/>
    <cellStyle name="Style 106 4" xfId="682" xr:uid="{31A80103-B6EC-4BB9-85DB-58560D2923D3}"/>
    <cellStyle name="Style 106 4 2" xfId="683" xr:uid="{EBAC5E62-ECB3-405B-858F-02C892A2B5D5}"/>
    <cellStyle name="Style 106 4 2 2" xfId="684" xr:uid="{53186F54-8CA8-4E8D-9BD4-36D71E33971B}"/>
    <cellStyle name="Style 106 4 2 2 2" xfId="685" xr:uid="{FEED5841-9595-4321-ACD9-BA57D8907AB0}"/>
    <cellStyle name="Style 106 4 2 2 2 2" xfId="8499" xr:uid="{65F0AFD5-08F1-4840-8384-FAEC17DC4853}"/>
    <cellStyle name="Style 106 4 2 2 3" xfId="8500" xr:uid="{0C481268-B12A-4159-B028-6934DA5BABF8}"/>
    <cellStyle name="Style 106 4 2 3" xfId="686" xr:uid="{ED96B61C-3840-42E8-9951-4865C3346F0C}"/>
    <cellStyle name="Style 106 4 2 3 2" xfId="8501" xr:uid="{32F211F0-4E12-447F-B4FE-E78970267291}"/>
    <cellStyle name="Style 106 4 2 4" xfId="8502" xr:uid="{E537C7CD-BBA1-4851-A4CA-863205AFA1B3}"/>
    <cellStyle name="Style 106 4 3" xfId="687" xr:uid="{12ADF94D-F495-4715-8182-911569396A9B}"/>
    <cellStyle name="Style 106 4 3 2" xfId="8503" xr:uid="{AA4490A1-1F2B-4E5E-B0B2-FE77BA08A87F}"/>
    <cellStyle name="Style 106 4 4" xfId="5035" xr:uid="{89A67198-443C-41A4-98F3-29E8498A35E3}"/>
    <cellStyle name="Style 106 4 5" xfId="8504" xr:uid="{B454B63A-3B31-42D1-A129-0B490F97AAAB}"/>
    <cellStyle name="Style 106 5" xfId="688" xr:uid="{B3CB6411-A181-4D73-9CE8-70F5587729D5}"/>
    <cellStyle name="Style 106 5 2" xfId="689" xr:uid="{2B56AB7E-2F51-44F8-A863-DF6455623963}"/>
    <cellStyle name="Style 106 5 2 2" xfId="8505" xr:uid="{BB70BDC5-391F-4400-BC51-81A60347BAAA}"/>
    <cellStyle name="Style 106 5 3" xfId="8506" xr:uid="{781FB3C5-941F-4268-BF4D-F9549A23CE61}"/>
    <cellStyle name="Style 106 6" xfId="690" xr:uid="{F6957081-9517-424A-83AE-D9A08D1EE44B}"/>
    <cellStyle name="Style 106 6 2" xfId="4053" xr:uid="{068CF923-FBEA-4100-8CB3-7CB5D2F7FB21}"/>
    <cellStyle name="Style 106 6 2 2" xfId="5036" xr:uid="{E1596A98-F8F3-4E73-A74B-992AC9839385}"/>
    <cellStyle name="Style 106 6 3" xfId="8507" xr:uid="{20F85F49-7F99-46C1-95D4-3E278E8E066B}"/>
    <cellStyle name="Style 106 7" xfId="4052" xr:uid="{79435B28-4590-42A9-9202-B2A926A1A582}"/>
    <cellStyle name="Style 106 7 2" xfId="5038" xr:uid="{427C9F43-9782-413A-9F5F-3364AC4643BB}"/>
    <cellStyle name="Style 106 7 3" xfId="5037" xr:uid="{EC4EE554-6C8F-418D-8192-5D4C2409EB63}"/>
    <cellStyle name="Style 106 8" xfId="5039" xr:uid="{2F351CAB-E0D4-4C38-92C4-1500700BEDAE}"/>
    <cellStyle name="Style 106 9" xfId="8508" xr:uid="{4DE22ACD-BB77-430E-AE20-8C36BE9FDABF}"/>
    <cellStyle name="Style 106 9 2" xfId="26509" xr:uid="{88F89B59-503A-4706-BB6C-D72E1CB09743}"/>
    <cellStyle name="Style 106_ADDON" xfId="7957" xr:uid="{C552B1A1-DF6A-425F-B80C-A8B2ABBB117D}"/>
    <cellStyle name="Style 107" xfId="691" xr:uid="{F4A940F3-9F9F-466F-B3DA-425B7BCB38FD}"/>
    <cellStyle name="Style 107 10" xfId="22515" xr:uid="{E6B2B68C-D85E-4D9A-801C-6944924BC65D}"/>
    <cellStyle name="Style 107 2" xfId="692" xr:uid="{550F720E-77C5-47CD-A106-74CDC13FC2CF}"/>
    <cellStyle name="Style 107 2 2" xfId="8509" xr:uid="{DEA8D0F3-A935-4C25-A660-A32705C88265}"/>
    <cellStyle name="Style 107 2 2 2" xfId="28803" xr:uid="{06222332-C524-4842-898D-B13D9869B9FD}"/>
    <cellStyle name="Style 107 2 3" xfId="22516" xr:uid="{6F9E4F46-C7D6-44A4-84D7-7A0C314C8502}"/>
    <cellStyle name="Style 107 3" xfId="693" xr:uid="{FF2084C6-DF30-44B9-8F4D-8DAA9401F188}"/>
    <cellStyle name="Style 107 3 2" xfId="694" xr:uid="{D0D5C627-AD29-4658-AFB8-5FC0962558D5}"/>
    <cellStyle name="Style 107 3 2 2" xfId="22518" xr:uid="{B63BD0F0-2B6D-493F-863E-93840F42EF66}"/>
    <cellStyle name="Style 107 3 3" xfId="695" xr:uid="{6D21D125-1C3E-44C5-A0CA-5942CA4AEB85}"/>
    <cellStyle name="Style 107 3 3 2" xfId="696" xr:uid="{FE7FFE22-03AE-4A76-9DFE-F8571EAB966B}"/>
    <cellStyle name="Style 107 3 3 2 2" xfId="22520" xr:uid="{2BC9C7AC-AB3E-4206-ADEA-EB94CCF740C5}"/>
    <cellStyle name="Style 107 3 3 3" xfId="5040" xr:uid="{88C32FB4-B0E9-478E-A89B-D0104748D1C4}"/>
    <cellStyle name="Style 107 3 3 3 2" xfId="22521" xr:uid="{BE703D7C-1342-4657-90C1-C38E1E56BE14}"/>
    <cellStyle name="Style 107 3 3 4" xfId="5041" xr:uid="{57C35070-63A5-4370-9B20-95CD3BEC2D1C}"/>
    <cellStyle name="Style 107 3 3 4 2" xfId="24350" xr:uid="{1F71D313-B004-4C4E-840C-4B1D5E26D296}"/>
    <cellStyle name="Style 107 3 3 5" xfId="22519" xr:uid="{064D504E-4BAB-4E00-ADB5-EF5BBCCF0F4C}"/>
    <cellStyle name="Style 107 3 4" xfId="697" xr:uid="{29529D29-6C4A-4D49-AC48-D6BA2B020515}"/>
    <cellStyle name="Style 107 3 4 2" xfId="698" xr:uid="{564AA8B7-C0EA-4907-9CAE-A19FE50740FE}"/>
    <cellStyle name="Style 107 3 4 2 2" xfId="22523" xr:uid="{AF2C2C2A-C6BF-4868-95C0-063F3CF9DAFE}"/>
    <cellStyle name="Style 107 3 4 3" xfId="22522" xr:uid="{3BBA400E-D5AE-43B2-B1E3-0A73ECFBD4A5}"/>
    <cellStyle name="Style 107 3 5" xfId="5042" xr:uid="{43998DE7-97CC-43FC-8D39-0F26C3819A06}"/>
    <cellStyle name="Style 107 3 5 2" xfId="24351" xr:uid="{998EFE7D-0456-4D33-A9F1-BC36887FCB82}"/>
    <cellStyle name="Style 107 3 6" xfId="22517" xr:uid="{5714A7E1-3570-4A83-9476-A73BB62AFBB9}"/>
    <cellStyle name="Style 107 4" xfId="699" xr:uid="{0E4D10AC-33D7-4F2D-BAEE-C53A073F606B}"/>
    <cellStyle name="Style 107 4 2" xfId="700" xr:uid="{EC8C1ED0-CC9B-4152-A6D5-B3733911AD4F}"/>
    <cellStyle name="Style 107 4 2 2" xfId="22525" xr:uid="{B8F02629-1935-48E6-80AA-1D908A2E44C7}"/>
    <cellStyle name="Style 107 4 3" xfId="5043" xr:uid="{2A787192-F749-42B3-ACC1-1225A6B1FF6F}"/>
    <cellStyle name="Style 107 4 3 2" xfId="22526" xr:uid="{6D509CA6-35E9-4ECE-B417-664E2445A38B}"/>
    <cellStyle name="Style 107 4 4" xfId="5044" xr:uid="{8489D547-7D08-45E6-B992-6C72995387AD}"/>
    <cellStyle name="Style 107 4 4 2" xfId="24352" xr:uid="{D511C192-F3EC-4006-99EC-AAB3AD553C6D}"/>
    <cellStyle name="Style 107 4 5" xfId="22524" xr:uid="{54DF1634-FBE6-4EA3-B77A-9636E01C6342}"/>
    <cellStyle name="Style 107 5" xfId="701" xr:uid="{E34B6E0F-9FC1-4384-A91E-8ABA7F1102D2}"/>
    <cellStyle name="Style 107 5 2" xfId="702" xr:uid="{1D000E64-1AE6-4435-BA1E-CFA0BBED6DEF}"/>
    <cellStyle name="Style 107 5 2 2" xfId="22528" xr:uid="{362555D6-2883-4A8D-BE55-D6E98B1C2C65}"/>
    <cellStyle name="Style 107 5 3" xfId="22527" xr:uid="{5AE08624-F2FF-4418-A587-DA962EBCEA7C}"/>
    <cellStyle name="Style 107 6" xfId="703" xr:uid="{56E24654-81F2-4D00-A3E3-DD40659A0C67}"/>
    <cellStyle name="Style 107 6 2" xfId="704" xr:uid="{A3C2C3E4-17D1-4FE1-B893-B0E9A81ED76D}"/>
    <cellStyle name="Style 107 6 2 2" xfId="24353" xr:uid="{F20D8EDD-2CAB-4000-AAA1-1A97DB01E96D}"/>
    <cellStyle name="Style 107 6 3" xfId="4055" xr:uid="{7775DF8B-9E0B-4998-B8D4-D6D7EF9F2400}"/>
    <cellStyle name="Style 107 6 3 2" xfId="28312" xr:uid="{91418864-5A48-4E74-A1A6-B8F7D4BBE076}"/>
    <cellStyle name="Style 107 6 4" xfId="22529" xr:uid="{4676EE49-8A0C-476C-9FA4-557182731B74}"/>
    <cellStyle name="Style 107 7" xfId="4054" xr:uid="{30454AE5-E9B2-40BE-A3B2-A107C4D53FBE}"/>
    <cellStyle name="Style 107 7 2" xfId="5046" xr:uid="{7355249A-3D67-4532-8FF6-29D5769E76E2}"/>
    <cellStyle name="Style 107 7 2 2" xfId="24354" xr:uid="{AB7BAE5F-9CBB-43E9-A89E-305F0902140B}"/>
    <cellStyle name="Style 107 7 3" xfId="5045" xr:uid="{5D29676F-AFC6-4C6E-B13E-5350F16DA66A}"/>
    <cellStyle name="Style 107 7 3 2" xfId="40709" xr:uid="{58F58BC0-10BF-4C3F-9BF4-0A988EBEA580}"/>
    <cellStyle name="Style 107 7 4" xfId="22530" xr:uid="{6ACD0E7D-F5D2-4AF2-A9A5-33855906874D}"/>
    <cellStyle name="Style 107 8" xfId="5047" xr:uid="{A96D427D-3085-4DFD-B7B4-3F4233C496CC}"/>
    <cellStyle name="Style 107 8 2" xfId="24355" xr:uid="{1E37261C-BC9D-4642-AF7B-7783C961D34A}"/>
    <cellStyle name="Style 107 9" xfId="8510" xr:uid="{B3F43386-51A7-4D57-9C71-E432F3275488}"/>
    <cellStyle name="Style 107 9 2" xfId="26510" xr:uid="{3EBC607D-36A2-446B-8B55-47BEA20BABC7}"/>
    <cellStyle name="Style 107_ADDON" xfId="25731" xr:uid="{B632FBE7-6190-4057-A4F2-8C71EB48D81D}"/>
    <cellStyle name="Style 108" xfId="705" xr:uid="{A750919A-E93A-4060-9703-3A7CB06C4147}"/>
    <cellStyle name="Style 108 10" xfId="706" xr:uid="{C449CD8A-77E2-4A3C-A789-776CF8939228}"/>
    <cellStyle name="Style 108 10 2" xfId="707" xr:uid="{46DFFFE5-1417-414F-AF53-391A7DDB99F4}"/>
    <cellStyle name="Style 108 10 2 2" xfId="5048" xr:uid="{3C90A34D-9B64-4BBC-A31D-797C4FC2805A}"/>
    <cellStyle name="Style 108 10 2 2 2" xfId="27009" xr:uid="{B9C1732F-BA9A-4387-88D3-D7487EC290F2}"/>
    <cellStyle name="Style 108 10 2 3" xfId="24356" xr:uid="{6775847E-2597-4EF6-9DAE-C073840931F7}"/>
    <cellStyle name="Style 108 10 3" xfId="4056" xr:uid="{79DC5E87-3B98-409A-92CC-F10B234AC636}"/>
    <cellStyle name="Style 108 10 3 2" xfId="27008" xr:uid="{3E1564AB-73C2-4FF9-AA92-61F426601C63}"/>
    <cellStyle name="Style 108 10 4" xfId="22532" xr:uid="{45B83DE1-5737-45CF-9FA8-D9601596703E}"/>
    <cellStyle name="Style 108 11" xfId="708" xr:uid="{7DAEDEEA-9FCA-45E6-AA18-8218CB2F769C}"/>
    <cellStyle name="Style 108 11 2" xfId="709" xr:uid="{033F441F-9822-4C5F-9298-96DBF7D98170}"/>
    <cellStyle name="Style 108 11 2 2" xfId="5050" xr:uid="{DD8D8AAF-F02E-4E60-AB01-D7284AE6EE3B}"/>
    <cellStyle name="Style 108 11 2 2 2" xfId="27011" xr:uid="{BAEE95D5-BBB0-42ED-9ACD-CA9319752F64}"/>
    <cellStyle name="Style 108 11 2 3" xfId="24357" xr:uid="{232E7DE1-35E4-46B2-9434-6AF08D78DD64}"/>
    <cellStyle name="Style 108 11 3" xfId="5049" xr:uid="{26EC27C2-B86B-4401-A061-D8C8EAE4922B}"/>
    <cellStyle name="Style 108 11 3 2" xfId="27010" xr:uid="{177BFBDA-3FF2-4099-BD7C-0ABE014F88A7}"/>
    <cellStyle name="Style 108 11 4" xfId="22533" xr:uid="{E41F48CC-F74A-4645-B953-FC8DCF9006EE}"/>
    <cellStyle name="Style 108 12" xfId="710" xr:uid="{C5498088-CEAA-41F6-BAE6-821475746441}"/>
    <cellStyle name="Style 108 12 2" xfId="5051" xr:uid="{ED0A12A6-BD26-4090-AEB6-A12B313D0F95}"/>
    <cellStyle name="Style 108 12 2 2" xfId="27012" xr:uid="{AD7648C2-90BD-435D-AF2F-291C6891D7C1}"/>
    <cellStyle name="Style 108 12 3" xfId="8511" xr:uid="{043A6C02-374D-4F18-BA3E-B23F9981C118}"/>
    <cellStyle name="Style 108 12 3 2" xfId="28804" xr:uid="{AAAEB34C-E45D-4CCE-8ED4-CB0C54B6EC7B}"/>
    <cellStyle name="Style 108 12 4" xfId="8512" xr:uid="{513D0193-19CF-4056-B0AF-499D534D11F1}"/>
    <cellStyle name="Style 108 12 4 2" xfId="28805" xr:uid="{6F5B6640-107E-4B9C-8FA6-DFE1F36A2676}"/>
    <cellStyle name="Style 108 12 5" xfId="8513" xr:uid="{104C7012-20FC-464B-ADC1-5F99ECB786C4}"/>
    <cellStyle name="Style 108 12 5 2" xfId="28806" xr:uid="{9D009880-9F2A-487C-855B-B5017852B854}"/>
    <cellStyle name="Style 108 12 6" xfId="8514" xr:uid="{3449DA6E-FB04-4E3B-94EC-9A697BAA96FF}"/>
    <cellStyle name="Style 108 12 6 2" xfId="28807" xr:uid="{543E4330-FDF2-474B-B8E2-E44619F1A4A7}"/>
    <cellStyle name="Style 108 12 7" xfId="24358" xr:uid="{E56E59CB-5813-4E10-A41F-AC3BA71A8A3E}"/>
    <cellStyle name="Style 108 13" xfId="8515" xr:uid="{C133F09D-3455-48BF-BF32-01B489A9A98F}"/>
    <cellStyle name="Style 108 13 2" xfId="8516" xr:uid="{79940FBC-AADE-4AED-9D4E-1AAE96FAC495}"/>
    <cellStyle name="Style 108 13 2 2" xfId="28808" xr:uid="{5121ECE1-6981-4471-8237-AB334CEEB279}"/>
    <cellStyle name="Style 108 13 3" xfId="8517" xr:uid="{C35061FB-8EE5-432D-8D40-D64AA17DBC4C}"/>
    <cellStyle name="Style 108 13 3 2" xfId="28809" xr:uid="{6265525F-878C-40FD-8D42-D521D10190A3}"/>
    <cellStyle name="Style 108 13 4" xfId="26511" xr:uid="{0FFC3F4F-91C8-455E-8738-F800C361A336}"/>
    <cellStyle name="Style 108 14" xfId="8518" xr:uid="{98259B08-D8FA-4653-A59C-B8596C8FEB44}"/>
    <cellStyle name="Style 108 14 2" xfId="8519" xr:uid="{66277CDA-3142-427F-8707-A296C67411A8}"/>
    <cellStyle name="Style 108 14 2 2" xfId="28811" xr:uid="{9194A8FD-C733-465B-B5B2-E4DE70A588B8}"/>
    <cellStyle name="Style 108 14 3" xfId="28810" xr:uid="{7D49F0AC-C64A-4373-9F33-560C472FE233}"/>
    <cellStyle name="Style 108 15" xfId="8520" xr:uid="{A1C8F267-0368-4DC2-BFE6-6FBB1B38B8E0}"/>
    <cellStyle name="Style 108 15 2" xfId="8521" xr:uid="{45E26FCB-4DCD-4D4C-ABD0-1740A2FB7A96}"/>
    <cellStyle name="Style 108 15 2 2" xfId="28813" xr:uid="{483640FC-EE7B-419B-933C-9B272CFADD8D}"/>
    <cellStyle name="Style 108 15 3" xfId="28812" xr:uid="{7673AFDF-2619-41DA-957C-353801EE1599}"/>
    <cellStyle name="Style 108 16" xfId="22531" xr:uid="{3B6FFEB8-DE4C-4614-A3B7-1DADE1CDAC61}"/>
    <cellStyle name="Style 108 2" xfId="711" xr:uid="{755FBE20-0746-42FA-B64C-858736AEA0F7}"/>
    <cellStyle name="Style 108 2 2" xfId="4325" xr:uid="{E068683E-2531-44E3-B19C-40CFF7E54368}"/>
    <cellStyle name="Style 108 2 2 2" xfId="26512" xr:uid="{FAF7DBE1-2CF4-4635-801C-95E1E96233B6}"/>
    <cellStyle name="Style 108 2 3" xfId="22534" xr:uid="{F8BD366D-743F-41AE-90B2-A695C956A680}"/>
    <cellStyle name="Style 108 3" xfId="712" xr:uid="{AA9CDD94-A63F-4E8E-8BE4-DAEA9A2C398A}"/>
    <cellStyle name="Style 108 3 2" xfId="713" xr:uid="{E4F94D48-C549-4082-B1A0-3B380585C52F}"/>
    <cellStyle name="Style 108 3 2 2" xfId="714" xr:uid="{333CF416-89A7-499C-A658-5E4B0E0A6E00}"/>
    <cellStyle name="Style 108 3 2 2 2" xfId="5052" xr:uid="{B5631AE6-5927-4382-91D2-BBC31EFBFF8D}"/>
    <cellStyle name="Style 108 3 2 2 2 2" xfId="27013" xr:uid="{90E4C1F5-FCF5-4EF7-BEBA-1C5B53B9D439}"/>
    <cellStyle name="Style 108 3 2 2 3" xfId="22537" xr:uid="{9CD3A4BF-7823-40CA-87E6-FC0284FC3DC4}"/>
    <cellStyle name="Style 108 3 2 3" xfId="4327" xr:uid="{74EA0561-8547-4BCC-8A12-32B8219D641C}"/>
    <cellStyle name="Style 108 3 2 3 2" xfId="26514" xr:uid="{E9136F18-6433-4DF0-B31D-F517CA62B1D6}"/>
    <cellStyle name="Style 108 3 2 4" xfId="22536" xr:uid="{D8BAC001-F06C-4052-8929-0D1EF097A675}"/>
    <cellStyle name="Style 108 3 3" xfId="715" xr:uid="{2777E68D-D59E-42D5-95FD-3BFE2CA534D2}"/>
    <cellStyle name="Style 108 3 3 2" xfId="716" xr:uid="{00E1BD90-9A91-4BA4-A92A-95FA3DB26AF6}"/>
    <cellStyle name="Style 108 3 3 2 2" xfId="5054" xr:uid="{B2B0B1EE-2BDC-4E20-9B9A-7F65B9DF0823}"/>
    <cellStyle name="Style 108 3 3 2 2 2" xfId="27015" xr:uid="{B28C1458-C3A2-4D39-869C-8574CF58BFF9}"/>
    <cellStyle name="Style 108 3 3 2 3" xfId="22539" xr:uid="{0887F757-9DF1-4116-8531-C3FF3CDC1F88}"/>
    <cellStyle name="Style 108 3 3 3" xfId="717" xr:uid="{52BECCBA-0587-4408-9917-5F356DD2ED55}"/>
    <cellStyle name="Style 108 3 3 3 2" xfId="718" xr:uid="{FCFAA394-8F97-43A2-8D5D-35E325F990E2}"/>
    <cellStyle name="Style 108 3 3 3 2 2" xfId="5056" xr:uid="{D3426861-D4EC-4F35-8AB3-31D41348D41C}"/>
    <cellStyle name="Style 108 3 3 3 2 2 2" xfId="27017" xr:uid="{6D97E913-7B05-4DC5-BEC5-C6EF424C7F06}"/>
    <cellStyle name="Style 108 3 3 3 2 3" xfId="22541" xr:uid="{8657557C-E9C7-48D5-B61E-0C328547317C}"/>
    <cellStyle name="Style 108 3 3 3 3" xfId="5057" xr:uid="{8AD19A38-DCD1-493F-B0CF-BDED08C2B5C3}"/>
    <cellStyle name="Style 108 3 3 3 3 2" xfId="22542" xr:uid="{7B0960D4-786B-40F9-8F02-B5C8FFD13198}"/>
    <cellStyle name="Style 108 3 3 3 4" xfId="5058" xr:uid="{4E1BD18F-AAD4-45DA-AD72-E9CA7E99CBA6}"/>
    <cellStyle name="Style 108 3 3 3 4 2" xfId="24359" xr:uid="{EBF099E5-EC07-456E-A5B0-D6EC59EA7381}"/>
    <cellStyle name="Style 108 3 3 3 5" xfId="5055" xr:uid="{E637013D-FDEA-4DE3-A262-D19615EFAB71}"/>
    <cellStyle name="Style 108 3 3 3 5 2" xfId="27016" xr:uid="{3CD3FDBE-8389-47CA-B7A7-E0CA9B016321}"/>
    <cellStyle name="Style 108 3 3 3 6" xfId="22540" xr:uid="{4E4D35C7-D5F2-45E9-82D1-CC5469F3D7D3}"/>
    <cellStyle name="Style 108 3 3 4" xfId="719" xr:uid="{72D07E85-24AE-447C-AD28-FDF14CC8A53F}"/>
    <cellStyle name="Style 108 3 3 4 2" xfId="720" xr:uid="{46E09035-65A9-4AE7-8310-5E6E024BCB72}"/>
    <cellStyle name="Style 108 3 3 4 2 2" xfId="5060" xr:uid="{E77D39D1-DE78-4088-8D02-9A4D2DF0C5F9}"/>
    <cellStyle name="Style 108 3 3 4 2 2 2" xfId="27019" xr:uid="{93D4634C-9711-4C6B-AE9E-CA0637797A34}"/>
    <cellStyle name="Style 108 3 3 4 2 3" xfId="22544" xr:uid="{B157F92F-FD24-43D4-AE8E-5AF33C080B8F}"/>
    <cellStyle name="Style 108 3 3 4 3" xfId="5059" xr:uid="{82ADD26F-E09C-4CE5-97AC-2984F16B92C9}"/>
    <cellStyle name="Style 108 3 3 4 3 2" xfId="27018" xr:uid="{47EE9513-F721-4A68-8979-C8CE08C07511}"/>
    <cellStyle name="Style 108 3 3 4 4" xfId="22543" xr:uid="{C393C369-141B-4253-AE16-509FF61BEDD1}"/>
    <cellStyle name="Style 108 3 3 5" xfId="5061" xr:uid="{47D583B5-C3D6-4B1D-B135-0E85BED51EEE}"/>
    <cellStyle name="Style 108 3 3 5 2" xfId="24360" xr:uid="{1A9FC3BE-E83E-446D-8A4A-9D5A71AA52A4}"/>
    <cellStyle name="Style 108 3 3 6" xfId="5053" xr:uid="{BAB15583-5974-408D-959D-2AF693FC1DC0}"/>
    <cellStyle name="Style 108 3 3 6 2" xfId="27014" xr:uid="{E1EF1799-0A33-4244-8384-A8A5CB74FD87}"/>
    <cellStyle name="Style 108 3 3 7" xfId="22538" xr:uid="{F07B3C30-397D-43E5-AD76-92D5CC3C9FD3}"/>
    <cellStyle name="Style 108 3 4" xfId="721" xr:uid="{9AD0845C-60DD-449A-839D-94CF09881CC1}"/>
    <cellStyle name="Style 108 3 4 2" xfId="5063" xr:uid="{C2B4D76E-0631-4FA1-9194-B0B29739DAD5}"/>
    <cellStyle name="Style 108 3 4 2 2" xfId="22546" xr:uid="{B1E36729-F7ED-4F38-9DA9-FF688C7A5040}"/>
    <cellStyle name="Style 108 3 4 3" xfId="5064" xr:uid="{C1C06505-688E-4336-9799-C877FE9AA101}"/>
    <cellStyle name="Style 108 3 4 3 2" xfId="24361" xr:uid="{0EB0759A-AAD7-454A-9FBC-E78F62660D7C}"/>
    <cellStyle name="Style 108 3 4 4" xfId="5062" xr:uid="{91B34689-A573-4913-8FD6-952DA49CF4EA}"/>
    <cellStyle name="Style 108 3 4 4 2" xfId="27020" xr:uid="{5E83C49E-626C-4B1C-85E2-20FB6DD3A071}"/>
    <cellStyle name="Style 108 3 4 5" xfId="22545" xr:uid="{A6DCA0F8-847E-4D85-9D7B-A46ECA2F5AD9}"/>
    <cellStyle name="Style 108 3 5" xfId="5065" xr:uid="{2384F59F-492B-4011-AE5A-D8E20506FBAD}"/>
    <cellStyle name="Style 108 3 5 2" xfId="8522" xr:uid="{BA9E81AF-D753-4DEC-923D-921AD01C103A}"/>
    <cellStyle name="Style 108 3 5 2 2" xfId="27021" xr:uid="{40CC99EA-6684-459F-AA88-34AF4BF7E646}"/>
    <cellStyle name="Style 108 3 5 3" xfId="22547" xr:uid="{86071C5A-6353-4DB4-8881-EFF777384757}"/>
    <cellStyle name="Style 108 3 6" xfId="4326" xr:uid="{68874E91-8156-4AB3-9196-A1CDF87D4806}"/>
    <cellStyle name="Style 108 3 6 2" xfId="26513" xr:uid="{5B89AC1F-71AD-466D-BCED-284A1C7CAB86}"/>
    <cellStyle name="Style 108 3 7" xfId="22535" xr:uid="{8B0B498D-EB23-45BA-9FDF-2440B8B479DF}"/>
    <cellStyle name="Style 108 4" xfId="722" xr:uid="{0E63F82C-286B-42A6-B5A0-F8F59A13A500}"/>
    <cellStyle name="Style 108 4 2" xfId="723" xr:uid="{5087CD53-76EA-4750-B33E-15927D220CE2}"/>
    <cellStyle name="Style 108 4 2 2" xfId="724" xr:uid="{CC92DABA-4EED-428F-86B8-77F0C97309BB}"/>
    <cellStyle name="Style 108 4 2 2 2" xfId="5068" xr:uid="{9ABCBE63-284C-4534-843D-03372278F34A}"/>
    <cellStyle name="Style 108 4 2 2 2 2" xfId="27023" xr:uid="{70EA6F83-E2CC-447C-A132-5B21BE7E60CE}"/>
    <cellStyle name="Style 108 4 2 2 3" xfId="22550" xr:uid="{5E4468EB-E267-4044-9B83-91AFF4F71F54}"/>
    <cellStyle name="Style 108 4 2 3" xfId="725" xr:uid="{3477F998-E6D1-480D-8124-DEFC30FDD87F}"/>
    <cellStyle name="Style 108 4 2 3 2" xfId="726" xr:uid="{99BE375C-2A71-436F-BE4C-878206CC59E6}"/>
    <cellStyle name="Style 108 4 2 3 2 2" xfId="5070" xr:uid="{7A4AC0F2-9BFC-495F-9F96-E749F41C4B2D}"/>
    <cellStyle name="Style 108 4 2 3 2 2 2" xfId="27025" xr:uid="{161F74BF-C030-4B56-A026-F7782D956A21}"/>
    <cellStyle name="Style 108 4 2 3 2 3" xfId="22552" xr:uid="{5EA38AF9-B1B2-4BFB-9C12-9FFC3FFE726B}"/>
    <cellStyle name="Style 108 4 2 3 3" xfId="5071" xr:uid="{CC2419DE-441B-4D25-967C-D6E59D34822B}"/>
    <cellStyle name="Style 108 4 2 3 3 2" xfId="22553" xr:uid="{1F79150E-B991-4784-8848-82F5FAA672BE}"/>
    <cellStyle name="Style 108 4 2 3 4" xfId="5072" xr:uid="{31440943-6C8D-4D0E-B57E-0CC84FC21836}"/>
    <cellStyle name="Style 108 4 2 3 4 2" xfId="24362" xr:uid="{648BDFBE-99F4-42AE-BC67-CC367DF99D5B}"/>
    <cellStyle name="Style 108 4 2 3 5" xfId="5069" xr:uid="{52A506B2-A980-4FC4-A930-B30C0E969B0D}"/>
    <cellStyle name="Style 108 4 2 3 5 2" xfId="27024" xr:uid="{F882D8C6-E116-47F1-82F4-BE3DB1F47EE9}"/>
    <cellStyle name="Style 108 4 2 3 6" xfId="22551" xr:uid="{23609E01-E999-480C-840A-D0D6ECBFD619}"/>
    <cellStyle name="Style 108 4 2 4" xfId="727" xr:uid="{D91CC43D-E988-4851-AED5-5F17EF9821EF}"/>
    <cellStyle name="Style 108 4 2 4 2" xfId="728" xr:uid="{34AB38FE-4FB9-4367-96AE-CAF686E8FE4E}"/>
    <cellStyle name="Style 108 4 2 4 2 2" xfId="5074" xr:uid="{1540CADE-3077-4A38-9D28-29BBA7875E19}"/>
    <cellStyle name="Style 108 4 2 4 2 2 2" xfId="27027" xr:uid="{380BF206-139E-4C5F-8545-00CEC19703A6}"/>
    <cellStyle name="Style 108 4 2 4 2 3" xfId="22555" xr:uid="{77B54945-5640-4C2F-A412-1FB33821325C}"/>
    <cellStyle name="Style 108 4 2 4 3" xfId="5073" xr:uid="{0FFE5D4F-191C-41EF-A37B-8D68D8D2C471}"/>
    <cellStyle name="Style 108 4 2 4 3 2" xfId="27026" xr:uid="{FAF3D33E-3295-42DC-A106-C71DC4BB35DD}"/>
    <cellStyle name="Style 108 4 2 4 4" xfId="22554" xr:uid="{48A96A20-2505-415F-8C8E-EABA400F9BD6}"/>
    <cellStyle name="Style 108 4 2 5" xfId="5075" xr:uid="{C7FC4FDC-1EFD-41E9-A115-9232720D11A7}"/>
    <cellStyle name="Style 108 4 2 5 2" xfId="24363" xr:uid="{D289A081-4473-4014-A97E-9248A557BBF4}"/>
    <cellStyle name="Style 108 4 2 6" xfId="5067" xr:uid="{A4C86BEC-C7B4-4713-9411-E3871A7CC2D9}"/>
    <cellStyle name="Style 108 4 2 6 2" xfId="27022" xr:uid="{AF1878E4-4A1C-4D05-ACDA-D1BAFC740FA6}"/>
    <cellStyle name="Style 108 4 2 7" xfId="22549" xr:uid="{D0851AD0-D6F2-489B-8258-378F3A641B02}"/>
    <cellStyle name="Style 108 4 3" xfId="729" xr:uid="{42BFC180-2E91-4A9C-96AF-EC1F32761A45}"/>
    <cellStyle name="Style 108 4 3 2" xfId="5076" xr:uid="{3AEDFE41-7A07-4820-A2B9-0DAC7E6A447E}"/>
    <cellStyle name="Style 108 4 3 2 2" xfId="27028" xr:uid="{777E7A1A-BC21-4E86-B720-F9595826AB56}"/>
    <cellStyle name="Style 108 4 3 3" xfId="22556" xr:uid="{A69060D0-079B-4E2C-86A7-C70AECC5A2AE}"/>
    <cellStyle name="Style 108 4 4" xfId="5077" xr:uid="{3EA6E28E-2AA7-4572-BECC-CB226FE9F8B6}"/>
    <cellStyle name="Style 108 4 4 2" xfId="5078" xr:uid="{AB9E801D-9967-49BA-AC4C-69C281D307DC}"/>
    <cellStyle name="Style 108 4 4 2 2" xfId="24364" xr:uid="{F6FABBA9-E710-4EB9-9F9F-185C6D7E9E0E}"/>
    <cellStyle name="Style 108 4 4 3" xfId="22557" xr:uid="{7C7D3B79-A22F-4204-92F9-E00E27E87916}"/>
    <cellStyle name="Style 108 4 5" xfId="5066" xr:uid="{AFA728F4-F2EE-4550-ACF4-9B154A044628}"/>
    <cellStyle name="Style 108 4 5 2" xfId="25915" xr:uid="{5468B90B-191F-427C-9C43-A207362F89EE}"/>
    <cellStyle name="Style 108 4 6" xfId="4328" xr:uid="{4216E83C-0848-42FA-824B-A95C4BEC05AC}"/>
    <cellStyle name="Style 108 4 6 2" xfId="26515" xr:uid="{B16ED46C-A7EC-4075-8BBD-FA103009C2C7}"/>
    <cellStyle name="Style 108 4 7" xfId="22548" xr:uid="{9E26876B-764C-48CA-BCDB-F47D88F42533}"/>
    <cellStyle name="Style 108 5" xfId="730" xr:uid="{64EA56D2-9902-49D8-A305-51470B7C4FAC}"/>
    <cellStyle name="Style 108 5 2" xfId="731" xr:uid="{98654D79-F54C-4882-BED7-AECBC9E1F8BF}"/>
    <cellStyle name="Style 108 5 2 2" xfId="732" xr:uid="{F239ECF2-1287-40D9-904E-DA06192CDBC9}"/>
    <cellStyle name="Style 108 5 2 2 2" xfId="5081" xr:uid="{3CA6AB33-854A-4EE2-A0F5-631EFEE80C70}"/>
    <cellStyle name="Style 108 5 2 2 2 2" xfId="27030" xr:uid="{91811747-35F6-4A34-A39B-9CEC31DA0A6D}"/>
    <cellStyle name="Style 108 5 2 2 3" xfId="22560" xr:uid="{5AECC644-3A4E-4511-A8DB-8AA4ECA11EDE}"/>
    <cellStyle name="Style 108 5 2 3" xfId="733" xr:uid="{E2B43F6B-C1A8-4A2C-882B-394069F21587}"/>
    <cellStyle name="Style 108 5 2 3 2" xfId="734" xr:uid="{8554F611-8D7E-46DA-A789-D64349CA6D81}"/>
    <cellStyle name="Style 108 5 2 3 2 2" xfId="5083" xr:uid="{F76167BD-FDB0-490F-BC79-D85A33E86960}"/>
    <cellStyle name="Style 108 5 2 3 2 2 2" xfId="27032" xr:uid="{92D3B939-D9AB-4B84-BF15-FE9F492FCFF2}"/>
    <cellStyle name="Style 108 5 2 3 2 3" xfId="22562" xr:uid="{E42944A4-A8CF-4F8B-8BE2-2D9F41627862}"/>
    <cellStyle name="Style 108 5 2 3 3" xfId="5084" xr:uid="{671AD672-66FD-462A-8FB2-D275824BAD25}"/>
    <cellStyle name="Style 108 5 2 3 3 2" xfId="22563" xr:uid="{64164BC3-791C-4C25-B131-1EDC60C67DA5}"/>
    <cellStyle name="Style 108 5 2 3 4" xfId="5085" xr:uid="{A12A07E2-AAFF-47DF-B719-0AB69395F5A0}"/>
    <cellStyle name="Style 108 5 2 3 4 2" xfId="24365" xr:uid="{C275CB62-32D5-425B-A560-7153C0CE3480}"/>
    <cellStyle name="Style 108 5 2 3 5" xfId="5082" xr:uid="{824CA282-4A29-4B89-81B7-F0B6CD847E85}"/>
    <cellStyle name="Style 108 5 2 3 5 2" xfId="27031" xr:uid="{F96BECFF-3EFC-4BC3-9BD3-8B13AC0FEC9C}"/>
    <cellStyle name="Style 108 5 2 3 6" xfId="22561" xr:uid="{09D8E1C6-06CB-4920-90D1-0FE217F4081B}"/>
    <cellStyle name="Style 108 5 2 4" xfId="735" xr:uid="{1B42725E-4322-4192-B696-6548927CAF3C}"/>
    <cellStyle name="Style 108 5 2 4 2" xfId="736" xr:uid="{556E4526-07B3-4F84-B0B3-C4EC34C13865}"/>
    <cellStyle name="Style 108 5 2 4 2 2" xfId="5087" xr:uid="{FB727F09-90F3-467E-B816-A657259B6E0A}"/>
    <cellStyle name="Style 108 5 2 4 2 2 2" xfId="27034" xr:uid="{85784252-6834-4561-A08B-0EFB77B2673A}"/>
    <cellStyle name="Style 108 5 2 4 2 3" xfId="22565" xr:uid="{7EE188C0-9B53-4F81-AA90-7867214A0F68}"/>
    <cellStyle name="Style 108 5 2 4 3" xfId="5086" xr:uid="{8E012BEF-8F28-4CF3-9447-7A69910A4E33}"/>
    <cellStyle name="Style 108 5 2 4 3 2" xfId="27033" xr:uid="{C5E4D69F-EF2C-4484-BC96-533A8647EDED}"/>
    <cellStyle name="Style 108 5 2 4 4" xfId="22564" xr:uid="{36C6FECB-F2C8-4A23-B381-E2701D94FE33}"/>
    <cellStyle name="Style 108 5 2 5" xfId="5088" xr:uid="{88BC1F76-F9BB-4A1A-B0AA-75AEF24FBDE0}"/>
    <cellStyle name="Style 108 5 2 5 2" xfId="24366" xr:uid="{E703971D-0091-4761-9186-B9D8B45D0FA1}"/>
    <cellStyle name="Style 108 5 2 6" xfId="5080" xr:uid="{68147A04-8AA7-428E-9FBC-7C90DB7F7AA4}"/>
    <cellStyle name="Style 108 5 2 6 2" xfId="27029" xr:uid="{377FE417-1200-4B01-8B2F-D35C769EEBB9}"/>
    <cellStyle name="Style 108 5 2 7" xfId="22559" xr:uid="{3F5E8AD3-13A0-4634-9430-6AB1567CD0A4}"/>
    <cellStyle name="Style 108 5 3" xfId="737" xr:uid="{E5BDC1DE-88E4-4A81-B222-D8A7A0B2D45B}"/>
    <cellStyle name="Style 108 5 3 2" xfId="5089" xr:uid="{B12B1EF5-37EB-4AD0-B66E-2D5FC4348942}"/>
    <cellStyle name="Style 108 5 3 2 2" xfId="27035" xr:uid="{1C9CF5C5-1A60-4FD3-AE1E-57FCE14A6B39}"/>
    <cellStyle name="Style 108 5 3 3" xfId="22566" xr:uid="{C940B7E7-8434-4E4B-96E1-B7D9DDF019AC}"/>
    <cellStyle name="Style 108 5 4" xfId="5090" xr:uid="{51DE4317-86EC-4CF5-9CD3-3B0349AD4EA8}"/>
    <cellStyle name="Style 108 5 4 2" xfId="5091" xr:uid="{72D08304-45DD-4417-A828-22B95D664724}"/>
    <cellStyle name="Style 108 5 4 2 2" xfId="24367" xr:uid="{B98D1C1A-6CE1-4645-B0EE-1669EFFA1F5E}"/>
    <cellStyle name="Style 108 5 4 3" xfId="22567" xr:uid="{135098AF-E82B-4F2D-8992-2B060B2DD39C}"/>
    <cellStyle name="Style 108 5 5" xfId="5079" xr:uid="{B8DF7D06-2504-4A6B-A939-B41FAF21FE72}"/>
    <cellStyle name="Style 108 5 5 2" xfId="25916" xr:uid="{D10BA960-D055-47BE-A1F8-D751A2C26D13}"/>
    <cellStyle name="Style 108 5 6" xfId="4329" xr:uid="{F0E4D17A-9D36-4C6F-9454-B83975A78195}"/>
    <cellStyle name="Style 108 5 6 2" xfId="26516" xr:uid="{7084EABD-20CD-4226-829B-8B74EA3AD782}"/>
    <cellStyle name="Style 108 5 7" xfId="22558" xr:uid="{9FC181E8-C9F1-4CCE-BCE0-57C48364DCA3}"/>
    <cellStyle name="Style 108 6" xfId="738" xr:uid="{EBE2ECC4-ACDD-4F9C-BCBA-C6B21BA1E282}"/>
    <cellStyle name="Style 108 6 2" xfId="739" xr:uid="{BE508F40-01E1-4F1F-9D3D-A27A1BBF5329}"/>
    <cellStyle name="Style 108 6 2 2" xfId="5093" xr:uid="{339CC990-486B-465C-BFA8-F374006AC350}"/>
    <cellStyle name="Style 108 6 2 2 2" xfId="27037" xr:uid="{441A5263-9A18-4371-A79D-2960F5185B15}"/>
    <cellStyle name="Style 108 6 2 3" xfId="22569" xr:uid="{3C24960F-8D04-46D4-8A24-6C1B8C684467}"/>
    <cellStyle name="Style 108 6 3" xfId="740" xr:uid="{2A87E613-F139-4F86-8A5D-DECF29A6DE29}"/>
    <cellStyle name="Style 108 6 3 2" xfId="741" xr:uid="{B5474856-8CD2-41E8-98E4-E5277AC142C1}"/>
    <cellStyle name="Style 108 6 3 2 2" xfId="5095" xr:uid="{3E6F31B8-5026-4199-B3FC-453CA1235A16}"/>
    <cellStyle name="Style 108 6 3 2 2 2" xfId="27039" xr:uid="{09A06744-7303-4EF8-A30A-EB85C4CFBC36}"/>
    <cellStyle name="Style 108 6 3 2 3" xfId="22571" xr:uid="{BE1D180B-2DC2-4A66-86AC-BE0B125362C2}"/>
    <cellStyle name="Style 108 6 3 3" xfId="5096" xr:uid="{D1ED4FF2-B674-4338-A370-D56602023BC2}"/>
    <cellStyle name="Style 108 6 3 3 2" xfId="22572" xr:uid="{9B8F5273-2C25-4468-B0FC-7A0138493D31}"/>
    <cellStyle name="Style 108 6 3 4" xfId="5097" xr:uid="{227AEF25-3C2A-49FE-A994-5DFFDEFD41B0}"/>
    <cellStyle name="Style 108 6 3 4 2" xfId="24368" xr:uid="{D1962D88-B30C-4EC0-AB8A-0B5AC0FFD277}"/>
    <cellStyle name="Style 108 6 3 5" xfId="5094" xr:uid="{578734BF-AE62-4C59-AC1E-E080D55F44AB}"/>
    <cellStyle name="Style 108 6 3 5 2" xfId="27038" xr:uid="{69DD0E68-F302-48F6-A77B-1D210AD0CC64}"/>
    <cellStyle name="Style 108 6 3 6" xfId="22570" xr:uid="{6AECB7DB-BB3D-436C-B36E-8A6B35427AC8}"/>
    <cellStyle name="Style 108 6 4" xfId="742" xr:uid="{E6F9CA72-D28B-4401-B97F-4EC703FC3F5A}"/>
    <cellStyle name="Style 108 6 4 2" xfId="743" xr:uid="{5BD531FA-5ACD-420E-9704-4D31BEEB4FF0}"/>
    <cellStyle name="Style 108 6 4 2 2" xfId="5099" xr:uid="{EDB035D7-3E14-4CCA-B55F-CA89D44968D0}"/>
    <cellStyle name="Style 108 6 4 2 2 2" xfId="27041" xr:uid="{F456B775-9F4F-4003-A010-6D1F59D26494}"/>
    <cellStyle name="Style 108 6 4 2 3" xfId="22574" xr:uid="{2FC7E8B7-6AEF-4DD6-8877-C7F8C138D0D0}"/>
    <cellStyle name="Style 108 6 4 3" xfId="5098" xr:uid="{0F51E28A-FBAB-4C82-AB39-994FF9CCFBC4}"/>
    <cellStyle name="Style 108 6 4 3 2" xfId="27040" xr:uid="{AD9C3468-A3A1-432E-836F-592EB88A1546}"/>
    <cellStyle name="Style 108 6 4 4" xfId="22573" xr:uid="{D00292F8-BE9D-40DD-9417-BF991E3C4706}"/>
    <cellStyle name="Style 108 6 5" xfId="5100" xr:uid="{33183C9B-8FC3-40CD-8D3A-41C782869BD6}"/>
    <cellStyle name="Style 108 6 5 2" xfId="24369" xr:uid="{227EE2DF-977A-4CCE-83C0-72B41138C279}"/>
    <cellStyle name="Style 108 6 6" xfId="5092" xr:uid="{48FD64B5-44D7-4EFD-8CBA-C9007DC3749B}"/>
    <cellStyle name="Style 108 6 6 2" xfId="27036" xr:uid="{096AA038-BDEC-479C-B0E5-EA708C6BE224}"/>
    <cellStyle name="Style 108 6 7" xfId="22568" xr:uid="{94A7BA1E-69FC-4FD5-A43B-66E2055629AC}"/>
    <cellStyle name="Style 108 7" xfId="744" xr:uid="{959AA225-D10A-4866-99B0-602A0F709E6E}"/>
    <cellStyle name="Style 108 7 2" xfId="745" xr:uid="{92EFC32E-D23C-4650-AEDC-4FE85C506CE4}"/>
    <cellStyle name="Style 108 7 2 2" xfId="5102" xr:uid="{0AF72C3B-67BC-4094-AFA4-C851D9E872AC}"/>
    <cellStyle name="Style 108 7 2 2 2" xfId="27043" xr:uid="{9137A868-8E29-4A61-8184-398BACF3DE94}"/>
    <cellStyle name="Style 108 7 2 3" xfId="22576" xr:uid="{215F18EA-80AB-40D7-BA52-E9A47E0A0DF9}"/>
    <cellStyle name="Style 108 7 3" xfId="5103" xr:uid="{9ED3DDEB-5527-4A65-B2A0-6E58294AE0EC}"/>
    <cellStyle name="Style 108 7 3 2" xfId="22577" xr:uid="{BE6EF452-1B98-474B-81DF-9F6A58796D93}"/>
    <cellStyle name="Style 108 7 4" xfId="5104" xr:uid="{5DF83D7E-C01D-46BB-86B1-7CFFA05B5560}"/>
    <cellStyle name="Style 108 7 4 2" xfId="24370" xr:uid="{B84DD69F-36F6-4F57-B0B9-F3CE981EBE8B}"/>
    <cellStyle name="Style 108 7 5" xfId="5101" xr:uid="{CE93345E-7A5B-4D45-82E0-689DA1BF2753}"/>
    <cellStyle name="Style 108 7 5 2" xfId="27042" xr:uid="{DDCD4CE7-342E-40C9-B1D6-FF792F6B7CF6}"/>
    <cellStyle name="Style 108 7 6" xfId="22575" xr:uid="{5F1E26B5-4D5E-4647-B1B6-19BD318191F6}"/>
    <cellStyle name="Style 108 8" xfId="746" xr:uid="{8F568A90-9C3F-4813-91FF-6B6AF0F535B0}"/>
    <cellStyle name="Style 108 8 2" xfId="747" xr:uid="{A150017D-874C-41A9-BB10-B20DC8347773}"/>
    <cellStyle name="Style 108 8 2 2" xfId="5106" xr:uid="{01001800-A280-4FBC-A99C-A94A62E0648A}"/>
    <cellStyle name="Style 108 8 2 2 2" xfId="27045" xr:uid="{28041A9A-3A10-4F02-A938-0EA848288F32}"/>
    <cellStyle name="Style 108 8 2 3" xfId="22579" xr:uid="{C7645492-63DE-4BFE-8E8A-69BF0476D3EC}"/>
    <cellStyle name="Style 108 8 3" xfId="5107" xr:uid="{7A7159F1-3813-4508-9658-0B860E50FA9C}"/>
    <cellStyle name="Style 108 8 3 2" xfId="22580" xr:uid="{03C7ACB1-CF92-46C6-BCC2-3CDE48634760}"/>
    <cellStyle name="Style 108 8 4" xfId="5108" xr:uid="{6009483A-9EC9-4782-A921-70CB96290242}"/>
    <cellStyle name="Style 108 8 4 2" xfId="24371" xr:uid="{06B59050-41F7-482B-96BC-08C8FB96C8A8}"/>
    <cellStyle name="Style 108 8 5" xfId="5105" xr:uid="{E974A177-63C4-4AF2-89BA-8B836E21DABC}"/>
    <cellStyle name="Style 108 8 5 2" xfId="27044" xr:uid="{4FE7127B-F97C-4976-A5DC-73A3D1760F01}"/>
    <cellStyle name="Style 108 8 6" xfId="22578" xr:uid="{5DFFEB6B-9440-431C-A1B3-2AD51803FAF1}"/>
    <cellStyle name="Style 108 9" xfId="748" xr:uid="{41D2DD8D-714A-4130-AAE5-0AA6748768E7}"/>
    <cellStyle name="Style 108 9 2" xfId="749" xr:uid="{7519E1BB-DABA-45F8-B7F7-881244E39721}"/>
    <cellStyle name="Style 108 9 2 2" xfId="5109" xr:uid="{F3FBFD79-CB6C-42F0-972D-E6A26AF357C1}"/>
    <cellStyle name="Style 108 9 2 2 2" xfId="27047" xr:uid="{108293B7-6336-47FD-B378-28FAD9E7F7BB}"/>
    <cellStyle name="Style 108 9 2 3" xfId="24372" xr:uid="{1FFA91F0-99E0-4B52-A4F8-B9A6BACA6376}"/>
    <cellStyle name="Style 108 9 3" xfId="4057" xr:uid="{718D38AF-4565-477F-9232-52E8DF7DEECB}"/>
    <cellStyle name="Style 108 9 3 2" xfId="27046" xr:uid="{A0D6E6D8-8AD1-4457-AA6E-F586B5FA198E}"/>
    <cellStyle name="Style 108 9 4" xfId="22581" xr:uid="{AAD8AD6A-DA5E-453F-B453-9BC50C58FB4B}"/>
    <cellStyle name="Style 108_ADDON" xfId="25760" xr:uid="{35A78E41-2015-469F-BC38-7BC1E422CDB1}"/>
    <cellStyle name="Style 109" xfId="750" xr:uid="{DF1E61B2-BC57-4898-A65A-B995877F173C}"/>
    <cellStyle name="Style 109 2" xfId="751" xr:uid="{FC0FFB9F-BB8E-4916-8ED1-F3C3972C1F6F}"/>
    <cellStyle name="Style 109 2 2" xfId="752" xr:uid="{EE641032-15CC-4E0B-9D43-A088E6A419E6}"/>
    <cellStyle name="Style 109 2 2 2" xfId="753" xr:uid="{93F99310-62CD-4BAF-86D4-04DC0A04E964}"/>
    <cellStyle name="Style 109 2 2 2 2" xfId="754" xr:uid="{2FA64157-D061-486D-B47D-BAA35B6291BD}"/>
    <cellStyle name="Style 109 2 2 2 2 2" xfId="755" xr:uid="{88C1D5BA-161A-4BAF-ADD2-87654B256EF0}"/>
    <cellStyle name="Style 109 2 2 2 2 2 2" xfId="8523" xr:uid="{22EFD5B6-90FD-4FDE-A901-C4601A20CFF6}"/>
    <cellStyle name="Style 109 2 2 2 2 3" xfId="8524" xr:uid="{EDBEBD91-72B5-405A-9686-BCFAA2A0C152}"/>
    <cellStyle name="Style 109 2 2 2 3" xfId="756" xr:uid="{527BA04B-2D25-4291-8DD6-F2790F7A7DC2}"/>
    <cellStyle name="Style 109 2 2 2 3 2" xfId="8525" xr:uid="{A6F9962D-57E8-41A2-8E35-D4213ED9B67F}"/>
    <cellStyle name="Style 109 2 2 2 4" xfId="8526" xr:uid="{5201A44A-08DB-4FBC-B2DB-0C3C0F1C3455}"/>
    <cellStyle name="Style 109 2 2 3" xfId="757" xr:uid="{B4870473-83A7-4BD8-BFA1-9E4B00E4D907}"/>
    <cellStyle name="Style 109 2 2 3 2" xfId="758" xr:uid="{7ACF0241-AA49-4363-A55B-F0C1E77B559F}"/>
    <cellStyle name="Style 109 2 2 3 2 2" xfId="8527" xr:uid="{9D12C9FE-F9D4-49E3-BD80-0075A78F2B92}"/>
    <cellStyle name="Style 109 2 2 3 3" xfId="8528" xr:uid="{C3148CE6-51B9-442E-95B2-DE2BF79E149A}"/>
    <cellStyle name="Style 109 2 2 4" xfId="759" xr:uid="{56C87B71-64B5-4C80-A9AB-F23AC6637488}"/>
    <cellStyle name="Style 109 2 2 4 2" xfId="8529" xr:uid="{E571AB84-54FC-4E53-ACF3-CEB4C2B3FB78}"/>
    <cellStyle name="Style 109 2 2 5" xfId="8530" xr:uid="{60039E94-FDAC-4E43-886E-EB2C6452B2E7}"/>
    <cellStyle name="Style 109 2 3" xfId="760" xr:uid="{A49B6084-4049-4B02-A10E-F6CEED5313C9}"/>
    <cellStyle name="Style 109 2 3 2" xfId="761" xr:uid="{28E60D0B-883E-4A18-A03B-531756F3094E}"/>
    <cellStyle name="Style 109 2 3 2 2" xfId="762" xr:uid="{F2D97A24-E62D-490F-8C49-D02D928E87D4}"/>
    <cellStyle name="Style 109 2 3 2 2 2" xfId="8531" xr:uid="{82E21DD9-BC06-4F52-8E13-925B39B12AEA}"/>
    <cellStyle name="Style 109 2 3 2 3" xfId="8532" xr:uid="{5A2ED52A-B898-4DEC-A6C3-27F8EBE99A8D}"/>
    <cellStyle name="Style 109 2 3 3" xfId="763" xr:uid="{FB74BB20-0441-4164-9503-F391AFE6D806}"/>
    <cellStyle name="Style 109 2 3 3 2" xfId="8533" xr:uid="{664E3869-3EF6-485B-BAA8-44AD63B7E933}"/>
    <cellStyle name="Style 109 2 3 4" xfId="8534" xr:uid="{5D7F07BE-4A58-4886-9130-43F881363403}"/>
    <cellStyle name="Style 109 2 4" xfId="764" xr:uid="{CF1AC822-066D-4CFC-9888-35190B85BEFC}"/>
    <cellStyle name="Style 109 2 4 2" xfId="765" xr:uid="{FE20902D-6396-4FC3-802F-20ECA930C230}"/>
    <cellStyle name="Style 109 2 4 2 2" xfId="8535" xr:uid="{093855BE-A597-4A43-9E2E-28FF839FE8A4}"/>
    <cellStyle name="Style 109 2 4 3" xfId="8536" xr:uid="{B347BC47-DFF4-4963-9AD6-0A505C11CB04}"/>
    <cellStyle name="Style 109 2 5" xfId="766" xr:uid="{97AE9CFB-CC16-48E5-9091-CF93F931E6C1}"/>
    <cellStyle name="Style 109 2 5 2" xfId="8537" xr:uid="{FD892CB3-57F8-457A-A8CF-87771438DD5A}"/>
    <cellStyle name="Style 109 2 6" xfId="8538" xr:uid="{D6580EE2-DFC5-48F5-BDC8-A2CB4F7A0D47}"/>
    <cellStyle name="Style 109 3" xfId="767" xr:uid="{0A99A53A-3B94-4FD2-9626-5182F35693B8}"/>
    <cellStyle name="Style 109 3 2" xfId="768" xr:uid="{055D1E06-0A99-4E0A-8104-E4437664A417}"/>
    <cellStyle name="Style 109 3 2 2" xfId="769" xr:uid="{661E2435-D8D5-4289-A40F-4423D1CE54F3}"/>
    <cellStyle name="Style 109 3 2 2 2" xfId="770" xr:uid="{CE6A2593-3AA4-453B-B15A-AB142CE90973}"/>
    <cellStyle name="Style 109 3 2 2 2 2" xfId="771" xr:uid="{CEAA255A-93F7-4AAF-BF25-FC242E584C47}"/>
    <cellStyle name="Style 109 3 2 2 2 2 2" xfId="8539" xr:uid="{30F384A3-E99E-4612-A944-EFCBDA3A6BB3}"/>
    <cellStyle name="Style 109 3 2 2 2 3" xfId="8540" xr:uid="{FEDF335B-909D-493D-887D-7E2AD2CBA534}"/>
    <cellStyle name="Style 109 3 2 2 3" xfId="772" xr:uid="{E52A7476-DBB2-494B-AFBA-1C986E3DE0F8}"/>
    <cellStyle name="Style 109 3 2 2 3 2" xfId="8541" xr:uid="{21C70021-432F-4B05-AD54-05F570A4A42F}"/>
    <cellStyle name="Style 109 3 2 2 4" xfId="8542" xr:uid="{78B560B4-D370-4AE6-A179-EA085F407EEF}"/>
    <cellStyle name="Style 109 3 2 3" xfId="773" xr:uid="{9186F7CD-E32D-4EFF-8586-F11046572AE9}"/>
    <cellStyle name="Style 109 3 2 3 2" xfId="774" xr:uid="{9E78F778-B8DE-4307-8390-A176160E1B07}"/>
    <cellStyle name="Style 109 3 2 3 2 2" xfId="8543" xr:uid="{A768457F-CB38-4A7F-AD2B-DCDEF633B6CF}"/>
    <cellStyle name="Style 109 3 2 3 3" xfId="8544" xr:uid="{D9EFEE8B-F0AC-4C2D-AB53-7AE41AF28AB0}"/>
    <cellStyle name="Style 109 3 2 4" xfId="775" xr:uid="{155A6EBC-2C63-4FD9-BDC2-FF2093DA4622}"/>
    <cellStyle name="Style 109 3 2 4 2" xfId="8545" xr:uid="{425AA39C-7D87-4C99-A703-631E6D7B6820}"/>
    <cellStyle name="Style 109 3 2 5" xfId="8546" xr:uid="{47566939-AA5E-475C-92B6-AD948D92A11C}"/>
    <cellStyle name="Style 109 3 3" xfId="776" xr:uid="{C6E1B124-1CD7-4A4F-B16E-38140FAE1A50}"/>
    <cellStyle name="Style 109 3 3 2" xfId="777" xr:uid="{25487D5F-CDF0-459F-A55C-D336A82CB2BF}"/>
    <cellStyle name="Style 109 3 3 2 2" xfId="778" xr:uid="{C3E2F162-4140-4EAF-BB76-8E0FF8F0C609}"/>
    <cellStyle name="Style 109 3 3 2 2 2" xfId="779" xr:uid="{8595D14B-78A5-46AB-93B3-BBABF5194A90}"/>
    <cellStyle name="Style 109 3 3 2 2 2 2" xfId="8547" xr:uid="{BEE30DF7-D9C9-48AE-B45F-7B216D7C7CA5}"/>
    <cellStyle name="Style 109 3 3 2 2 3" xfId="8548" xr:uid="{E6B7DC77-ED36-4985-B48A-816BB49D625F}"/>
    <cellStyle name="Style 109 3 3 2 3" xfId="780" xr:uid="{0527A8FC-68C6-48A2-B32B-9E0ECDCDEA76}"/>
    <cellStyle name="Style 109 3 3 2 3 2" xfId="8549" xr:uid="{9030214E-D9BA-4C5B-9AE6-1ABA5197D0AE}"/>
    <cellStyle name="Style 109 3 3 2 4" xfId="8550" xr:uid="{0F5261C1-5CDB-460E-8980-E31EA8E891D1}"/>
    <cellStyle name="Style 109 3 3 3" xfId="781" xr:uid="{76A6EC9D-1C75-4268-81F3-3CA4CF2CC8F5}"/>
    <cellStyle name="Style 109 3 3 3 2" xfId="8551" xr:uid="{CF07EDC1-9A38-4E5F-BA85-D506F38C336B}"/>
    <cellStyle name="Style 109 3 3 4" xfId="5110" xr:uid="{760EA101-180C-4A06-B145-CF29017A8636}"/>
    <cellStyle name="Style 109 3 3 5" xfId="8552" xr:uid="{86CEF44F-74DB-4C83-9AF4-642F58B9BBF5}"/>
    <cellStyle name="Style 109 3 4" xfId="782" xr:uid="{CBF5A0D1-0857-4923-B20F-59908E505AAA}"/>
    <cellStyle name="Style 109 3 4 2" xfId="783" xr:uid="{AE39A2AE-221D-4A61-A43F-1B76342371A5}"/>
    <cellStyle name="Style 109 3 4 2 2" xfId="8553" xr:uid="{E7586845-FB13-4345-A5C3-014C7B1CCD5C}"/>
    <cellStyle name="Style 109 3 4 3" xfId="8554" xr:uid="{4467904C-7644-4C4A-9091-3FE28B1EB40A}"/>
    <cellStyle name="Style 109 3 5" xfId="784" xr:uid="{C35F9564-29B5-44DB-B05E-832352AF7081}"/>
    <cellStyle name="Style 109 3 5 2" xfId="8555" xr:uid="{EA46E6A0-FEC6-448A-826E-152E6309755B}"/>
    <cellStyle name="Style 109 3 6" xfId="8556" xr:uid="{74C3BB0F-8352-4035-9216-6C05F9FC3B63}"/>
    <cellStyle name="Style 109 4" xfId="785" xr:uid="{2D2054A7-F684-44FF-B3A5-1D2F2292CC55}"/>
    <cellStyle name="Style 109 4 2" xfId="786" xr:uid="{33228A02-DFC2-473C-922A-F38F04DDEB38}"/>
    <cellStyle name="Style 109 4 2 2" xfId="787" xr:uid="{6E882749-FB58-48B4-A20D-DF9FA15F0FE6}"/>
    <cellStyle name="Style 109 4 2 2 2" xfId="788" xr:uid="{C0043CEF-B807-4A1F-9ABF-A77EC263BADC}"/>
    <cellStyle name="Style 109 4 2 2 2 2" xfId="8557" xr:uid="{56CA94D7-9591-4C3B-BE21-D26E0DC33960}"/>
    <cellStyle name="Style 109 4 2 2 3" xfId="8558" xr:uid="{068F400C-699F-4DB1-B111-4BE53D0B0BDF}"/>
    <cellStyle name="Style 109 4 2 3" xfId="789" xr:uid="{9B5B46DB-D3EB-435F-8C0D-A31D6A326801}"/>
    <cellStyle name="Style 109 4 2 3 2" xfId="8559" xr:uid="{DF285EBE-FD82-4562-8842-A4645BE1303B}"/>
    <cellStyle name="Style 109 4 2 4" xfId="8560" xr:uid="{E2861F8A-7EC9-43BB-8639-BC61E9AE388C}"/>
    <cellStyle name="Style 109 4 3" xfId="790" xr:uid="{6E456335-B60C-4DFD-809D-4C70CCBE6916}"/>
    <cellStyle name="Style 109 4 3 2" xfId="8561" xr:uid="{F083AB37-BAD1-4232-8CC5-A933291EC4CD}"/>
    <cellStyle name="Style 109 4 4" xfId="5111" xr:uid="{6B08C2E4-2E49-411B-8396-65D6212DA48E}"/>
    <cellStyle name="Style 109 4 5" xfId="8562" xr:uid="{54F21B29-AAC9-41B0-B29B-9788FBBD9944}"/>
    <cellStyle name="Style 109 5" xfId="791" xr:uid="{B2B05EE4-632B-4A59-BB2B-C0C0B7542089}"/>
    <cellStyle name="Style 109 5 2" xfId="792" xr:uid="{C1D30F0F-44B8-4536-A2DF-CC5ACE978356}"/>
    <cellStyle name="Style 109 5 2 2" xfId="8563" xr:uid="{92D55466-E9A6-4D77-9D78-105418166D94}"/>
    <cellStyle name="Style 109 5 3" xfId="8564" xr:uid="{9402C531-61F8-41CE-894A-DBC6C50253B1}"/>
    <cellStyle name="Style 109 6" xfId="793" xr:uid="{F1179961-629E-4A9C-9671-68400753D523}"/>
    <cellStyle name="Style 109 6 2" xfId="4059" xr:uid="{D635E2E0-2DD8-4A62-848B-E376AFF77880}"/>
    <cellStyle name="Style 109 6 2 2" xfId="5112" xr:uid="{85C26373-A44F-4AA1-99FA-36D0F2E092E9}"/>
    <cellStyle name="Style 109 6 3" xfId="8565" xr:uid="{EA12D360-55F3-4E08-AE13-0E838AD5E63C}"/>
    <cellStyle name="Style 109 7" xfId="4058" xr:uid="{8C9500BE-9090-4227-BB54-9BAB1E8CA600}"/>
    <cellStyle name="Style 109 7 2" xfId="5114" xr:uid="{06E54A47-4765-426A-8265-3727604F95E4}"/>
    <cellStyle name="Style 109 7 3" xfId="5113" xr:uid="{AE97CF97-6AE3-4933-A692-15EF8A08EFE9}"/>
    <cellStyle name="Style 109 8" xfId="5115" xr:uid="{A316DF8E-4457-40BF-86DC-BD440BED70F3}"/>
    <cellStyle name="Style 109 9" xfId="8566" xr:uid="{606F6050-EADC-4BF9-8831-3B243E015906}"/>
    <cellStyle name="Style 109 9 2" xfId="26517" xr:uid="{2C56D141-2A75-4526-9D10-698F5C95F42E}"/>
    <cellStyle name="Style 109_ADDON" xfId="7958" xr:uid="{DB6CAB00-C5A3-4CA4-9BD8-31F1BE703B55}"/>
    <cellStyle name="Style 110" xfId="794" xr:uid="{66BDA4BE-F54B-4E1B-BA31-E0CE259C3F96}"/>
    <cellStyle name="Style 110 2" xfId="795" xr:uid="{E0A37DBA-67AC-4D89-93FF-FA127D5FEDDD}"/>
    <cellStyle name="Style 110 2 2" xfId="796" xr:uid="{FE564F32-3E00-4460-B392-4A9A08066828}"/>
    <cellStyle name="Style 110 2 2 2" xfId="797" xr:uid="{66232124-440C-4CC7-B6BE-3C5E76E05DBC}"/>
    <cellStyle name="Style 110 2 2 2 2" xfId="798" xr:uid="{B1B8B0A9-FDEE-43C3-AB61-200B1E9D1701}"/>
    <cellStyle name="Style 110 2 2 2 2 2" xfId="799" xr:uid="{8F45E017-CC14-46DA-9EA5-6374B1BC9023}"/>
    <cellStyle name="Style 110 2 2 2 2 2 2" xfId="8567" xr:uid="{74659D2E-6893-48ED-91F2-AE19F2828AE0}"/>
    <cellStyle name="Style 110 2 2 2 2 3" xfId="8568" xr:uid="{4D176DC3-B3DF-4A08-80F6-C93BDA3DC863}"/>
    <cellStyle name="Style 110 2 2 2 3" xfId="800" xr:uid="{145EAEE2-7567-4CE2-BC00-8E5781712DCB}"/>
    <cellStyle name="Style 110 2 2 2 3 2" xfId="8569" xr:uid="{D945DF92-996E-4F39-82E7-4D6C140A8DFC}"/>
    <cellStyle name="Style 110 2 2 2 4" xfId="8570" xr:uid="{D911F8A9-8A18-4339-B224-95C5E817048B}"/>
    <cellStyle name="Style 110 2 2 3" xfId="801" xr:uid="{069F4E2A-B245-45EC-9ECB-A44494FBFC13}"/>
    <cellStyle name="Style 110 2 2 3 2" xfId="802" xr:uid="{36F13744-F94A-48A6-8A47-7E77AC22B1EB}"/>
    <cellStyle name="Style 110 2 2 3 2 2" xfId="8571" xr:uid="{D8947F92-1C82-401F-B6D0-DD67E5824A59}"/>
    <cellStyle name="Style 110 2 2 3 3" xfId="8572" xr:uid="{79C3BD50-39EF-44BA-8230-45C63DB03F27}"/>
    <cellStyle name="Style 110 2 2 4" xfId="803" xr:uid="{A657008D-8AB3-4B7D-A2AD-706D52F6A87D}"/>
    <cellStyle name="Style 110 2 2 4 2" xfId="8573" xr:uid="{A170A4D1-E091-44E3-81B6-ACA5E2413D28}"/>
    <cellStyle name="Style 110 2 2 5" xfId="8574" xr:uid="{81E28119-4AEE-41C8-B8B9-8334A4619092}"/>
    <cellStyle name="Style 110 2 3" xfId="804" xr:uid="{9B8E8574-748E-427E-B4A8-5794BF43A4F8}"/>
    <cellStyle name="Style 110 2 3 2" xfId="805" xr:uid="{81E53936-084D-4008-BCB4-0812CC2E1FA6}"/>
    <cellStyle name="Style 110 2 3 2 2" xfId="806" xr:uid="{21DE93D2-04B1-4273-A7B1-FFD6D0AA9B7D}"/>
    <cellStyle name="Style 110 2 3 2 2 2" xfId="8575" xr:uid="{9D09C957-85A8-4E3C-A2C9-B9FFB69514D2}"/>
    <cellStyle name="Style 110 2 3 2 3" xfId="8576" xr:uid="{665E6678-F3F6-4A58-8404-7DC289DBA73D}"/>
    <cellStyle name="Style 110 2 3 3" xfId="807" xr:uid="{40060945-9493-445A-8BEC-F1C043D88943}"/>
    <cellStyle name="Style 110 2 3 3 2" xfId="8577" xr:uid="{D0D0D1E2-A713-4883-962C-208DDAFF3169}"/>
    <cellStyle name="Style 110 2 3 4" xfId="8578" xr:uid="{731766AF-A263-4B03-A5AA-203D2E90B494}"/>
    <cellStyle name="Style 110 2 4" xfId="808" xr:uid="{C4644E81-B628-442E-B351-0DB66942E71C}"/>
    <cellStyle name="Style 110 2 4 2" xfId="809" xr:uid="{BD2719E3-EC15-450A-AA48-B66512E7503C}"/>
    <cellStyle name="Style 110 2 4 2 2" xfId="8579" xr:uid="{4A20055F-531B-4EEA-9685-9F6DD3AFE00E}"/>
    <cellStyle name="Style 110 2 4 3" xfId="8580" xr:uid="{1E192829-369B-414F-8F34-A2071E389EEF}"/>
    <cellStyle name="Style 110 2 5" xfId="810" xr:uid="{5B3EE2A9-CE6B-4293-8C78-5D1C6C4255AA}"/>
    <cellStyle name="Style 110 2 5 2" xfId="8581" xr:uid="{24635900-42D8-4F7D-93F8-0B32D63C026F}"/>
    <cellStyle name="Style 110 2 6" xfId="8582" xr:uid="{CE4D0E75-858D-48C6-B75B-1BB496A43082}"/>
    <cellStyle name="Style 110 3" xfId="811" xr:uid="{2225BF2D-4B4B-43E1-BDED-2C77E080C578}"/>
    <cellStyle name="Style 110 3 2" xfId="812" xr:uid="{B8B541E5-74BD-4152-BC7D-A41BC57F1BE7}"/>
    <cellStyle name="Style 110 3 2 2" xfId="813" xr:uid="{89CC6EF1-F536-493A-8FF1-0B54CF35CD70}"/>
    <cellStyle name="Style 110 3 2 2 2" xfId="814" xr:uid="{59EDF0A8-E4E5-419E-B675-EE847E07FED2}"/>
    <cellStyle name="Style 110 3 2 2 2 2" xfId="815" xr:uid="{C90758E5-45EB-4D0F-A3F6-6480FC4DA06D}"/>
    <cellStyle name="Style 110 3 2 2 2 2 2" xfId="8583" xr:uid="{29025ADF-DA1B-41E2-AB65-A900EC1209D7}"/>
    <cellStyle name="Style 110 3 2 2 2 3" xfId="8584" xr:uid="{6EA10DEA-856A-4EF2-94DB-6A3BF8E9E368}"/>
    <cellStyle name="Style 110 3 2 2 3" xfId="816" xr:uid="{53B3BE43-50AC-4D1E-B00F-D74DC92BC095}"/>
    <cellStyle name="Style 110 3 2 2 3 2" xfId="8585" xr:uid="{E73F7174-0866-49CC-AD0B-1CA0758633C1}"/>
    <cellStyle name="Style 110 3 2 2 4" xfId="8586" xr:uid="{1A90A93F-49D3-40E7-95BE-FBA0515D9B11}"/>
    <cellStyle name="Style 110 3 2 3" xfId="817" xr:uid="{57C37E9D-E6AC-417A-A718-CD8D63B6A05D}"/>
    <cellStyle name="Style 110 3 2 3 2" xfId="818" xr:uid="{BF106D5C-3687-455D-8A06-8D6F81D2957E}"/>
    <cellStyle name="Style 110 3 2 3 2 2" xfId="8587" xr:uid="{C9416221-4F00-427D-BB6A-B92160A8FF04}"/>
    <cellStyle name="Style 110 3 2 3 3" xfId="8588" xr:uid="{A8C0796B-0FAF-4A09-B57C-F59D11B5F1E1}"/>
    <cellStyle name="Style 110 3 2 4" xfId="819" xr:uid="{3A6C8692-F781-466E-9135-F68B44541FC8}"/>
    <cellStyle name="Style 110 3 2 4 2" xfId="8589" xr:uid="{ADA064C0-7F5B-4FA7-95EA-7ED1D8D5C73A}"/>
    <cellStyle name="Style 110 3 2 5" xfId="8590" xr:uid="{8E860999-20DE-4B13-AFE0-931FC63EEDAD}"/>
    <cellStyle name="Style 110 3 3" xfId="820" xr:uid="{83EC0C37-044A-4B8C-AC10-40FE716DCE15}"/>
    <cellStyle name="Style 110 3 3 2" xfId="821" xr:uid="{522231CA-C1D0-4168-B17E-C016E20CC153}"/>
    <cellStyle name="Style 110 3 3 2 2" xfId="822" xr:uid="{130F3C51-D3B6-4BAD-A7C9-7F68EA874773}"/>
    <cellStyle name="Style 110 3 3 2 2 2" xfId="823" xr:uid="{DCF33206-FF35-45DA-A75D-538AACE0D131}"/>
    <cellStyle name="Style 110 3 3 2 2 2 2" xfId="8591" xr:uid="{2BAE6AA6-64B3-43B7-9621-65EF61BD5316}"/>
    <cellStyle name="Style 110 3 3 2 2 3" xfId="8592" xr:uid="{D2FF0138-7D73-452F-94CD-2F47E3A756F1}"/>
    <cellStyle name="Style 110 3 3 2 3" xfId="824" xr:uid="{CAF9C0BE-6BE6-4CFF-BD3D-89E3FD78E21C}"/>
    <cellStyle name="Style 110 3 3 2 3 2" xfId="8593" xr:uid="{3F27B29B-3C6F-47A3-90DB-677A52A7B723}"/>
    <cellStyle name="Style 110 3 3 2 4" xfId="8594" xr:uid="{4E9802A2-19CC-40DE-86C6-31F1665BEF29}"/>
    <cellStyle name="Style 110 3 3 3" xfId="825" xr:uid="{B308BA5F-7A2F-4645-96EA-3ECABAF852D8}"/>
    <cellStyle name="Style 110 3 3 3 2" xfId="8595" xr:uid="{7079A70F-140B-4FC0-A765-386AD9A5C9CA}"/>
    <cellStyle name="Style 110 3 3 4" xfId="5116" xr:uid="{F2DDC6BC-6D7E-4AE1-AB21-A18D02825EC8}"/>
    <cellStyle name="Style 110 3 3 5" xfId="8596" xr:uid="{45E64A1D-39C0-427D-A3D9-B627AFB6A244}"/>
    <cellStyle name="Style 110 3 4" xfId="826" xr:uid="{8B063BD5-1776-41A8-93F9-7AB9BFCF49AC}"/>
    <cellStyle name="Style 110 3 4 2" xfId="827" xr:uid="{E0F60CBF-9106-4B84-931A-3AFD47310D4A}"/>
    <cellStyle name="Style 110 3 4 2 2" xfId="8597" xr:uid="{E4EDE2F0-53A7-41A7-B02A-114AFDD5E52A}"/>
    <cellStyle name="Style 110 3 4 3" xfId="8598" xr:uid="{FC58900C-3696-4887-8ED3-FC66C1A90561}"/>
    <cellStyle name="Style 110 3 5" xfId="828" xr:uid="{10BF0567-0212-444A-9004-D41FDA417B3B}"/>
    <cellStyle name="Style 110 3 5 2" xfId="8599" xr:uid="{01C45062-EED5-4E35-A698-913F6FF559E6}"/>
    <cellStyle name="Style 110 3 6" xfId="8600" xr:uid="{8C2A513E-DADA-442F-B0FB-F5C096580A83}"/>
    <cellStyle name="Style 110 4" xfId="829" xr:uid="{FDBF1E5D-54C2-486B-A439-BAE4AA97CE7D}"/>
    <cellStyle name="Style 110 4 2" xfId="830" xr:uid="{688E0F9F-F46E-4376-AED8-79042D6E4F15}"/>
    <cellStyle name="Style 110 4 2 2" xfId="831" xr:uid="{56F27FD5-2ED5-44AE-A367-88ACA3ACB55F}"/>
    <cellStyle name="Style 110 4 2 2 2" xfId="832" xr:uid="{0E2ED624-2A9B-4B70-85CE-B6B9C9B74DAB}"/>
    <cellStyle name="Style 110 4 2 2 2 2" xfId="8601" xr:uid="{C414C306-CF17-4694-9107-AD38E15966F9}"/>
    <cellStyle name="Style 110 4 2 2 3" xfId="8602" xr:uid="{A57266EC-4100-4A3E-8611-189A69294409}"/>
    <cellStyle name="Style 110 4 2 3" xfId="833" xr:uid="{B06547C2-1E9B-4877-9688-EE8434FEE172}"/>
    <cellStyle name="Style 110 4 2 3 2" xfId="8603" xr:uid="{813CE693-1D4D-4A0A-B18D-A6B76104C31E}"/>
    <cellStyle name="Style 110 4 2 4" xfId="8604" xr:uid="{E0D3E7F0-4BBD-47FA-8EF0-435A7A33BA41}"/>
    <cellStyle name="Style 110 4 3" xfId="834" xr:uid="{784C9C7B-091A-41DE-AA02-D3BD5E7F9505}"/>
    <cellStyle name="Style 110 4 3 2" xfId="8605" xr:uid="{1175AB35-C699-4914-ACE5-2CC977F134C4}"/>
    <cellStyle name="Style 110 4 4" xfId="5117" xr:uid="{D3B6F737-38A1-4D39-A997-F69F4C92FD0A}"/>
    <cellStyle name="Style 110 4 5" xfId="8606" xr:uid="{2368D5B8-47E4-439A-A5CE-4DC0A41925E5}"/>
    <cellStyle name="Style 110 5" xfId="835" xr:uid="{12E2FC41-FE36-47A2-A3AB-2BD48E0243B5}"/>
    <cellStyle name="Style 110 5 2" xfId="836" xr:uid="{1172F1A2-BED7-441F-A1BC-3527FB09A20C}"/>
    <cellStyle name="Style 110 5 2 2" xfId="8607" xr:uid="{AE207E4C-2FC7-4E42-BC69-9EFDC707AF1C}"/>
    <cellStyle name="Style 110 5 3" xfId="8608" xr:uid="{15DE45BC-CE89-4130-9DC4-A498228F9C04}"/>
    <cellStyle name="Style 110 6" xfId="837" xr:uid="{0A433F8C-8F41-41BB-B4D0-07CBFB75E028}"/>
    <cellStyle name="Style 110 6 2" xfId="4061" xr:uid="{733212FC-A2A4-49E8-880F-B5972629AA5A}"/>
    <cellStyle name="Style 110 6 2 2" xfId="5118" xr:uid="{7EF6A3A4-AC00-494A-9D4B-A80C37EA8308}"/>
    <cellStyle name="Style 110 6 3" xfId="8609" xr:uid="{DE606AB1-51F5-4FC8-B2CF-D4DB94E632B1}"/>
    <cellStyle name="Style 110 7" xfId="4060" xr:uid="{22E363B1-EE8C-4AB3-9626-4762CEF08DAA}"/>
    <cellStyle name="Style 110 7 2" xfId="5120" xr:uid="{9B76D1CB-C571-4301-9158-CFDED1D0C281}"/>
    <cellStyle name="Style 110 7 3" xfId="5119" xr:uid="{A830CA50-F6A1-4CF5-BDE3-B4FF0D5C3C60}"/>
    <cellStyle name="Style 110 8" xfId="5121" xr:uid="{4674CD07-290A-4C56-A621-C3D00F101658}"/>
    <cellStyle name="Style 110 9" xfId="8610" xr:uid="{F731F014-CDC1-4D18-9838-30C4B7339161}"/>
    <cellStyle name="Style 110 9 2" xfId="26518" xr:uid="{1D9D148E-BB0E-406D-AE1A-D3B6BD07ED7A}"/>
    <cellStyle name="Style 110_ADDON" xfId="7959" xr:uid="{ADA3022C-9F8A-4B9E-A335-1356260B0CBE}"/>
    <cellStyle name="Style 114" xfId="838" xr:uid="{228FFE4A-6BD8-408B-9445-DDF896A73781}"/>
    <cellStyle name="Style 114 10" xfId="839" xr:uid="{12FC108C-359F-46DB-8754-167320B8ACD6}"/>
    <cellStyle name="Style 114 10 2" xfId="840" xr:uid="{8A9E59AB-87C7-4D4B-9A24-F304166C819A}"/>
    <cellStyle name="Style 114 10 2 2" xfId="5122" xr:uid="{7203FD81-F1DA-4E76-A21F-BF464DCBCFE1}"/>
    <cellStyle name="Style 114 10 2 2 2" xfId="27049" xr:uid="{2CE0A30D-205D-4EED-A57C-989B8AB55F70}"/>
    <cellStyle name="Style 114 10 2 3" xfId="24373" xr:uid="{B5E2C4F0-4C9A-4F6A-B41B-59F5BD562121}"/>
    <cellStyle name="Style 114 10 3" xfId="4062" xr:uid="{4E9C0921-2A66-46C3-B01F-8361BC9F482D}"/>
    <cellStyle name="Style 114 10 3 2" xfId="27048" xr:uid="{2377254C-94F8-46C6-BF79-FDB1870E8C79}"/>
    <cellStyle name="Style 114 10 4" xfId="22583" xr:uid="{784758EA-5DA8-4EC2-9C2C-1BBDE74C7095}"/>
    <cellStyle name="Style 114 11" xfId="841" xr:uid="{382AB8A8-B1BB-4DF0-BD5F-4C974479F105}"/>
    <cellStyle name="Style 114 11 2" xfId="842" xr:uid="{4D52BA22-685A-479B-BC95-2B40574781B9}"/>
    <cellStyle name="Style 114 11 2 2" xfId="5124" xr:uid="{B68E1013-467E-4A76-877C-B678C98CB337}"/>
    <cellStyle name="Style 114 11 2 2 2" xfId="27051" xr:uid="{D8801E4A-3AF7-45A2-92C1-9D52FE4E0991}"/>
    <cellStyle name="Style 114 11 2 3" xfId="24374" xr:uid="{FA0FFC97-1A61-44DF-B13E-FA80B6835B77}"/>
    <cellStyle name="Style 114 11 3" xfId="5123" xr:uid="{0D6018EF-4968-46C5-B0BC-88A27BBD7057}"/>
    <cellStyle name="Style 114 11 3 2" xfId="27050" xr:uid="{C93AF975-5C1D-42AD-B6B5-93EB16AE6537}"/>
    <cellStyle name="Style 114 11 4" xfId="22584" xr:uid="{3F928FB4-183A-4349-9519-BAF50D7D1D4A}"/>
    <cellStyle name="Style 114 12" xfId="843" xr:uid="{82E91784-DA7A-411A-B631-4F205EAA17F4}"/>
    <cellStyle name="Style 114 12 2" xfId="5125" xr:uid="{B2A182EC-A610-42D7-8CF9-806A840F77FC}"/>
    <cellStyle name="Style 114 12 2 2" xfId="27052" xr:uid="{369A3689-B010-4723-A35A-359FC88C7601}"/>
    <cellStyle name="Style 114 12 3" xfId="8611" xr:uid="{AE02D776-D88B-4682-B165-915DD10DFFC7}"/>
    <cellStyle name="Style 114 12 3 2" xfId="28814" xr:uid="{FE4DCE16-E7CE-4060-8498-80E5B012750D}"/>
    <cellStyle name="Style 114 12 4" xfId="8612" xr:uid="{A9B7920F-2E31-4352-8F94-99B9E1AA594F}"/>
    <cellStyle name="Style 114 12 4 2" xfId="28815" xr:uid="{0A94CA53-D4F3-4EA6-B562-4A5BF0428B42}"/>
    <cellStyle name="Style 114 12 5" xfId="8613" xr:uid="{6CFBD48B-785B-46BF-842B-265BEFCC59F7}"/>
    <cellStyle name="Style 114 12 5 2" xfId="28816" xr:uid="{3F4F7A31-4595-467C-8C9E-7FCAEEBAB730}"/>
    <cellStyle name="Style 114 12 6" xfId="8614" xr:uid="{298357E1-AE4F-4248-967B-ADDF663B300E}"/>
    <cellStyle name="Style 114 12 6 2" xfId="28817" xr:uid="{C74F7468-DB37-464C-805C-5EFAD5C9F7F1}"/>
    <cellStyle name="Style 114 12 7" xfId="24375" xr:uid="{800A5473-7D95-462E-B2F6-13FEDF2BE2EC}"/>
    <cellStyle name="Style 114 13" xfId="8615" xr:uid="{199D3999-0931-4C4A-80F0-631663B4EEEA}"/>
    <cellStyle name="Style 114 13 2" xfId="8616" xr:uid="{5DF7DB38-B75B-4263-A505-1BD771ADD627}"/>
    <cellStyle name="Style 114 13 2 2" xfId="28818" xr:uid="{A0DCECAE-F652-44D8-94FE-FD485D51AA7C}"/>
    <cellStyle name="Style 114 13 3" xfId="8617" xr:uid="{69A8F533-6615-4538-8045-2D63D0C2751B}"/>
    <cellStyle name="Style 114 13 3 2" xfId="28819" xr:uid="{A756F4AB-99BE-45D9-8299-5D31CC46B42B}"/>
    <cellStyle name="Style 114 13 4" xfId="26519" xr:uid="{3855167D-5A7E-4F57-9DC2-35AE9630494C}"/>
    <cellStyle name="Style 114 14" xfId="8618" xr:uid="{DFBE3505-EA00-4A25-80CE-17FED1641454}"/>
    <cellStyle name="Style 114 14 2" xfId="8619" xr:uid="{F7E93F23-20A1-43F8-8A7F-49CB1C01BDAA}"/>
    <cellStyle name="Style 114 14 2 2" xfId="28821" xr:uid="{6F5DDF3C-49DC-45C5-9FA2-AFAF826C6044}"/>
    <cellStyle name="Style 114 14 3" xfId="28820" xr:uid="{FA2F42E0-982A-49F4-B997-FC9EF6A033AB}"/>
    <cellStyle name="Style 114 15" xfId="8620" xr:uid="{FDA60F9C-BBC6-4313-8DDB-168990F600C4}"/>
    <cellStyle name="Style 114 15 2" xfId="8621" xr:uid="{0DD79CF1-05DD-487C-ACF4-C5D28BA4CB01}"/>
    <cellStyle name="Style 114 15 2 2" xfId="28823" xr:uid="{6D479652-294F-429D-82C1-79FC1D76F4AB}"/>
    <cellStyle name="Style 114 15 3" xfId="28822" xr:uid="{99843791-2FD9-4078-9F7E-D42C45EB5CE9}"/>
    <cellStyle name="Style 114 16" xfId="22582" xr:uid="{4747943F-7823-4FB5-A222-30CD5B5B0E53}"/>
    <cellStyle name="Style 114 2" xfId="844" xr:uid="{BA263B7E-B4FB-49B4-BE69-455003A2ADBD}"/>
    <cellStyle name="Style 114 2 2" xfId="4330" xr:uid="{46EE30BD-BFEC-45CA-B55F-47CC9D2110C9}"/>
    <cellStyle name="Style 114 2 2 2" xfId="26520" xr:uid="{2FF4EBA3-A954-49DF-A18F-7A1FAE4D1E8D}"/>
    <cellStyle name="Style 114 2 3" xfId="22585" xr:uid="{1DEE7631-A741-462A-A4F2-4AAF07EBD51B}"/>
    <cellStyle name="Style 114 3" xfId="845" xr:uid="{852FFCD4-2681-467B-B0B3-9E52785273C3}"/>
    <cellStyle name="Style 114 3 2" xfId="846" xr:uid="{6285DF06-0FE2-49D3-BA33-B4204CFF84D0}"/>
    <cellStyle name="Style 114 3 2 2" xfId="847" xr:uid="{4C4398A1-F5A6-48F6-AF1F-940E03A4F6C9}"/>
    <cellStyle name="Style 114 3 2 2 2" xfId="5126" xr:uid="{BADC0E2E-45E5-4291-8CF9-5D71B08BEE2B}"/>
    <cellStyle name="Style 114 3 2 2 2 2" xfId="27053" xr:uid="{383B15AD-4C48-4C65-AF59-403CF87BDC22}"/>
    <cellStyle name="Style 114 3 2 2 3" xfId="22588" xr:uid="{AE85085D-FD0C-49DA-80A2-9A99924B08C4}"/>
    <cellStyle name="Style 114 3 2 3" xfId="4332" xr:uid="{A313E8E1-41A0-4357-B59E-7C497408FE37}"/>
    <cellStyle name="Style 114 3 2 3 2" xfId="26522" xr:uid="{8E572427-BA50-45A7-B2F6-FB8750BF7BF7}"/>
    <cellStyle name="Style 114 3 2 4" xfId="22587" xr:uid="{98D5A616-19FE-495A-A11D-A5F37622099C}"/>
    <cellStyle name="Style 114 3 3" xfId="848" xr:uid="{A8F8AC5F-0F25-4690-9227-C179B4A3E19F}"/>
    <cellStyle name="Style 114 3 3 2" xfId="849" xr:uid="{22D25F2D-4E12-4B9D-AE37-4ACC0B3FFEEA}"/>
    <cellStyle name="Style 114 3 3 2 2" xfId="5128" xr:uid="{9CDD970A-C00D-4F97-BF85-2FF66B42BCF8}"/>
    <cellStyle name="Style 114 3 3 2 2 2" xfId="27055" xr:uid="{AE4F48D1-1CF7-4E26-955D-14EF9277FD4F}"/>
    <cellStyle name="Style 114 3 3 2 3" xfId="22590" xr:uid="{C8DDDDA1-5304-4ADD-8FCA-E2BEAFA6E069}"/>
    <cellStyle name="Style 114 3 3 3" xfId="850" xr:uid="{EEC0CBFD-D7BD-4576-9FE7-D11FA23AD734}"/>
    <cellStyle name="Style 114 3 3 3 2" xfId="851" xr:uid="{05DEEC03-5F37-4350-8CC8-E91EC9AD79E1}"/>
    <cellStyle name="Style 114 3 3 3 2 2" xfId="5130" xr:uid="{DB7C8359-9378-458E-81B8-A884B0ED85D2}"/>
    <cellStyle name="Style 114 3 3 3 2 2 2" xfId="27057" xr:uid="{7E03F24F-E1EF-45E3-955B-FBF27A7EF218}"/>
    <cellStyle name="Style 114 3 3 3 2 3" xfId="22592" xr:uid="{C2059F6B-3E26-4C00-B577-84FA238189E1}"/>
    <cellStyle name="Style 114 3 3 3 3" xfId="5131" xr:uid="{0DAE65A7-7E49-423C-A730-99FE3337A6E5}"/>
    <cellStyle name="Style 114 3 3 3 3 2" xfId="22593" xr:uid="{E83128D8-E989-44B3-9EB1-5313FCDC73B1}"/>
    <cellStyle name="Style 114 3 3 3 4" xfId="5132" xr:uid="{7F029B88-4527-4443-A14D-85AB7787D43C}"/>
    <cellStyle name="Style 114 3 3 3 4 2" xfId="24376" xr:uid="{6AF9896E-03B2-45E9-9F0A-C0E20DB5DFFF}"/>
    <cellStyle name="Style 114 3 3 3 5" xfId="5129" xr:uid="{975580AE-05E6-47CD-8A81-2DAE32A47638}"/>
    <cellStyle name="Style 114 3 3 3 5 2" xfId="27056" xr:uid="{E27AE9F1-F14A-4E6D-A440-E94C4B117571}"/>
    <cellStyle name="Style 114 3 3 3 6" xfId="22591" xr:uid="{38FCC0E9-D3CF-4A8E-B36F-3CC67FC89FEC}"/>
    <cellStyle name="Style 114 3 3 4" xfId="852" xr:uid="{BB83DBCF-A3A2-4816-A10A-6D403DB1E57B}"/>
    <cellStyle name="Style 114 3 3 4 2" xfId="853" xr:uid="{5B24C7F0-DBE2-4FA5-8934-A95D2FE4792E}"/>
    <cellStyle name="Style 114 3 3 4 2 2" xfId="5134" xr:uid="{25532643-69B0-4E64-914D-5706466DE035}"/>
    <cellStyle name="Style 114 3 3 4 2 2 2" xfId="27059" xr:uid="{FBC31620-E370-49CD-9BB3-115971B40C10}"/>
    <cellStyle name="Style 114 3 3 4 2 3" xfId="22595" xr:uid="{F07742B5-965D-4515-834D-EC71ACA4D841}"/>
    <cellStyle name="Style 114 3 3 4 3" xfId="5133" xr:uid="{3240CA27-D3F2-4678-AC36-6C93776D2999}"/>
    <cellStyle name="Style 114 3 3 4 3 2" xfId="27058" xr:uid="{56AD002A-DBB5-4727-A3D2-C93EC996629F}"/>
    <cellStyle name="Style 114 3 3 4 4" xfId="22594" xr:uid="{A497564A-DF06-4215-943E-2E48A4B4F151}"/>
    <cellStyle name="Style 114 3 3 5" xfId="5135" xr:uid="{66B26421-B851-453D-ADCE-D197443223FD}"/>
    <cellStyle name="Style 114 3 3 5 2" xfId="24377" xr:uid="{80293ACB-AF1D-4C75-9CF3-E95D337605A6}"/>
    <cellStyle name="Style 114 3 3 6" xfId="5127" xr:uid="{D7EB1170-6751-4481-A219-E930339C2402}"/>
    <cellStyle name="Style 114 3 3 6 2" xfId="27054" xr:uid="{B0F04A4D-5355-424F-83A5-23B325D58D14}"/>
    <cellStyle name="Style 114 3 3 7" xfId="22589" xr:uid="{35BDAC88-935E-4A8D-A455-725BCE67A74F}"/>
    <cellStyle name="Style 114 3 4" xfId="854" xr:uid="{56A512AF-6338-4993-9239-360DE8B05222}"/>
    <cellStyle name="Style 114 3 4 2" xfId="5137" xr:uid="{74A87A76-9D3F-4BB5-938A-64FEAC109B5E}"/>
    <cellStyle name="Style 114 3 4 2 2" xfId="22597" xr:uid="{CE0605D7-CFE7-4CB9-BEF7-E5DC833C7D3C}"/>
    <cellStyle name="Style 114 3 4 3" xfId="5138" xr:uid="{0DBB5DFF-2DB5-4960-924A-151238C96829}"/>
    <cellStyle name="Style 114 3 4 3 2" xfId="24378" xr:uid="{2C827158-ECD3-494C-8C7A-723D55ADA099}"/>
    <cellStyle name="Style 114 3 4 4" xfId="5136" xr:uid="{391FC33F-DCAF-4676-9CB5-940D6A5458C9}"/>
    <cellStyle name="Style 114 3 4 4 2" xfId="27060" xr:uid="{D113401D-55E6-4904-9601-0CB27B636191}"/>
    <cellStyle name="Style 114 3 4 5" xfId="22596" xr:uid="{41C581D3-17D3-4586-A01F-140F5D2728A8}"/>
    <cellStyle name="Style 114 3 5" xfId="5139" xr:uid="{1A999C12-2514-44CD-B2E4-20040C0C8C4E}"/>
    <cellStyle name="Style 114 3 5 2" xfId="8622" xr:uid="{CACFD2AA-1956-43A8-8F26-4F634CDFECC6}"/>
    <cellStyle name="Style 114 3 5 2 2" xfId="27061" xr:uid="{CE62E71C-BB55-4994-B99C-C8EE65487B0E}"/>
    <cellStyle name="Style 114 3 5 3" xfId="22598" xr:uid="{1C1A3FAF-D429-49AC-82F8-406185772258}"/>
    <cellStyle name="Style 114 3 6" xfId="4331" xr:uid="{449BEA10-49FE-4CD8-B111-5E3C040096E1}"/>
    <cellStyle name="Style 114 3 6 2" xfId="26521" xr:uid="{ABEB87FC-D298-49E4-A82B-23E575CCCE9E}"/>
    <cellStyle name="Style 114 3 7" xfId="22586" xr:uid="{1FDBB87F-63AA-4FE2-B7C9-A5134782F6AE}"/>
    <cellStyle name="Style 114 4" xfId="855" xr:uid="{C213EB01-87B1-420A-9465-B973BADE031C}"/>
    <cellStyle name="Style 114 4 2" xfId="856" xr:uid="{EE0969A6-DD3D-4E29-8099-3E75EBE3B824}"/>
    <cellStyle name="Style 114 4 2 2" xfId="857" xr:uid="{C25E5285-FF83-4D3E-8EF6-FE89DD3F03DD}"/>
    <cellStyle name="Style 114 4 2 2 2" xfId="5142" xr:uid="{58350E63-FE65-41C9-AFF2-5C0EC1D69ED5}"/>
    <cellStyle name="Style 114 4 2 2 2 2" xfId="27063" xr:uid="{6BCA41AE-4660-49FA-8C16-62CCACC26BB0}"/>
    <cellStyle name="Style 114 4 2 2 3" xfId="22601" xr:uid="{DCAB6828-6C43-4BF6-9C7A-2A6BD9A8D27D}"/>
    <cellStyle name="Style 114 4 2 3" xfId="858" xr:uid="{640A173D-7A15-4CD7-A900-6069690FE46A}"/>
    <cellStyle name="Style 114 4 2 3 2" xfId="859" xr:uid="{492C4C42-FF9E-4061-8F53-8A092025DC3B}"/>
    <cellStyle name="Style 114 4 2 3 2 2" xfId="5144" xr:uid="{F24D0B8C-72E8-4CAA-BFCA-F758E8E777C5}"/>
    <cellStyle name="Style 114 4 2 3 2 2 2" xfId="27065" xr:uid="{7CADD33B-DE10-45AE-B631-E1B8E8221FBB}"/>
    <cellStyle name="Style 114 4 2 3 2 3" xfId="22603" xr:uid="{3043467A-07CE-4291-ACFD-A99D9533537B}"/>
    <cellStyle name="Style 114 4 2 3 3" xfId="5145" xr:uid="{DBED633D-AB9A-41BD-A689-CDDFE51667DB}"/>
    <cellStyle name="Style 114 4 2 3 3 2" xfId="22604" xr:uid="{7EE40D29-6522-42D1-A89E-95BF7327D42E}"/>
    <cellStyle name="Style 114 4 2 3 4" xfId="5146" xr:uid="{9345A324-5EC9-4E37-95E6-0EFB1983727B}"/>
    <cellStyle name="Style 114 4 2 3 4 2" xfId="24379" xr:uid="{EFF03F12-15FC-4F78-A730-0EE41E69E93B}"/>
    <cellStyle name="Style 114 4 2 3 5" xfId="5143" xr:uid="{B2BFA5AD-B587-4974-B52D-CF9C9305AA76}"/>
    <cellStyle name="Style 114 4 2 3 5 2" xfId="27064" xr:uid="{04879E2E-12C0-4D01-82B0-238A066D6CB5}"/>
    <cellStyle name="Style 114 4 2 3 6" xfId="22602" xr:uid="{424214ED-A456-404C-9FE5-6297E0F2B429}"/>
    <cellStyle name="Style 114 4 2 4" xfId="860" xr:uid="{01887BF4-00A5-4514-86A9-79757322A18E}"/>
    <cellStyle name="Style 114 4 2 4 2" xfId="861" xr:uid="{08F56952-E89C-4F17-8CE9-2956EB8A0724}"/>
    <cellStyle name="Style 114 4 2 4 2 2" xfId="5148" xr:uid="{8FD20C2E-002B-4A6C-89A1-4CB8903AFEC5}"/>
    <cellStyle name="Style 114 4 2 4 2 2 2" xfId="27067" xr:uid="{2FE06FA7-4C84-4E39-A2E1-04C4F37D59AF}"/>
    <cellStyle name="Style 114 4 2 4 2 3" xfId="22606" xr:uid="{387C126E-8818-4024-82D3-3A74EA0ABB8B}"/>
    <cellStyle name="Style 114 4 2 4 3" xfId="5147" xr:uid="{2D7F8BD5-B968-4399-8D01-48759F9970BF}"/>
    <cellStyle name="Style 114 4 2 4 3 2" xfId="27066" xr:uid="{0E412210-48DB-43CF-A19C-8B8FF1DB418E}"/>
    <cellStyle name="Style 114 4 2 4 4" xfId="22605" xr:uid="{0BA72702-748E-4CED-80D7-B79B12BAF880}"/>
    <cellStyle name="Style 114 4 2 5" xfId="5149" xr:uid="{DDD98920-3C42-455A-B78A-B95888208EA6}"/>
    <cellStyle name="Style 114 4 2 5 2" xfId="24380" xr:uid="{78C75D00-09C1-4463-A06C-0552E9C42464}"/>
    <cellStyle name="Style 114 4 2 6" xfId="5141" xr:uid="{4F3C311B-97E9-44DB-80ED-AD8B680C37F6}"/>
    <cellStyle name="Style 114 4 2 6 2" xfId="27062" xr:uid="{08B7DEA4-5564-4C73-AD75-6785BC278931}"/>
    <cellStyle name="Style 114 4 2 7" xfId="22600" xr:uid="{36539672-9946-4A20-A87E-6FF74AE81302}"/>
    <cellStyle name="Style 114 4 3" xfId="862" xr:uid="{2931DF47-ADB5-420C-B48D-70CA6BDA3F62}"/>
    <cellStyle name="Style 114 4 3 2" xfId="5150" xr:uid="{1AF95915-40C2-497C-B166-BE5C38860C0A}"/>
    <cellStyle name="Style 114 4 3 2 2" xfId="27068" xr:uid="{13E855BF-CBBB-4A1D-9C3B-7AF55E8A1E83}"/>
    <cellStyle name="Style 114 4 3 3" xfId="22607" xr:uid="{E49176EF-17EE-4880-AD52-CF78C89E99EF}"/>
    <cellStyle name="Style 114 4 4" xfId="5151" xr:uid="{898C16BC-DD99-423B-BA81-0525BC1CC84D}"/>
    <cellStyle name="Style 114 4 4 2" xfId="5152" xr:uid="{E99F376D-1342-4A12-B3BA-A7ACADF5A38A}"/>
    <cellStyle name="Style 114 4 4 2 2" xfId="24381" xr:uid="{BD9466E6-8DB5-41C0-AB06-A081BF5EEFEF}"/>
    <cellStyle name="Style 114 4 4 3" xfId="22608" xr:uid="{D408416D-7142-4222-B63E-0F4EFC9BF62C}"/>
    <cellStyle name="Style 114 4 5" xfId="5140" xr:uid="{C4E1C9CC-1183-43BC-BF90-319539FA460F}"/>
    <cellStyle name="Style 114 4 5 2" xfId="25917" xr:uid="{B8EF729E-3AA7-4898-8D3D-A08FB1E2FBC0}"/>
    <cellStyle name="Style 114 4 6" xfId="4333" xr:uid="{F60C6BF0-82DC-40DC-B7FA-BF2FFADFE792}"/>
    <cellStyle name="Style 114 4 6 2" xfId="26523" xr:uid="{6E5C870E-35FB-4B9B-97C5-A0C133F7972E}"/>
    <cellStyle name="Style 114 4 7" xfId="22599" xr:uid="{4B8FB048-0C3A-4192-859E-7ECE660AEA13}"/>
    <cellStyle name="Style 114 5" xfId="863" xr:uid="{6C86508C-657F-42F8-97D0-243B72C16106}"/>
    <cellStyle name="Style 114 5 2" xfId="864" xr:uid="{04D6CB92-FD56-425B-AAC8-9D20EF65D1CE}"/>
    <cellStyle name="Style 114 5 2 2" xfId="865" xr:uid="{426C4EFE-9F99-4869-B3D1-6942509A83BD}"/>
    <cellStyle name="Style 114 5 2 2 2" xfId="5155" xr:uid="{B8A8106D-5A37-4C2F-AD9B-5CC5AD5A13CC}"/>
    <cellStyle name="Style 114 5 2 2 2 2" xfId="27070" xr:uid="{E0C171AA-2794-4CCE-9F61-3DE95667384C}"/>
    <cellStyle name="Style 114 5 2 2 3" xfId="22611" xr:uid="{5F4AC3B4-835B-4303-89F4-D89669D4A442}"/>
    <cellStyle name="Style 114 5 2 3" xfId="866" xr:uid="{4B75D31D-8F60-4E2E-8CC5-222176399618}"/>
    <cellStyle name="Style 114 5 2 3 2" xfId="867" xr:uid="{46125FBF-9C5B-4B3E-9BF5-9E89481A1D01}"/>
    <cellStyle name="Style 114 5 2 3 2 2" xfId="5157" xr:uid="{45BEEA04-E857-4D3A-8965-F73A42A91348}"/>
    <cellStyle name="Style 114 5 2 3 2 2 2" xfId="27072" xr:uid="{E5EA113F-6044-4420-B246-ABE73698C7F6}"/>
    <cellStyle name="Style 114 5 2 3 2 3" xfId="22613" xr:uid="{81004E06-BDF7-4451-8F0A-E1837D5F5FA6}"/>
    <cellStyle name="Style 114 5 2 3 3" xfId="5158" xr:uid="{836F0249-EFE0-4DEA-A019-DC9F1F260A0B}"/>
    <cellStyle name="Style 114 5 2 3 3 2" xfId="22614" xr:uid="{745247D3-1179-4201-867E-BFCA8E4DD512}"/>
    <cellStyle name="Style 114 5 2 3 4" xfId="5159" xr:uid="{9D015555-AA91-43E8-A1DB-6BD5F9664CF1}"/>
    <cellStyle name="Style 114 5 2 3 4 2" xfId="24382" xr:uid="{0A7A8F54-34FF-4B74-94DD-BE49690249B5}"/>
    <cellStyle name="Style 114 5 2 3 5" xfId="5156" xr:uid="{3EA04566-58C7-4234-82E2-11B9FC3C3B23}"/>
    <cellStyle name="Style 114 5 2 3 5 2" xfId="27071" xr:uid="{A0FCFA19-FC61-49B1-A036-4B7A12C2626E}"/>
    <cellStyle name="Style 114 5 2 3 6" xfId="22612" xr:uid="{97C17783-2EB5-4646-9488-D8D00E4AF7C5}"/>
    <cellStyle name="Style 114 5 2 4" xfId="868" xr:uid="{10658862-E6B7-4525-8D6B-3AF9519AD282}"/>
    <cellStyle name="Style 114 5 2 4 2" xfId="869" xr:uid="{CF87C876-E063-45CE-9B13-52852EDACFDC}"/>
    <cellStyle name="Style 114 5 2 4 2 2" xfId="5161" xr:uid="{49B9AC3C-E871-4C22-9061-8F4772D20712}"/>
    <cellStyle name="Style 114 5 2 4 2 2 2" xfId="27074" xr:uid="{82ED104A-5AB9-4655-977A-538126A33DC9}"/>
    <cellStyle name="Style 114 5 2 4 2 3" xfId="22616" xr:uid="{5F618B3D-45DF-44EF-A3CF-DD2B1F58A3D2}"/>
    <cellStyle name="Style 114 5 2 4 3" xfId="5160" xr:uid="{0DC4BF31-35F6-4267-BB4F-46758C718F45}"/>
    <cellStyle name="Style 114 5 2 4 3 2" xfId="27073" xr:uid="{D8E07EC5-9FDC-45AB-8FB8-8FC9774F8991}"/>
    <cellStyle name="Style 114 5 2 4 4" xfId="22615" xr:uid="{432E121E-16C9-4D4A-B4FB-01E707F736AB}"/>
    <cellStyle name="Style 114 5 2 5" xfId="5162" xr:uid="{051B8C1A-0939-4A97-81C3-45A28342CBD9}"/>
    <cellStyle name="Style 114 5 2 5 2" xfId="24383" xr:uid="{2DC1D0BB-5811-4BD4-A2E6-5D5189A9E0C3}"/>
    <cellStyle name="Style 114 5 2 6" xfId="5154" xr:uid="{21B33C94-E50C-4F35-9701-037EF413CEC0}"/>
    <cellStyle name="Style 114 5 2 6 2" xfId="27069" xr:uid="{D9A965B7-C272-4D3B-9EC8-A67A909FAF76}"/>
    <cellStyle name="Style 114 5 2 7" xfId="22610" xr:uid="{5A60153C-47B5-4E76-BFA8-405910D758DB}"/>
    <cellStyle name="Style 114 5 3" xfId="870" xr:uid="{E486EAA6-BEF7-4709-823A-CC7D7937C632}"/>
    <cellStyle name="Style 114 5 3 2" xfId="5163" xr:uid="{A621848E-8860-4862-8D3A-639FEE60490A}"/>
    <cellStyle name="Style 114 5 3 2 2" xfId="27075" xr:uid="{A101E2C5-0BF1-41AA-8346-72214465F9B6}"/>
    <cellStyle name="Style 114 5 3 3" xfId="22617" xr:uid="{F19A48F0-4B36-4B54-A8E2-69439935D23B}"/>
    <cellStyle name="Style 114 5 4" xfId="5164" xr:uid="{7111F5F3-6C7E-41E0-A5EE-DB815E8807D8}"/>
    <cellStyle name="Style 114 5 4 2" xfId="5165" xr:uid="{EB06B1C6-FCD2-444D-9B15-CB3D118BE617}"/>
    <cellStyle name="Style 114 5 4 2 2" xfId="24384" xr:uid="{88F12210-87BA-4D38-A834-C63DC841917E}"/>
    <cellStyle name="Style 114 5 4 3" xfId="22618" xr:uid="{5F331A69-AACA-4F80-8ADB-47E875578F6F}"/>
    <cellStyle name="Style 114 5 5" xfId="5153" xr:uid="{CC581A1B-A958-415C-A3A5-80F47631E184}"/>
    <cellStyle name="Style 114 5 5 2" xfId="25918" xr:uid="{FA63D291-F53E-4EE5-94DD-594628C59E86}"/>
    <cellStyle name="Style 114 5 6" xfId="4334" xr:uid="{C0DBD9AB-0686-49C8-9A67-83BA1A79004A}"/>
    <cellStyle name="Style 114 5 6 2" xfId="26524" xr:uid="{1BF733ED-6EE1-4654-AAA8-7AFBB719A6FB}"/>
    <cellStyle name="Style 114 5 7" xfId="22609" xr:uid="{592BFC96-E60E-461B-82AD-A8580268979C}"/>
    <cellStyle name="Style 114 6" xfId="871" xr:uid="{88362363-FA0A-4B36-9ABA-52C9D162CA1F}"/>
    <cellStyle name="Style 114 6 2" xfId="872" xr:uid="{D6492224-CD4D-4958-92DD-4E067E44C562}"/>
    <cellStyle name="Style 114 6 2 2" xfId="5167" xr:uid="{C725CB38-A1EF-4620-AA58-F0DEEE8CCA0F}"/>
    <cellStyle name="Style 114 6 2 2 2" xfId="27077" xr:uid="{66E58BBC-3528-467A-8F6C-957805192324}"/>
    <cellStyle name="Style 114 6 2 3" xfId="22620" xr:uid="{67707554-E7F5-4CE7-BEB1-4CD303EA865D}"/>
    <cellStyle name="Style 114 6 3" xfId="873" xr:uid="{E7D57690-338B-40D7-83C4-8C97E8440220}"/>
    <cellStyle name="Style 114 6 3 2" xfId="874" xr:uid="{21271A37-8290-4E96-B260-3E4EC7243414}"/>
    <cellStyle name="Style 114 6 3 2 2" xfId="5169" xr:uid="{45055DD7-13D1-4012-B63A-16771523CA46}"/>
    <cellStyle name="Style 114 6 3 2 2 2" xfId="27079" xr:uid="{67E6E822-3999-43CB-874D-CC65A4584015}"/>
    <cellStyle name="Style 114 6 3 2 3" xfId="22622" xr:uid="{FB3AD9B2-0A3B-448D-A28F-12D94ED4D3D2}"/>
    <cellStyle name="Style 114 6 3 3" xfId="5170" xr:uid="{BDAB630A-9856-4BF9-8BF1-9E5CB6DB099B}"/>
    <cellStyle name="Style 114 6 3 3 2" xfId="22623" xr:uid="{330DA2D4-18D4-4AA8-96EA-727A406EDB3D}"/>
    <cellStyle name="Style 114 6 3 4" xfId="5171" xr:uid="{095C5639-AB6E-44B9-93B6-4127A407794A}"/>
    <cellStyle name="Style 114 6 3 4 2" xfId="24385" xr:uid="{0B765B3F-9832-4ABE-9910-B6833593B23C}"/>
    <cellStyle name="Style 114 6 3 5" xfId="5168" xr:uid="{E212B6CD-DC29-437D-9767-75EED5943A3F}"/>
    <cellStyle name="Style 114 6 3 5 2" xfId="27078" xr:uid="{E029A927-31EE-4457-8C78-09C37E68B8AF}"/>
    <cellStyle name="Style 114 6 3 6" xfId="22621" xr:uid="{24376E4B-4BF6-4D70-B54F-455C8B7B1B9B}"/>
    <cellStyle name="Style 114 6 4" xfId="875" xr:uid="{D7D727C4-7D8F-40A8-A73D-840DBCDF9DAC}"/>
    <cellStyle name="Style 114 6 4 2" xfId="876" xr:uid="{3684B351-8717-42A8-992E-4C2A38F6A94F}"/>
    <cellStyle name="Style 114 6 4 2 2" xfId="5173" xr:uid="{933DD9B7-98AB-4E87-81DA-40BF823B4480}"/>
    <cellStyle name="Style 114 6 4 2 2 2" xfId="27081" xr:uid="{CD70B5C9-1E73-499B-996F-753C037DED71}"/>
    <cellStyle name="Style 114 6 4 2 3" xfId="22625" xr:uid="{19DDEE11-A2EA-439D-802F-72156E5A72C3}"/>
    <cellStyle name="Style 114 6 4 3" xfId="5172" xr:uid="{873DD67A-2A15-4AB8-BBC8-3623B3D61125}"/>
    <cellStyle name="Style 114 6 4 3 2" xfId="27080" xr:uid="{FE50ABCD-C91A-4541-8CE3-98EC4754F96A}"/>
    <cellStyle name="Style 114 6 4 4" xfId="22624" xr:uid="{CBB0D692-23E2-4430-AA33-7C6DC62E1A35}"/>
    <cellStyle name="Style 114 6 5" xfId="5174" xr:uid="{D955B7F6-176F-4F28-B907-926514780019}"/>
    <cellStyle name="Style 114 6 5 2" xfId="24386" xr:uid="{13C7E8A5-576F-42A0-B050-CDC81934EF78}"/>
    <cellStyle name="Style 114 6 6" xfId="5166" xr:uid="{24FCC7D6-0FE8-42BA-8EB7-DB07CAACE60C}"/>
    <cellStyle name="Style 114 6 6 2" xfId="27076" xr:uid="{158502DF-7783-49CC-8B4D-59FCAAB00442}"/>
    <cellStyle name="Style 114 6 7" xfId="22619" xr:uid="{817D59F1-E5F1-4BF4-8E1C-233A8ED979B8}"/>
    <cellStyle name="Style 114 7" xfId="877" xr:uid="{324B4FF2-1840-4AAA-805D-64B14A255DD1}"/>
    <cellStyle name="Style 114 7 2" xfId="878" xr:uid="{F76C45B3-FEF2-49BC-9149-251F379D604A}"/>
    <cellStyle name="Style 114 7 2 2" xfId="5176" xr:uid="{C178F2DD-F1C2-429C-851F-70A5559E5413}"/>
    <cellStyle name="Style 114 7 2 2 2" xfId="27083" xr:uid="{0379C87B-2F14-4657-8FDC-09B940A08F14}"/>
    <cellStyle name="Style 114 7 2 3" xfId="22627" xr:uid="{4925C94D-89F5-4B84-8F7D-4E779D895BE8}"/>
    <cellStyle name="Style 114 7 3" xfId="5177" xr:uid="{9E46AA42-491A-4B3A-9AF0-C4E81348D461}"/>
    <cellStyle name="Style 114 7 3 2" xfId="22628" xr:uid="{15F37F7E-8A67-4E82-9D1C-67D94A875602}"/>
    <cellStyle name="Style 114 7 4" xfId="5178" xr:uid="{43C161C7-20D2-45A2-A09E-60CDA8C33593}"/>
    <cellStyle name="Style 114 7 4 2" xfId="24387" xr:uid="{81B42498-C983-46B9-BD29-204B118E2024}"/>
    <cellStyle name="Style 114 7 5" xfId="5175" xr:uid="{2EB3696F-96A9-4567-A741-73F1D48C62BC}"/>
    <cellStyle name="Style 114 7 5 2" xfId="27082" xr:uid="{7ACDE82F-FAAD-485C-86F3-12F7A86B090E}"/>
    <cellStyle name="Style 114 7 6" xfId="22626" xr:uid="{7F49BAA4-9271-432A-92C6-5A280091AB1A}"/>
    <cellStyle name="Style 114 8" xfId="879" xr:uid="{9B76C953-BF89-4161-B1D5-F380F7B113B5}"/>
    <cellStyle name="Style 114 8 2" xfId="880" xr:uid="{93D39B8E-E404-46F0-A64E-899B07C6BDB4}"/>
    <cellStyle name="Style 114 8 2 2" xfId="5180" xr:uid="{99B6160F-F679-40EF-8B8A-9599877B079D}"/>
    <cellStyle name="Style 114 8 2 2 2" xfId="27085" xr:uid="{6CF3ABF7-0859-4FAE-866C-85BA4A44C305}"/>
    <cellStyle name="Style 114 8 2 3" xfId="22630" xr:uid="{B0494FA0-3C45-4189-B255-3425E8BC17A8}"/>
    <cellStyle name="Style 114 8 3" xfId="5181" xr:uid="{E0FC3467-0085-4B4E-8CB8-6E991C581C0C}"/>
    <cellStyle name="Style 114 8 3 2" xfId="22631" xr:uid="{0C951DA1-5CC4-4455-81E4-B1C78CA683FC}"/>
    <cellStyle name="Style 114 8 4" xfId="5182" xr:uid="{E6CA39E1-0A00-49F4-B75F-AE1D4F0C9E63}"/>
    <cellStyle name="Style 114 8 4 2" xfId="24388" xr:uid="{47252437-190C-494F-A851-F35F08A0EA07}"/>
    <cellStyle name="Style 114 8 5" xfId="5179" xr:uid="{459DB347-3BCB-4F1C-8BA6-CFD4A6382561}"/>
    <cellStyle name="Style 114 8 5 2" xfId="27084" xr:uid="{2604714B-339E-4364-8303-D7FFE208F198}"/>
    <cellStyle name="Style 114 8 6" xfId="22629" xr:uid="{780132AC-8C98-41BC-9AEF-7BCF64EDEFD9}"/>
    <cellStyle name="Style 114 9" xfId="881" xr:uid="{6307457C-0BD0-49C1-AC74-5EE7B85D04F7}"/>
    <cellStyle name="Style 114 9 2" xfId="882" xr:uid="{2D670A4D-6824-4EFB-91CE-F52C1A68B155}"/>
    <cellStyle name="Style 114 9 2 2" xfId="5183" xr:uid="{AA96A36A-45C9-41E5-B14D-D3DE2393481B}"/>
    <cellStyle name="Style 114 9 2 2 2" xfId="27087" xr:uid="{32FF3899-921B-4D24-BDC5-803B65ED4B97}"/>
    <cellStyle name="Style 114 9 2 3" xfId="24389" xr:uid="{920A06B6-FA81-426A-8AE6-1F328FA4A50C}"/>
    <cellStyle name="Style 114 9 3" xfId="4063" xr:uid="{C5A8D5AB-C3DA-49E1-A9B5-4B645FAFCE3D}"/>
    <cellStyle name="Style 114 9 3 2" xfId="27086" xr:uid="{FC5FD7EF-E92C-4D92-8CAF-E2CCDDDA644C}"/>
    <cellStyle name="Style 114 9 4" xfId="22632" xr:uid="{7BDAC8FA-48A2-4E08-B786-50CB58706FCC}"/>
    <cellStyle name="Style 114_ADDON" xfId="25761" xr:uid="{9E03238F-02EB-4919-AF9E-3C04340C8E4F}"/>
    <cellStyle name="Style 115" xfId="883" xr:uid="{51446D9B-CE56-46D1-87CC-D247E7923CDA}"/>
    <cellStyle name="Style 115 10" xfId="884" xr:uid="{EC0D3AE8-1203-4BC3-9BE7-A2F9CF8E3A4C}"/>
    <cellStyle name="Style 115 10 2" xfId="885" xr:uid="{81F41792-D73C-4BB2-B97E-69A563849373}"/>
    <cellStyle name="Style 115 10 2 2" xfId="5184" xr:uid="{16A3000D-275C-48EE-BAEC-94B5366B3AB9}"/>
    <cellStyle name="Style 115 10 2 2 2" xfId="27089" xr:uid="{71E78667-CA27-4F6D-B450-6A06AE7F4B9C}"/>
    <cellStyle name="Style 115 10 2 3" xfId="24390" xr:uid="{F8C76E3F-5CD5-4DA0-B637-323676208223}"/>
    <cellStyle name="Style 115 10 3" xfId="4064" xr:uid="{FC2F2674-0E3C-4941-9DD6-EB8F1AAC3E6A}"/>
    <cellStyle name="Style 115 10 3 2" xfId="27088" xr:uid="{6E816E74-8509-47ED-B868-D3298623B8AB}"/>
    <cellStyle name="Style 115 10 4" xfId="22634" xr:uid="{92FFE06F-0B3A-474F-B79F-DFBEC5CCC42B}"/>
    <cellStyle name="Style 115 11" xfId="886" xr:uid="{373B71A7-F89B-4D77-B9D7-D971150D8063}"/>
    <cellStyle name="Style 115 11 2" xfId="887" xr:uid="{BB04CAF4-DE26-4E9F-BDEB-66D16D06095D}"/>
    <cellStyle name="Style 115 11 2 2" xfId="5186" xr:uid="{3F58A772-7646-442F-828A-F1856978B9E1}"/>
    <cellStyle name="Style 115 11 2 2 2" xfId="27091" xr:uid="{08789558-6C83-4B07-A008-47A8D14A7610}"/>
    <cellStyle name="Style 115 11 2 3" xfId="24391" xr:uid="{96B14C56-947B-4D72-B25B-1F49E708A5B9}"/>
    <cellStyle name="Style 115 11 3" xfId="5185" xr:uid="{F80898B2-5C49-44DC-97E1-0A0C9BC3C023}"/>
    <cellStyle name="Style 115 11 3 2" xfId="27090" xr:uid="{EE9914DD-78B6-4FFE-AE69-D49EFF8078F1}"/>
    <cellStyle name="Style 115 11 4" xfId="22635" xr:uid="{2860213A-63D8-4EB2-8574-F323C5AAD564}"/>
    <cellStyle name="Style 115 12" xfId="888" xr:uid="{9DD8970D-ADA2-4640-BA3C-E6168F1168B0}"/>
    <cellStyle name="Style 115 12 2" xfId="5187" xr:uid="{26E4A6BA-8998-4C8D-A2B8-02ECAF45D1A0}"/>
    <cellStyle name="Style 115 12 2 2" xfId="27092" xr:uid="{D76AA314-CC47-44C7-8649-CCEEEF39FD06}"/>
    <cellStyle name="Style 115 12 3" xfId="8623" xr:uid="{B12F51B8-176B-45D4-8DAE-3B8852F661D3}"/>
    <cellStyle name="Style 115 12 3 2" xfId="28824" xr:uid="{7FB657BF-ACB4-4A5E-A1E3-7EB26FB88BD4}"/>
    <cellStyle name="Style 115 12 4" xfId="8624" xr:uid="{2568C02C-95B3-42FA-9422-BA018524B024}"/>
    <cellStyle name="Style 115 12 4 2" xfId="28825" xr:uid="{BFE3C25D-CA0C-4607-A09C-2BBD6193627E}"/>
    <cellStyle name="Style 115 12 5" xfId="8625" xr:uid="{D9CD1DF7-E10E-48A0-87A0-639D04F78083}"/>
    <cellStyle name="Style 115 12 5 2" xfId="28826" xr:uid="{AA422E76-4201-4CC7-A3C1-41F436DE289F}"/>
    <cellStyle name="Style 115 12 6" xfId="8626" xr:uid="{3E1370A9-FE25-4EE5-B175-2BD267F91EB3}"/>
    <cellStyle name="Style 115 12 6 2" xfId="28827" xr:uid="{6376FAFE-867E-44DC-AF07-86CE28D7A6CB}"/>
    <cellStyle name="Style 115 12 7" xfId="24392" xr:uid="{6B830BE4-8DE1-4AB2-A3A4-DD19DFF0C97A}"/>
    <cellStyle name="Style 115 13" xfId="8627" xr:uid="{A0F77A4D-DA5B-4283-A333-2D85FE9EADA1}"/>
    <cellStyle name="Style 115 13 2" xfId="8628" xr:uid="{05F60B0F-F67C-4F8B-96EE-6AE07A845C50}"/>
    <cellStyle name="Style 115 13 2 2" xfId="28828" xr:uid="{CEF6A9AC-2A8F-4498-9D27-BAF14A83EE83}"/>
    <cellStyle name="Style 115 13 3" xfId="8629" xr:uid="{F9EBDF93-882F-40F7-BF89-A652A84507DB}"/>
    <cellStyle name="Style 115 13 3 2" xfId="28829" xr:uid="{CC061AF5-F9ED-49C4-AC93-8E0E4F3082BC}"/>
    <cellStyle name="Style 115 13 4" xfId="26525" xr:uid="{33F0AB0E-A7CE-4E4C-94E4-2C1997FB80C9}"/>
    <cellStyle name="Style 115 14" xfId="8630" xr:uid="{E49D2ADE-4252-4468-8E63-3C97BDBDD3E2}"/>
    <cellStyle name="Style 115 14 2" xfId="8631" xr:uid="{F2ADB80A-9B42-4124-BBF3-0C8498BA1A45}"/>
    <cellStyle name="Style 115 14 2 2" xfId="28831" xr:uid="{795EA6C8-0DAA-4F57-BE61-CB1D4DE1F407}"/>
    <cellStyle name="Style 115 14 3" xfId="28830" xr:uid="{F9D28449-D198-4A36-A779-4756DFBDE404}"/>
    <cellStyle name="Style 115 15" xfId="8632" xr:uid="{D02BDE51-AE48-43E9-B0D6-ED5A8BEFCFDD}"/>
    <cellStyle name="Style 115 15 2" xfId="8633" xr:uid="{3F302F43-0A3A-4D5D-9148-1460DB37B670}"/>
    <cellStyle name="Style 115 15 2 2" xfId="28833" xr:uid="{D584E684-0EB8-4039-A383-7F4C990F6979}"/>
    <cellStyle name="Style 115 15 3" xfId="28832" xr:uid="{522D80FA-A3B0-4EDF-A6C8-5380BAA6D181}"/>
    <cellStyle name="Style 115 16" xfId="22633" xr:uid="{B30CE798-E191-4E56-A1B0-BFD34ADCD4F8}"/>
    <cellStyle name="Style 115 2" xfId="889" xr:uid="{6FC22043-254F-4BB0-BE92-95CE4BD42BB6}"/>
    <cellStyle name="Style 115 2 2" xfId="4335" xr:uid="{BF30C3F1-37E9-4FD4-9911-789E8404F96F}"/>
    <cellStyle name="Style 115 2 2 2" xfId="26526" xr:uid="{EA2B9ADD-7A3F-485A-BE05-6E5DAEA1BB56}"/>
    <cellStyle name="Style 115 2 3" xfId="22636" xr:uid="{F8841B51-A5E6-437C-802F-5FDC06F67254}"/>
    <cellStyle name="Style 115 3" xfId="890" xr:uid="{1ECD9A02-10FF-4CB3-96E9-0DA8F5BCC992}"/>
    <cellStyle name="Style 115 3 2" xfId="891" xr:uid="{C7222D4A-79C9-4D77-8950-D013206ACF36}"/>
    <cellStyle name="Style 115 3 2 2" xfId="892" xr:uid="{F2E19360-9785-46B8-8CEB-BA0298C12C5B}"/>
    <cellStyle name="Style 115 3 2 2 2" xfId="5188" xr:uid="{F7310D0B-2B3C-4549-9950-6FAD0D23375C}"/>
    <cellStyle name="Style 115 3 2 2 2 2" xfId="27093" xr:uid="{19A694DA-17A8-425E-A10E-8135E970F947}"/>
    <cellStyle name="Style 115 3 2 2 3" xfId="22639" xr:uid="{8418EE8C-FCA6-45B8-B7D9-AD146F9D6328}"/>
    <cellStyle name="Style 115 3 2 3" xfId="4337" xr:uid="{67E47B92-40F7-452D-B50C-D22A26047317}"/>
    <cellStyle name="Style 115 3 2 3 2" xfId="26528" xr:uid="{DD33D470-9BC9-40F9-9357-FE7DBFADE161}"/>
    <cellStyle name="Style 115 3 2 4" xfId="22638" xr:uid="{0F7892B8-92B5-4A3D-A951-D771E101C6B5}"/>
    <cellStyle name="Style 115 3 3" xfId="893" xr:uid="{A88D2A43-28BE-47C9-BBE8-36CFDC1D3A82}"/>
    <cellStyle name="Style 115 3 3 2" xfId="894" xr:uid="{8EA6DE4A-B19C-4878-8968-1EC58BDB738E}"/>
    <cellStyle name="Style 115 3 3 2 2" xfId="5190" xr:uid="{C3219D56-9E21-4C4C-B11E-717F9092C314}"/>
    <cellStyle name="Style 115 3 3 2 2 2" xfId="27095" xr:uid="{9D0514D0-803C-4D4F-BB46-047FD1680049}"/>
    <cellStyle name="Style 115 3 3 2 3" xfId="22641" xr:uid="{5EC8523C-2C8B-43A1-B937-DE82BE20FF57}"/>
    <cellStyle name="Style 115 3 3 3" xfId="895" xr:uid="{986394A7-9350-4C0B-80F2-B265AF8D611D}"/>
    <cellStyle name="Style 115 3 3 3 2" xfId="896" xr:uid="{5B55492A-540E-4C6B-82F6-CD7D9DE1A72A}"/>
    <cellStyle name="Style 115 3 3 3 2 2" xfId="5192" xr:uid="{D8A77B75-D6DE-4720-8C6E-695471824498}"/>
    <cellStyle name="Style 115 3 3 3 2 2 2" xfId="27097" xr:uid="{9FA4DE7B-FE1B-4F01-A9BE-03CBCD6297A8}"/>
    <cellStyle name="Style 115 3 3 3 2 3" xfId="22643" xr:uid="{82D63A42-7E06-412A-B53B-8C66CC05029B}"/>
    <cellStyle name="Style 115 3 3 3 3" xfId="5193" xr:uid="{F0F90998-8374-4754-86D0-4630793704F8}"/>
    <cellStyle name="Style 115 3 3 3 3 2" xfId="22644" xr:uid="{21840AAE-2F47-453D-8A77-27E0437CEBAC}"/>
    <cellStyle name="Style 115 3 3 3 4" xfId="5194" xr:uid="{50339CA7-0F27-4C5F-8F97-67549FE70E33}"/>
    <cellStyle name="Style 115 3 3 3 4 2" xfId="24393" xr:uid="{94E4B693-9739-452A-B30C-0DB22C2A1B4E}"/>
    <cellStyle name="Style 115 3 3 3 5" xfId="5191" xr:uid="{2239352A-0822-4C64-BEA1-54B48793E95E}"/>
    <cellStyle name="Style 115 3 3 3 5 2" xfId="27096" xr:uid="{7E07409F-4A37-4436-8A87-EF673FF89ECC}"/>
    <cellStyle name="Style 115 3 3 3 6" xfId="22642" xr:uid="{52E35FDE-B6C3-48FF-8491-980890F3A52E}"/>
    <cellStyle name="Style 115 3 3 4" xfId="897" xr:uid="{696A39D0-52DC-4939-8829-A9C6F418F1D0}"/>
    <cellStyle name="Style 115 3 3 4 2" xfId="898" xr:uid="{9207999C-7A8D-4555-BB1F-C8C629E8A18E}"/>
    <cellStyle name="Style 115 3 3 4 2 2" xfId="5196" xr:uid="{42172C91-BC71-4255-8CDA-F90B8F38163E}"/>
    <cellStyle name="Style 115 3 3 4 2 2 2" xfId="27099" xr:uid="{BCAF740D-39B3-4EED-8149-9B3ACC383D98}"/>
    <cellStyle name="Style 115 3 3 4 2 3" xfId="22646" xr:uid="{A3D0B0FB-CF1E-4F25-9AAC-7E38D1C6864E}"/>
    <cellStyle name="Style 115 3 3 4 3" xfId="5195" xr:uid="{34AE89D6-EA55-45A9-97A5-15DEBED7A249}"/>
    <cellStyle name="Style 115 3 3 4 3 2" xfId="27098" xr:uid="{220FD2F0-F899-4CA3-AE06-0B904F4A17BB}"/>
    <cellStyle name="Style 115 3 3 4 4" xfId="22645" xr:uid="{BF90F47A-9320-4AA3-9976-B7ED9B5A42DB}"/>
    <cellStyle name="Style 115 3 3 5" xfId="5197" xr:uid="{DDDFECEA-451F-4C33-99E2-729425669C8E}"/>
    <cellStyle name="Style 115 3 3 5 2" xfId="24394" xr:uid="{1A80255C-1E46-4C1E-A2C8-2E385AAA827E}"/>
    <cellStyle name="Style 115 3 3 6" xfId="5189" xr:uid="{47F6FAB1-C9F0-40F4-B646-C2FF2BCD41D9}"/>
    <cellStyle name="Style 115 3 3 6 2" xfId="27094" xr:uid="{ADF698A2-6C87-4BA9-BB11-77A33CBBBDD5}"/>
    <cellStyle name="Style 115 3 3 7" xfId="22640" xr:uid="{6A8BDF6D-917A-46FC-873D-5864812809EF}"/>
    <cellStyle name="Style 115 3 4" xfId="899" xr:uid="{E109DDF1-89D7-433A-BF63-F726E5669514}"/>
    <cellStyle name="Style 115 3 4 2" xfId="5199" xr:uid="{A17DE4BF-5414-4CA5-B972-84BB0EF3F99B}"/>
    <cellStyle name="Style 115 3 4 2 2" xfId="22648" xr:uid="{67CE9AB3-E502-43BA-9377-B1D215C9482D}"/>
    <cellStyle name="Style 115 3 4 3" xfId="5200" xr:uid="{FDF1B3C6-6274-4C68-A272-67C24271F2E0}"/>
    <cellStyle name="Style 115 3 4 3 2" xfId="24395" xr:uid="{D5A4278E-3387-4105-879B-615C72115F99}"/>
    <cellStyle name="Style 115 3 4 4" xfId="5198" xr:uid="{0EA14975-6B78-4041-9CD3-DEC46DCE0339}"/>
    <cellStyle name="Style 115 3 4 4 2" xfId="27100" xr:uid="{B894076B-9C74-4945-BE25-3D84CB068A93}"/>
    <cellStyle name="Style 115 3 4 5" xfId="22647" xr:uid="{4BE30544-994B-4B70-AFD0-15F3D3F23473}"/>
    <cellStyle name="Style 115 3 5" xfId="5201" xr:uid="{717928A4-7BFA-41C8-98CE-769D36D347E2}"/>
    <cellStyle name="Style 115 3 5 2" xfId="8634" xr:uid="{C6E4918D-E715-4936-98E3-56135A0EC006}"/>
    <cellStyle name="Style 115 3 5 2 2" xfId="27101" xr:uid="{E5A34ACF-1830-41FE-946D-42F1B2B1DA2E}"/>
    <cellStyle name="Style 115 3 5 3" xfId="22649" xr:uid="{468D7F0D-2E6D-4632-9E9A-476289101B70}"/>
    <cellStyle name="Style 115 3 6" xfId="4336" xr:uid="{FAEED901-18E0-4FD3-BC2A-BCE2982D65D5}"/>
    <cellStyle name="Style 115 3 6 2" xfId="26527" xr:uid="{931E9032-5329-4D9B-82CC-54097591B0B8}"/>
    <cellStyle name="Style 115 3 7" xfId="22637" xr:uid="{64E05706-14BE-4F6E-B2A7-676CE3AAAEBF}"/>
    <cellStyle name="Style 115 4" xfId="900" xr:uid="{5E72025F-142D-4C12-B93D-B7F4E7BCD36B}"/>
    <cellStyle name="Style 115 4 2" xfId="901" xr:uid="{A5B99E15-ED12-42EB-94A9-B6C6D97DD5DF}"/>
    <cellStyle name="Style 115 4 2 2" xfId="902" xr:uid="{FD63B080-E821-4DE8-8046-DCDEC341FE07}"/>
    <cellStyle name="Style 115 4 2 2 2" xfId="5204" xr:uid="{EC1FC000-C9E4-4D09-ABF1-111B4F9D9C66}"/>
    <cellStyle name="Style 115 4 2 2 2 2" xfId="27103" xr:uid="{6C2A6933-B63E-49F9-A61D-872B6D06B7EF}"/>
    <cellStyle name="Style 115 4 2 2 3" xfId="22652" xr:uid="{CBE5D0D5-FB46-4F07-8046-A4219B2CE288}"/>
    <cellStyle name="Style 115 4 2 3" xfId="903" xr:uid="{9975EACA-84B2-4139-A1AE-1B0871FDD001}"/>
    <cellStyle name="Style 115 4 2 3 2" xfId="904" xr:uid="{740BB04C-1046-4188-AEC7-FA771B1689D3}"/>
    <cellStyle name="Style 115 4 2 3 2 2" xfId="5206" xr:uid="{9ED9AEEF-4E78-4D76-BB90-AE7998797E09}"/>
    <cellStyle name="Style 115 4 2 3 2 2 2" xfId="27105" xr:uid="{E6AFA14B-69C4-4B78-94AD-220E748E3463}"/>
    <cellStyle name="Style 115 4 2 3 2 3" xfId="22654" xr:uid="{C999430A-2044-45D8-A72A-1BB5DD479AF7}"/>
    <cellStyle name="Style 115 4 2 3 3" xfId="5207" xr:uid="{B55F8757-DE32-4215-BAB1-4C45F100D7D8}"/>
    <cellStyle name="Style 115 4 2 3 3 2" xfId="22655" xr:uid="{2E756294-4BDB-4E29-97F2-86CF9B90AA40}"/>
    <cellStyle name="Style 115 4 2 3 4" xfId="5208" xr:uid="{F3996399-439A-4358-89BD-94CF8805F0CB}"/>
    <cellStyle name="Style 115 4 2 3 4 2" xfId="24396" xr:uid="{05E4B3A1-56B3-4AC2-A413-838CFF2A0AF9}"/>
    <cellStyle name="Style 115 4 2 3 5" xfId="5205" xr:uid="{176EDC36-D6D8-4B33-81B5-48C77D04E41A}"/>
    <cellStyle name="Style 115 4 2 3 5 2" xfId="27104" xr:uid="{5B9A248B-A94F-4066-97E1-253C3EFFBB66}"/>
    <cellStyle name="Style 115 4 2 3 6" xfId="22653" xr:uid="{7DD43B2B-9A07-4A32-8E9C-C7A6A452FB35}"/>
    <cellStyle name="Style 115 4 2 4" xfId="905" xr:uid="{5FA0709B-DBFC-4034-B2B3-60BFD841AC93}"/>
    <cellStyle name="Style 115 4 2 4 2" xfId="906" xr:uid="{56F64114-29E6-4797-95B9-42D67E7C0A3D}"/>
    <cellStyle name="Style 115 4 2 4 2 2" xfId="5210" xr:uid="{AD2FF850-E9C7-4C87-BB4A-F06BB1A8133C}"/>
    <cellStyle name="Style 115 4 2 4 2 2 2" xfId="27107" xr:uid="{78EEB861-5792-4A8C-8581-5823CE60DDCA}"/>
    <cellStyle name="Style 115 4 2 4 2 3" xfId="22657" xr:uid="{4412CDDF-5FD9-476B-B2C9-B2123F738CAB}"/>
    <cellStyle name="Style 115 4 2 4 3" xfId="5209" xr:uid="{F17C8D8E-C757-47ED-A110-0F78EF50E57D}"/>
    <cellStyle name="Style 115 4 2 4 3 2" xfId="27106" xr:uid="{2FC46E12-D746-4CBA-A17F-BF642AA1E7AD}"/>
    <cellStyle name="Style 115 4 2 4 4" xfId="22656" xr:uid="{060252A3-63C3-4F26-9B4D-846B30CDD068}"/>
    <cellStyle name="Style 115 4 2 5" xfId="5211" xr:uid="{92942F1E-BF5F-42EB-AB12-6BCD563F9E92}"/>
    <cellStyle name="Style 115 4 2 5 2" xfId="24397" xr:uid="{F4308DA0-EEDC-4762-BDC6-38FB8090FBEF}"/>
    <cellStyle name="Style 115 4 2 6" xfId="5203" xr:uid="{6FA04219-FD97-4D60-A6BB-582804F4DF7E}"/>
    <cellStyle name="Style 115 4 2 6 2" xfId="27102" xr:uid="{CD253A23-38D5-4419-B54B-F0554E4BF1AD}"/>
    <cellStyle name="Style 115 4 2 7" xfId="22651" xr:uid="{0B14E469-D69E-4049-B368-BEE4559F0E43}"/>
    <cellStyle name="Style 115 4 3" xfId="907" xr:uid="{D53CFAD0-299B-4CCF-9246-785D53F4E73A}"/>
    <cellStyle name="Style 115 4 3 2" xfId="5212" xr:uid="{328343B3-DD30-44E0-A279-CC95C119E1C7}"/>
    <cellStyle name="Style 115 4 3 2 2" xfId="27108" xr:uid="{B3576122-50D1-4BEC-9B91-183AD7561EA2}"/>
    <cellStyle name="Style 115 4 3 3" xfId="22658" xr:uid="{7FF924BD-57D9-442A-8289-DF6D9A2DE97B}"/>
    <cellStyle name="Style 115 4 4" xfId="5213" xr:uid="{8D1ACE0B-47FF-4905-9D0B-9083FA158CDF}"/>
    <cellStyle name="Style 115 4 4 2" xfId="5214" xr:uid="{3665708F-1D94-4FE2-84A4-C119A268E56F}"/>
    <cellStyle name="Style 115 4 4 2 2" xfId="24398" xr:uid="{4E495555-477D-4210-9F44-61C1B96158CB}"/>
    <cellStyle name="Style 115 4 4 3" xfId="22659" xr:uid="{701BF436-C8A3-4E4D-AFAE-804D8AD9A9C1}"/>
    <cellStyle name="Style 115 4 5" xfId="5202" xr:uid="{279150AD-FF45-490E-9943-79F3533B6435}"/>
    <cellStyle name="Style 115 4 5 2" xfId="25919" xr:uid="{44C477AB-9FD9-4139-87A0-23FFF221177E}"/>
    <cellStyle name="Style 115 4 6" xfId="4338" xr:uid="{300D62CB-A1D4-4E7E-8768-5227B88A2652}"/>
    <cellStyle name="Style 115 4 6 2" xfId="26529" xr:uid="{A867A245-AD2B-4A6D-8CCF-3FCD1CB44CD2}"/>
    <cellStyle name="Style 115 4 7" xfId="22650" xr:uid="{BE7957EB-55C7-4B4E-A2DE-65E413EEF735}"/>
    <cellStyle name="Style 115 5" xfId="908" xr:uid="{5BD1C560-8FC2-4975-A883-5182735A187A}"/>
    <cellStyle name="Style 115 5 2" xfId="909" xr:uid="{9D2DF9BE-85E7-49DB-AE4D-C49E009FA9A1}"/>
    <cellStyle name="Style 115 5 2 2" xfId="910" xr:uid="{D35B662F-4DC7-4930-AB2E-A03125265F9A}"/>
    <cellStyle name="Style 115 5 2 2 2" xfId="5217" xr:uid="{CB0AE265-35D9-4D83-9917-5AFE68828AE7}"/>
    <cellStyle name="Style 115 5 2 2 2 2" xfId="27110" xr:uid="{AB1FB964-FA49-4D69-A457-6406237A1296}"/>
    <cellStyle name="Style 115 5 2 2 3" xfId="22662" xr:uid="{5BA42965-FAEB-4810-B410-2E5F30C27D09}"/>
    <cellStyle name="Style 115 5 2 3" xfId="911" xr:uid="{68332AAD-3AEA-4923-8718-AA1D1572E9FF}"/>
    <cellStyle name="Style 115 5 2 3 2" xfId="912" xr:uid="{4ABC3690-CB28-4311-ADC1-0D270A8350E4}"/>
    <cellStyle name="Style 115 5 2 3 2 2" xfId="5219" xr:uid="{9D934F65-DEE6-464C-BF1B-70BAF8FF1192}"/>
    <cellStyle name="Style 115 5 2 3 2 2 2" xfId="27112" xr:uid="{69377827-5531-41D7-8EAC-6DA940B8D71F}"/>
    <cellStyle name="Style 115 5 2 3 2 3" xfId="22664" xr:uid="{A4148A30-D076-4B92-A7D1-136A6317B097}"/>
    <cellStyle name="Style 115 5 2 3 3" xfId="5220" xr:uid="{5BEB0D3A-A684-4D74-9E1E-816CABF2DEF8}"/>
    <cellStyle name="Style 115 5 2 3 3 2" xfId="22665" xr:uid="{F2F3D709-E804-44FE-8C8F-4B3A08B33195}"/>
    <cellStyle name="Style 115 5 2 3 4" xfId="5221" xr:uid="{A42AB370-9D6A-491C-BE7D-EBA1C5FB53C5}"/>
    <cellStyle name="Style 115 5 2 3 4 2" xfId="24399" xr:uid="{02B78F0B-8398-43FE-9AA9-FB49025B7415}"/>
    <cellStyle name="Style 115 5 2 3 5" xfId="5218" xr:uid="{4CFFDBAA-9E1F-4B88-8096-506B5C7F9254}"/>
    <cellStyle name="Style 115 5 2 3 5 2" xfId="27111" xr:uid="{52F1DF42-9B83-47A7-8FE5-B3D2D1D1068E}"/>
    <cellStyle name="Style 115 5 2 3 6" xfId="22663" xr:uid="{3431DF7B-1ADB-4D59-9E14-62D1FB7524EE}"/>
    <cellStyle name="Style 115 5 2 4" xfId="913" xr:uid="{63E1DF69-BFD1-4280-A4B5-97C83225742A}"/>
    <cellStyle name="Style 115 5 2 4 2" xfId="914" xr:uid="{2582D719-BB88-45EB-AB83-79CF2A384A06}"/>
    <cellStyle name="Style 115 5 2 4 2 2" xfId="5223" xr:uid="{E2A591B2-53AF-44CD-AB44-125AE1712E06}"/>
    <cellStyle name="Style 115 5 2 4 2 2 2" xfId="27114" xr:uid="{2CFFA6EB-0C22-4E54-8060-024E6BE5FE62}"/>
    <cellStyle name="Style 115 5 2 4 2 3" xfId="22667" xr:uid="{C198BAE8-B786-4BD3-844E-210E86DFD0A9}"/>
    <cellStyle name="Style 115 5 2 4 3" xfId="5222" xr:uid="{CC40E8B6-FCA5-4A27-A413-769FBBFBF3CE}"/>
    <cellStyle name="Style 115 5 2 4 3 2" xfId="27113" xr:uid="{0A9A3770-75F6-4891-974E-5456DD0CD3B9}"/>
    <cellStyle name="Style 115 5 2 4 4" xfId="22666" xr:uid="{2C2FC712-9608-43C5-9F7E-F34236B81CAE}"/>
    <cellStyle name="Style 115 5 2 5" xfId="5224" xr:uid="{24805069-2D00-44F4-8D89-046A24C1A342}"/>
    <cellStyle name="Style 115 5 2 5 2" xfId="24400" xr:uid="{130A328D-6D0A-46A0-9121-BBC207DA8ADD}"/>
    <cellStyle name="Style 115 5 2 6" xfId="5216" xr:uid="{9747103F-A6B7-4602-8C29-D4228B7ABDFD}"/>
    <cellStyle name="Style 115 5 2 6 2" xfId="27109" xr:uid="{2984A3D4-9880-43D3-8F66-6291A42D9A1C}"/>
    <cellStyle name="Style 115 5 2 7" xfId="22661" xr:uid="{F43AC14D-01B8-489B-96BC-51DA41A4A904}"/>
    <cellStyle name="Style 115 5 3" xfId="915" xr:uid="{7B87D469-4BE0-4186-803E-688782C0ACE0}"/>
    <cellStyle name="Style 115 5 3 2" xfId="5225" xr:uid="{CDEDD205-3B25-43BE-A053-09AE593C8496}"/>
    <cellStyle name="Style 115 5 3 2 2" xfId="27115" xr:uid="{0091E733-BE87-4191-A2A7-C0E24556DF7B}"/>
    <cellStyle name="Style 115 5 3 3" xfId="22668" xr:uid="{0D530FA7-120F-42F8-B7E1-2071405034D4}"/>
    <cellStyle name="Style 115 5 4" xfId="5226" xr:uid="{80D7C742-832E-4C6C-89BE-C7FAB53368E8}"/>
    <cellStyle name="Style 115 5 4 2" xfId="5227" xr:uid="{849EDB7E-C70C-4A2D-8A92-09E30B2A50A8}"/>
    <cellStyle name="Style 115 5 4 2 2" xfId="24401" xr:uid="{15807510-57C3-4090-AE31-3381437EC5D8}"/>
    <cellStyle name="Style 115 5 4 3" xfId="22669" xr:uid="{4174A2A2-6F49-48A0-AAEC-775CA1CCDFCE}"/>
    <cellStyle name="Style 115 5 5" xfId="5215" xr:uid="{5170D059-8655-4013-9B85-05133EF98FC9}"/>
    <cellStyle name="Style 115 5 5 2" xfId="25920" xr:uid="{5BD8C833-7415-487E-BE6F-15407B87C574}"/>
    <cellStyle name="Style 115 5 6" xfId="4339" xr:uid="{F8F8ABDF-281F-4C8A-A3DF-B84DE9C3FEBC}"/>
    <cellStyle name="Style 115 5 6 2" xfId="26530" xr:uid="{E6A6920F-BBAA-45CF-8BAE-BDD9E7D16470}"/>
    <cellStyle name="Style 115 5 7" xfId="22660" xr:uid="{73FDCA4F-D6E2-4155-B8CF-52AF57CE091B}"/>
    <cellStyle name="Style 115 6" xfId="916" xr:uid="{6BC0CAEA-3A0A-4847-970A-91234584A874}"/>
    <cellStyle name="Style 115 6 2" xfId="917" xr:uid="{8D6DF1DB-4EAD-4285-938E-AC18E28B4431}"/>
    <cellStyle name="Style 115 6 2 2" xfId="5229" xr:uid="{DD34985D-D708-4A30-AB71-F588B69372E8}"/>
    <cellStyle name="Style 115 6 2 2 2" xfId="27117" xr:uid="{0D0D2B6A-DAEE-45A1-8B8C-358914E4CE77}"/>
    <cellStyle name="Style 115 6 2 3" xfId="22671" xr:uid="{16D425F5-4BDE-4FFF-908C-4993A0F87791}"/>
    <cellStyle name="Style 115 6 3" xfId="918" xr:uid="{DC6DC4C7-C01F-4D04-BD0D-C1747EB25070}"/>
    <cellStyle name="Style 115 6 3 2" xfId="919" xr:uid="{A550EAF2-1B25-4825-8984-1E34E389FD65}"/>
    <cellStyle name="Style 115 6 3 2 2" xfId="5231" xr:uid="{A235DA90-4008-46E3-B150-C000C72B6508}"/>
    <cellStyle name="Style 115 6 3 2 2 2" xfId="27119" xr:uid="{A2DACC69-25C6-4B82-B97C-9277CCA283E1}"/>
    <cellStyle name="Style 115 6 3 2 3" xfId="22673" xr:uid="{0C566C4E-62BB-4006-8B84-C1495EBED2B9}"/>
    <cellStyle name="Style 115 6 3 3" xfId="5232" xr:uid="{F649E4A8-3849-4880-AD56-F5CD7B65ECFF}"/>
    <cellStyle name="Style 115 6 3 3 2" xfId="22674" xr:uid="{3D08B691-9B23-449E-9EB5-3DA91F7BBDD9}"/>
    <cellStyle name="Style 115 6 3 4" xfId="5233" xr:uid="{B3741F6B-3162-4BB1-AA41-43D954A9ED3A}"/>
    <cellStyle name="Style 115 6 3 4 2" xfId="24402" xr:uid="{CA95904F-6788-4F1B-845B-5A513C571A43}"/>
    <cellStyle name="Style 115 6 3 5" xfId="5230" xr:uid="{6104D3B1-F097-4FF3-B51A-622B6112B80F}"/>
    <cellStyle name="Style 115 6 3 5 2" xfId="27118" xr:uid="{5DF1F67D-F0F1-4F09-B096-1F75AD455E4D}"/>
    <cellStyle name="Style 115 6 3 6" xfId="22672" xr:uid="{EFD808EC-8EB6-4A55-A152-A710FA67B128}"/>
    <cellStyle name="Style 115 6 4" xfId="920" xr:uid="{E8892944-5769-4028-88AE-47E168A065CC}"/>
    <cellStyle name="Style 115 6 4 2" xfId="921" xr:uid="{A652B533-1E52-48C7-82A2-3C2B980E8A6E}"/>
    <cellStyle name="Style 115 6 4 2 2" xfId="5235" xr:uid="{11741B9F-8F40-4FCD-B497-81C3D4072049}"/>
    <cellStyle name="Style 115 6 4 2 2 2" xfId="27121" xr:uid="{0E868467-6A88-496E-A5AC-B497DEBF7892}"/>
    <cellStyle name="Style 115 6 4 2 3" xfId="22676" xr:uid="{A3F82AD2-103F-41AC-B3D3-7D9C3F0CB84A}"/>
    <cellStyle name="Style 115 6 4 3" xfId="5234" xr:uid="{AED14841-3305-4330-85DD-9CA69F961D78}"/>
    <cellStyle name="Style 115 6 4 3 2" xfId="27120" xr:uid="{B7ECCA37-ACBE-4E4D-9A45-B72D939014D1}"/>
    <cellStyle name="Style 115 6 4 4" xfId="22675" xr:uid="{53188D73-8D71-47C2-BFD5-1505C916791D}"/>
    <cellStyle name="Style 115 6 5" xfId="5236" xr:uid="{46C6A5DA-AB97-4B1F-85B8-9B8982F625DF}"/>
    <cellStyle name="Style 115 6 5 2" xfId="24403" xr:uid="{1D9528D4-A68A-4576-9DFD-F901545BBAC7}"/>
    <cellStyle name="Style 115 6 6" xfId="5228" xr:uid="{48CA5A84-8EF9-4CCB-BA18-1E2B59B545E6}"/>
    <cellStyle name="Style 115 6 6 2" xfId="27116" xr:uid="{04832955-EE9F-45E6-A326-7726BC3EC60A}"/>
    <cellStyle name="Style 115 6 7" xfId="22670" xr:uid="{863CAF1C-1492-4E2E-A38C-D1E38588B7D4}"/>
    <cellStyle name="Style 115 7" xfId="922" xr:uid="{AD3262F5-FED1-4138-83DC-80FF0C4F83D7}"/>
    <cellStyle name="Style 115 7 2" xfId="923" xr:uid="{342B7CC9-CFA9-467E-BB01-CDDEB0E8B89A}"/>
    <cellStyle name="Style 115 7 2 2" xfId="5238" xr:uid="{E158F1B3-9610-4A91-B476-963D2B1E0A72}"/>
    <cellStyle name="Style 115 7 2 2 2" xfId="27123" xr:uid="{2401EDBD-4530-4EE6-9268-88D2E73BF3A6}"/>
    <cellStyle name="Style 115 7 2 3" xfId="22678" xr:uid="{FAA17ACA-E56E-4A4E-B1B6-AAD2462807E1}"/>
    <cellStyle name="Style 115 7 3" xfId="5239" xr:uid="{3F5638A2-21C4-478F-B835-B40C02590C22}"/>
    <cellStyle name="Style 115 7 3 2" xfId="22679" xr:uid="{9F26162D-C87B-4498-AC3B-B58C2B5F2A94}"/>
    <cellStyle name="Style 115 7 4" xfId="5240" xr:uid="{716E7425-A2B7-4C8B-A5BD-CBFF7F17565C}"/>
    <cellStyle name="Style 115 7 4 2" xfId="24404" xr:uid="{B102F78E-235E-439E-A0EB-29A05C80AA82}"/>
    <cellStyle name="Style 115 7 5" xfId="5237" xr:uid="{2F4014D1-3139-4288-A880-8E8805299640}"/>
    <cellStyle name="Style 115 7 5 2" xfId="27122" xr:uid="{90A65A32-14F9-47E5-92B3-09075AC040F3}"/>
    <cellStyle name="Style 115 7 6" xfId="22677" xr:uid="{5F88F45E-212B-41BC-8486-3058B628FCAE}"/>
    <cellStyle name="Style 115 8" xfId="924" xr:uid="{B53498EE-EA66-4239-B01E-72BAC2284D75}"/>
    <cellStyle name="Style 115 8 2" xfId="925" xr:uid="{6CEF17B1-3FFF-44B2-B7C8-015A1720BFB2}"/>
    <cellStyle name="Style 115 8 2 2" xfId="5242" xr:uid="{694F2279-5D0B-4BFB-9E71-9194165A47FA}"/>
    <cellStyle name="Style 115 8 2 2 2" xfId="27125" xr:uid="{946103D5-2220-42FA-8F43-9BD4842558C1}"/>
    <cellStyle name="Style 115 8 2 3" xfId="22681" xr:uid="{11E8750F-3026-4F65-8E8C-9ABFFD97724B}"/>
    <cellStyle name="Style 115 8 3" xfId="5243" xr:uid="{91E98757-6527-4575-9BF0-6118D2E0A374}"/>
    <cellStyle name="Style 115 8 3 2" xfId="22682" xr:uid="{82178645-6780-4499-84AF-DEE7DA559946}"/>
    <cellStyle name="Style 115 8 4" xfId="5244" xr:uid="{B00E2865-A27D-462F-9F31-794AB365E2EB}"/>
    <cellStyle name="Style 115 8 4 2" xfId="24405" xr:uid="{A727CCBE-52D6-49DB-84D7-5A30A84E951A}"/>
    <cellStyle name="Style 115 8 5" xfId="5241" xr:uid="{2D64F585-C4AD-480C-BB71-CD41CD7EB761}"/>
    <cellStyle name="Style 115 8 5 2" xfId="27124" xr:uid="{0E190CBE-7646-4AFA-AEEC-4129A00FEC82}"/>
    <cellStyle name="Style 115 8 6" xfId="22680" xr:uid="{D669377A-9279-4DEB-864B-0F662AB1E7A7}"/>
    <cellStyle name="Style 115 9" xfId="926" xr:uid="{AFAF83C7-DF10-4E3D-B811-DFC934E91EBF}"/>
    <cellStyle name="Style 115 9 2" xfId="927" xr:uid="{A94541FB-AA72-4580-86B7-AA706DF4799A}"/>
    <cellStyle name="Style 115 9 2 2" xfId="5245" xr:uid="{6A136DDC-59DE-45EF-B65E-B40659779878}"/>
    <cellStyle name="Style 115 9 2 2 2" xfId="27127" xr:uid="{9997C01F-FAAC-410E-9586-02498CDCEB73}"/>
    <cellStyle name="Style 115 9 2 3" xfId="24406" xr:uid="{3D987FAC-1F7F-4046-A5D4-576894BCC2FA}"/>
    <cellStyle name="Style 115 9 3" xfId="4065" xr:uid="{2B6BC94C-AFB7-4691-AB6D-E09E7C716902}"/>
    <cellStyle name="Style 115 9 3 2" xfId="27126" xr:uid="{DF1201D5-A7A8-4586-B60C-AA39E0F7BA9F}"/>
    <cellStyle name="Style 115 9 4" xfId="22683" xr:uid="{64F34866-2917-4FF2-AF09-89FF731AA01A}"/>
    <cellStyle name="Style 115_ADDON" xfId="25762" xr:uid="{F314B9B3-2409-4C1E-94B3-B491757F4955}"/>
    <cellStyle name="Style 116" xfId="928" xr:uid="{348B7E12-224F-41DB-98EC-0B03790BFB8F}"/>
    <cellStyle name="Style 116 10" xfId="22684" xr:uid="{21F5105C-072B-4CAC-918E-DD0DFF313524}"/>
    <cellStyle name="Style 116 2" xfId="929" xr:uid="{5A3C5C7E-6125-402F-97E0-325BF62E0C2C}"/>
    <cellStyle name="Style 116 2 2" xfId="8635" xr:uid="{C9B908EF-ECA1-4136-BBFE-A7EDC40B6CFE}"/>
    <cellStyle name="Style 116 2 2 2" xfId="28834" xr:uid="{B92FB9D4-4181-47D1-BB36-63E8227E4A04}"/>
    <cellStyle name="Style 116 2 3" xfId="22685" xr:uid="{E36A02C9-309C-4BFC-962D-01D00DCED0A1}"/>
    <cellStyle name="Style 116 3" xfId="930" xr:uid="{7127D9E1-B22D-4844-9276-A54C0012FCFA}"/>
    <cellStyle name="Style 116 3 2" xfId="931" xr:uid="{3EE56669-41C5-46D9-A4D3-DCC4D72E6A7E}"/>
    <cellStyle name="Style 116 3 2 2" xfId="22687" xr:uid="{E3D02235-AB66-44BC-836A-6D6590F8B2EA}"/>
    <cellStyle name="Style 116 3 3" xfId="932" xr:uid="{954D8F87-C647-489F-A7B5-5CD6870AB241}"/>
    <cellStyle name="Style 116 3 3 2" xfId="933" xr:uid="{A5D835B2-2209-4A46-A471-EACAE6977805}"/>
    <cellStyle name="Style 116 3 3 2 2" xfId="22689" xr:uid="{E5515965-14E4-4E77-8565-5C2AC5589DC6}"/>
    <cellStyle name="Style 116 3 3 3" xfId="5246" xr:uid="{7C506AF6-8E48-40FD-9532-D850D1CA0A74}"/>
    <cellStyle name="Style 116 3 3 3 2" xfId="22690" xr:uid="{B6D7FC79-DE72-4D6C-8D82-83286D41D456}"/>
    <cellStyle name="Style 116 3 3 4" xfId="5247" xr:uid="{C323295E-9CF8-44C2-9AE5-E2089D37558C}"/>
    <cellStyle name="Style 116 3 3 4 2" xfId="24407" xr:uid="{44902470-5774-4D67-88E4-D9CDF28E2ED5}"/>
    <cellStyle name="Style 116 3 3 5" xfId="22688" xr:uid="{F873DE75-7FE5-4D19-A9B9-989E1F3A25EC}"/>
    <cellStyle name="Style 116 3 4" xfId="934" xr:uid="{7BBDB1B6-CF29-4E84-88FF-2311BCFA608E}"/>
    <cellStyle name="Style 116 3 4 2" xfId="935" xr:uid="{9EB981EC-2FE1-4836-A833-D45609F2A9EF}"/>
    <cellStyle name="Style 116 3 4 2 2" xfId="22692" xr:uid="{EF84C094-8586-438A-A249-401C8C2F3EE5}"/>
    <cellStyle name="Style 116 3 4 3" xfId="22691" xr:uid="{542B9789-BE8D-445E-93AB-713AFD6055F8}"/>
    <cellStyle name="Style 116 3 5" xfId="5248" xr:uid="{8FB3DBA3-D373-4BFC-8BB2-E07D1D9B25DB}"/>
    <cellStyle name="Style 116 3 5 2" xfId="24408" xr:uid="{523CE844-08BD-4133-8DC4-DC372ABD3B3B}"/>
    <cellStyle name="Style 116 3 6" xfId="22686" xr:uid="{FD230846-6793-4876-93F1-0B99F06285DE}"/>
    <cellStyle name="Style 116 4" xfId="936" xr:uid="{EAD8A384-F1DB-4A6F-BE6B-44D16EAC3F85}"/>
    <cellStyle name="Style 116 4 2" xfId="937" xr:uid="{28487680-4FB1-465D-836B-0C730175BC42}"/>
    <cellStyle name="Style 116 4 2 2" xfId="22694" xr:uid="{543E2FC0-822B-420F-85B0-69FAD754BB30}"/>
    <cellStyle name="Style 116 4 3" xfId="5249" xr:uid="{822888AD-FBDA-4D39-B6D5-3EEA8D6B43E4}"/>
    <cellStyle name="Style 116 4 3 2" xfId="22695" xr:uid="{BBEBDCA2-EE1E-4DF7-B8A7-B2C5B65CB135}"/>
    <cellStyle name="Style 116 4 4" xfId="5250" xr:uid="{32D4CCB4-BFFA-4785-80ED-F80625C33545}"/>
    <cellStyle name="Style 116 4 4 2" xfId="24409" xr:uid="{94794525-679D-439B-8F7C-D0B98D0C5890}"/>
    <cellStyle name="Style 116 4 5" xfId="22693" xr:uid="{303045CD-7C28-43E0-ABA8-9CB274579D8D}"/>
    <cellStyle name="Style 116 5" xfId="938" xr:uid="{80292125-0F8D-4330-B737-A2A0A7C6CF03}"/>
    <cellStyle name="Style 116 5 2" xfId="939" xr:uid="{51D2FCD9-C0CD-4A92-96EB-3716A37843F0}"/>
    <cellStyle name="Style 116 5 2 2" xfId="22697" xr:uid="{974C37F0-86CF-4362-97A6-E350F423CCC7}"/>
    <cellStyle name="Style 116 5 3" xfId="22696" xr:uid="{27B350CE-ED3D-45A6-8F54-1B5216D4FD54}"/>
    <cellStyle name="Style 116 6" xfId="940" xr:uid="{AAE1E55C-8D5D-42BB-82A4-FD10C5C5B40B}"/>
    <cellStyle name="Style 116 6 2" xfId="941" xr:uid="{3FA2386D-A0FE-4B0E-A5E5-DDE4894E6225}"/>
    <cellStyle name="Style 116 6 2 2" xfId="24410" xr:uid="{03D6B734-7534-441F-B70D-37154788292A}"/>
    <cellStyle name="Style 116 6 3" xfId="4067" xr:uid="{EAA439EC-4F8F-4C76-B16D-F62DE4176578}"/>
    <cellStyle name="Style 116 6 3 2" xfId="28313" xr:uid="{489EE6ED-EC83-4896-9525-A9E670FD0F25}"/>
    <cellStyle name="Style 116 6 4" xfId="22698" xr:uid="{5E620AC9-23C4-4639-BE7C-DE5637F723CA}"/>
    <cellStyle name="Style 116 7" xfId="4066" xr:uid="{13837A13-CB3D-444A-81C2-F9BB38B3F0E2}"/>
    <cellStyle name="Style 116 7 2" xfId="5252" xr:uid="{F1A48679-1E12-4D7B-967A-23691444BC3E}"/>
    <cellStyle name="Style 116 7 2 2" xfId="24411" xr:uid="{C28B724F-D47D-4143-8780-763A6F10C593}"/>
    <cellStyle name="Style 116 7 3" xfId="5251" xr:uid="{42486791-E048-48B2-A792-9A3B7BE08D7C}"/>
    <cellStyle name="Style 116 7 3 2" xfId="40710" xr:uid="{CD875B86-1106-4CB1-86C8-0DEA60486097}"/>
    <cellStyle name="Style 116 7 4" xfId="22699" xr:uid="{3BC6EBFC-ACC1-493B-AC3D-A7BA1F446562}"/>
    <cellStyle name="Style 116 8" xfId="5253" xr:uid="{90F4A8C8-74DA-4EEF-B8DA-769E13C00335}"/>
    <cellStyle name="Style 116 8 2" xfId="24412" xr:uid="{8AADA707-C348-4C13-ABAF-A38E1DC3F134}"/>
    <cellStyle name="Style 116 9" xfId="8636" xr:uid="{99F838D2-DEB9-4715-AFED-607F00FDC642}"/>
    <cellStyle name="Style 116 9 2" xfId="26531" xr:uid="{A55C3ED6-FEA7-4139-8CFA-13B6D46DB7A4}"/>
    <cellStyle name="Style 116_ADDON" xfId="25732" xr:uid="{8642E374-B4FF-49E7-80F7-711FC4EED85D}"/>
    <cellStyle name="Style 117" xfId="942" xr:uid="{8AFC14A6-EB6E-41AF-84C9-5C9A3BC766FE}"/>
    <cellStyle name="Style 117 2" xfId="943" xr:uid="{4F586779-BFAA-4921-844D-A71C2E1F0F66}"/>
    <cellStyle name="Style 117 2 2" xfId="944" xr:uid="{ACB6C5C6-8447-4BBE-A648-6B5D9F31DD12}"/>
    <cellStyle name="Style 117 2 2 2" xfId="945" xr:uid="{AAA77D59-8A84-4663-BA91-F7ABBC71C04D}"/>
    <cellStyle name="Style 117 2 2 2 2" xfId="946" xr:uid="{5E737C8B-054C-4C7E-AB09-99FEBD38F40F}"/>
    <cellStyle name="Style 117 2 2 2 2 2" xfId="947" xr:uid="{FA4D289E-BE75-458B-8310-15CF26DC5EB2}"/>
    <cellStyle name="Style 117 2 2 2 2 2 2" xfId="8637" xr:uid="{CA0970BA-4A95-4B01-933D-E2C1E7A83947}"/>
    <cellStyle name="Style 117 2 2 2 2 3" xfId="8638" xr:uid="{53F2E7B1-9A9E-415A-BD79-4F3BB05C87F8}"/>
    <cellStyle name="Style 117 2 2 2 3" xfId="948" xr:uid="{9509CDEA-05E0-4ECD-BAF9-D41E52DF6855}"/>
    <cellStyle name="Style 117 2 2 2 3 2" xfId="8639" xr:uid="{F312BCBC-0766-446B-8906-DE0DC60BC8C4}"/>
    <cellStyle name="Style 117 2 2 2 4" xfId="8640" xr:uid="{E6F1710A-73EB-4EFF-AA66-E815E42A9DD0}"/>
    <cellStyle name="Style 117 2 2 3" xfId="949" xr:uid="{10CF205E-5CC3-4924-B3E8-D2BC6FA98D6A}"/>
    <cellStyle name="Style 117 2 2 3 2" xfId="950" xr:uid="{25DE1106-7010-46BB-A9A1-E64BCEDB0BC6}"/>
    <cellStyle name="Style 117 2 2 3 2 2" xfId="8641" xr:uid="{99F1F75D-FCFB-40C5-B8EC-463A21349841}"/>
    <cellStyle name="Style 117 2 2 3 3" xfId="8642" xr:uid="{4CF5E97C-BFA6-4211-BC8E-825232F18FD1}"/>
    <cellStyle name="Style 117 2 2 4" xfId="951" xr:uid="{3F9E9BD6-75DB-4D03-8006-C5A79BB613F5}"/>
    <cellStyle name="Style 117 2 2 4 2" xfId="8643" xr:uid="{94434E1E-9B52-470B-9513-032D660F23CB}"/>
    <cellStyle name="Style 117 2 2 5" xfId="8644" xr:uid="{5E9CC0AC-3F0C-45CA-99D6-7021AB3C56C5}"/>
    <cellStyle name="Style 117 2 3" xfId="952" xr:uid="{9BFDBC23-875E-46EB-8E4F-ABC87B4875B7}"/>
    <cellStyle name="Style 117 2 3 2" xfId="953" xr:uid="{63D87316-FF3A-42A1-BFA0-E472FAB45D8D}"/>
    <cellStyle name="Style 117 2 3 2 2" xfId="954" xr:uid="{E5D53780-D5F8-4302-9448-1960CF87EC28}"/>
    <cellStyle name="Style 117 2 3 2 2 2" xfId="8645" xr:uid="{D9C5370C-2F2E-445C-B56F-F90356D32AC8}"/>
    <cellStyle name="Style 117 2 3 2 3" xfId="8646" xr:uid="{68F6D95A-9819-487C-A342-EEF034ACD460}"/>
    <cellStyle name="Style 117 2 3 3" xfId="955" xr:uid="{802796B8-DFD3-4B37-A623-C37123290C41}"/>
    <cellStyle name="Style 117 2 3 3 2" xfId="8647" xr:uid="{900F3FF7-3F7D-46C5-8180-DFADCD6AF40A}"/>
    <cellStyle name="Style 117 2 3 4" xfId="8648" xr:uid="{FC5B79BC-9871-4734-8BEF-6D9D9798276F}"/>
    <cellStyle name="Style 117 2 4" xfId="956" xr:uid="{79C37F18-0A65-40A6-B19D-8CBB1EF9285D}"/>
    <cellStyle name="Style 117 2 4 2" xfId="957" xr:uid="{E21147A2-F324-4A67-9FCC-0EA5AAC12FBC}"/>
    <cellStyle name="Style 117 2 4 2 2" xfId="8649" xr:uid="{34046026-E88D-415D-AAE5-53C2F3860A08}"/>
    <cellStyle name="Style 117 2 4 3" xfId="8650" xr:uid="{FA7C477C-B648-4FEB-B4C8-423CFDD93DB8}"/>
    <cellStyle name="Style 117 2 5" xfId="958" xr:uid="{95267BCE-FCCD-4043-8A2E-5615BAF1340E}"/>
    <cellStyle name="Style 117 2 5 2" xfId="8651" xr:uid="{89A01B64-D480-4E34-9235-513784AC563C}"/>
    <cellStyle name="Style 117 2 6" xfId="8652" xr:uid="{3B5449C0-020D-4437-B5D4-A46BC61B2A9E}"/>
    <cellStyle name="Style 117 3" xfId="959" xr:uid="{9546441C-CD1F-48AA-857C-B3F8C46EC72A}"/>
    <cellStyle name="Style 117 3 2" xfId="960" xr:uid="{CDAE3A82-9CAD-4477-9A87-21B6B74B6CFA}"/>
    <cellStyle name="Style 117 3 2 2" xfId="961" xr:uid="{37707681-8C72-4E2C-8039-C23018167793}"/>
    <cellStyle name="Style 117 3 2 2 2" xfId="962" xr:uid="{EEDE7BA7-5CDF-448C-90A7-B8C907B1CD7B}"/>
    <cellStyle name="Style 117 3 2 2 2 2" xfId="963" xr:uid="{8C73D24D-21A6-4527-BE86-6805C27F51A2}"/>
    <cellStyle name="Style 117 3 2 2 2 2 2" xfId="8653" xr:uid="{E63B2771-F21C-4DAB-88AF-2EDF8BE59AE9}"/>
    <cellStyle name="Style 117 3 2 2 2 3" xfId="8654" xr:uid="{C63BB902-DEA4-4BBF-BD80-F7F1C5131920}"/>
    <cellStyle name="Style 117 3 2 2 3" xfId="964" xr:uid="{ECEF9D78-C699-4DAC-ABE0-6C1E32173AA0}"/>
    <cellStyle name="Style 117 3 2 2 3 2" xfId="8655" xr:uid="{66DBE078-3472-4530-98D1-8C564E279490}"/>
    <cellStyle name="Style 117 3 2 2 4" xfId="8656" xr:uid="{E6B12677-0EF7-47AB-A3B6-960B420ED4DB}"/>
    <cellStyle name="Style 117 3 2 3" xfId="965" xr:uid="{D59A1B5A-3F43-4EF2-89BB-A12B13FEDE6E}"/>
    <cellStyle name="Style 117 3 2 3 2" xfId="966" xr:uid="{57A4034D-F140-4CB1-9800-9BC243E4ADA2}"/>
    <cellStyle name="Style 117 3 2 3 2 2" xfId="8657" xr:uid="{9F8E0AA1-7052-4DF3-97D8-4FB327B42F9A}"/>
    <cellStyle name="Style 117 3 2 3 3" xfId="8658" xr:uid="{FD6A6B60-A45D-46C2-8041-C02422112F1C}"/>
    <cellStyle name="Style 117 3 2 4" xfId="967" xr:uid="{5224E947-332F-4BEB-8B92-79258624CC81}"/>
    <cellStyle name="Style 117 3 2 4 2" xfId="8659" xr:uid="{5566DB2B-F5D0-4D44-879A-920E11B01803}"/>
    <cellStyle name="Style 117 3 2 5" xfId="8660" xr:uid="{9B600621-C226-4FFB-8172-595F8B5B5DED}"/>
    <cellStyle name="Style 117 3 3" xfId="968" xr:uid="{87B7A2B6-2A09-45BF-B2E0-61B838C958AA}"/>
    <cellStyle name="Style 117 3 3 2" xfId="969" xr:uid="{8BF039E9-DD36-4A26-85F1-7EB67E01BD4F}"/>
    <cellStyle name="Style 117 3 3 2 2" xfId="970" xr:uid="{59B70FF3-9560-4D70-A292-BCDFB8A673CD}"/>
    <cellStyle name="Style 117 3 3 2 2 2" xfId="971" xr:uid="{0EDB4ED3-01B8-47E7-88E7-8C57852CBB8F}"/>
    <cellStyle name="Style 117 3 3 2 2 2 2" xfId="8661" xr:uid="{A4D07ED6-1C65-4E3F-8452-8DF2F040809E}"/>
    <cellStyle name="Style 117 3 3 2 2 3" xfId="8662" xr:uid="{016FCE97-156A-4462-9DAA-B68A0DEA94CB}"/>
    <cellStyle name="Style 117 3 3 2 3" xfId="972" xr:uid="{1C0416F7-F569-4153-88A5-BA18A0A5707F}"/>
    <cellStyle name="Style 117 3 3 2 3 2" xfId="8663" xr:uid="{6358E9A8-0F40-46B8-9AC0-2D415CEEEFB8}"/>
    <cellStyle name="Style 117 3 3 2 4" xfId="8664" xr:uid="{BFB884D5-1333-473C-A3D9-930A8D910E9C}"/>
    <cellStyle name="Style 117 3 3 3" xfId="973" xr:uid="{10CBCD20-408A-4D80-8418-68FFEBFDDD96}"/>
    <cellStyle name="Style 117 3 3 3 2" xfId="8665" xr:uid="{746A0AF4-0BF7-4125-8816-7DFC61B2BA1A}"/>
    <cellStyle name="Style 117 3 3 4" xfId="5254" xr:uid="{00A69485-F0BD-4BF5-8038-6E69E7AA817B}"/>
    <cellStyle name="Style 117 3 3 5" xfId="8666" xr:uid="{ED26010B-F09F-4A1E-B31D-E5F414391059}"/>
    <cellStyle name="Style 117 3 4" xfId="974" xr:uid="{2AA46806-B4DA-4BDC-BAB2-FDB0268147C9}"/>
    <cellStyle name="Style 117 3 4 2" xfId="975" xr:uid="{17525C96-4648-42A7-9CCF-CE43437F0FF3}"/>
    <cellStyle name="Style 117 3 4 2 2" xfId="8667" xr:uid="{4C3672D8-8972-44B3-BAD0-3122BDA14C5F}"/>
    <cellStyle name="Style 117 3 4 3" xfId="8668" xr:uid="{F3A7EFD0-33D3-4C8F-99E9-D5037FCFA001}"/>
    <cellStyle name="Style 117 3 5" xfId="976" xr:uid="{5E67CAE5-3E42-4829-9F5E-5BEC935D30CC}"/>
    <cellStyle name="Style 117 3 5 2" xfId="8669" xr:uid="{0A9EA304-CF5B-4E4E-9A32-462C2AD8F90D}"/>
    <cellStyle name="Style 117 3 6" xfId="8670" xr:uid="{D50B680A-B507-498D-9415-336947E66CA4}"/>
    <cellStyle name="Style 117 4" xfId="977" xr:uid="{30ED9B60-5104-4757-8979-D789E626C4C3}"/>
    <cellStyle name="Style 117 4 2" xfId="978" xr:uid="{4C529636-AA31-4A9E-A211-99BFCBC1D7AD}"/>
    <cellStyle name="Style 117 4 2 2" xfId="979" xr:uid="{74911138-5201-4ACD-9918-EEA220696F0C}"/>
    <cellStyle name="Style 117 4 2 2 2" xfId="980" xr:uid="{35DA822D-2433-40EE-816D-FC45450956AA}"/>
    <cellStyle name="Style 117 4 2 2 2 2" xfId="8671" xr:uid="{15C078ED-FE60-4C67-B7F0-68C402690539}"/>
    <cellStyle name="Style 117 4 2 2 3" xfId="8672" xr:uid="{BEEF3758-324B-4B1A-86D1-714BDC251E85}"/>
    <cellStyle name="Style 117 4 2 3" xfId="981" xr:uid="{BCCC4852-33DF-4187-ABC4-B49D452FF477}"/>
    <cellStyle name="Style 117 4 2 3 2" xfId="8673" xr:uid="{9623780B-99C1-463C-9565-2CADC1D739E4}"/>
    <cellStyle name="Style 117 4 2 4" xfId="8674" xr:uid="{DE49E609-1C15-4BA9-A25A-9CF8659FF90B}"/>
    <cellStyle name="Style 117 4 3" xfId="982" xr:uid="{BD44C86E-3CC8-4D84-80B3-AD7D13A8A25A}"/>
    <cellStyle name="Style 117 4 3 2" xfId="8675" xr:uid="{756F0194-9913-4D71-9062-466938F44317}"/>
    <cellStyle name="Style 117 4 4" xfId="5255" xr:uid="{B7112A8C-CB24-44B5-961A-A54898284481}"/>
    <cellStyle name="Style 117 4 5" xfId="8676" xr:uid="{DD030FA5-9E82-4FD8-8284-77466E4AE2CB}"/>
    <cellStyle name="Style 117 5" xfId="983" xr:uid="{B6559D0F-7D5C-4BDE-91DC-DE6D24954D02}"/>
    <cellStyle name="Style 117 5 2" xfId="984" xr:uid="{2D560399-77D6-4FA3-BA79-39A4661950A8}"/>
    <cellStyle name="Style 117 5 2 2" xfId="8677" xr:uid="{DE739B68-DBCB-4E6D-8283-C9FA5EF0EDDC}"/>
    <cellStyle name="Style 117 5 3" xfId="8678" xr:uid="{4D7B425F-157A-47F9-A40E-6F632FD4CE54}"/>
    <cellStyle name="Style 117 6" xfId="985" xr:uid="{FD295606-9C92-41D7-A114-9D4ED77864CF}"/>
    <cellStyle name="Style 117 6 2" xfId="4069" xr:uid="{2B6F2817-7805-4E8E-B812-1780AC5414F3}"/>
    <cellStyle name="Style 117 6 2 2" xfId="5256" xr:uid="{86BC015F-1A12-42A7-9429-BAD3D59BF0F7}"/>
    <cellStyle name="Style 117 6 3" xfId="8679" xr:uid="{8417B036-6CF7-4DF0-8372-72E7EE302CE5}"/>
    <cellStyle name="Style 117 7" xfId="4068" xr:uid="{BABD1BD0-108C-418C-9A67-56962D15792A}"/>
    <cellStyle name="Style 117 7 2" xfId="5258" xr:uid="{05F4446A-7B33-4D19-99FA-398FB55C665D}"/>
    <cellStyle name="Style 117 7 3" xfId="5257" xr:uid="{ED6DD7E4-EA05-4D6C-86FF-50C8ED2EF087}"/>
    <cellStyle name="Style 117 8" xfId="5259" xr:uid="{C4EBA246-3F7C-42A1-B754-91D7138E0D30}"/>
    <cellStyle name="Style 117 9" xfId="8680" xr:uid="{DA7009D6-3DDF-4B6B-8496-73A611F26D8A}"/>
    <cellStyle name="Style 117 9 2" xfId="26532" xr:uid="{B5A996F7-820C-4294-AB8C-C8018F717ACC}"/>
    <cellStyle name="Style 117_ADDON" xfId="7960" xr:uid="{A9416DB4-E0BB-497F-B2F1-B84CE8513476}"/>
    <cellStyle name="Style 118" xfId="986" xr:uid="{C2CA3FB4-021B-44FC-948D-7BC7920AB17C}"/>
    <cellStyle name="Style 118 10" xfId="22700" xr:uid="{4EC7D781-DC06-4C2B-A95B-C91F3C599D59}"/>
    <cellStyle name="Style 118 2" xfId="987" xr:uid="{F9E52DEC-B74E-4B17-A666-4A4405200148}"/>
    <cellStyle name="Style 118 2 2" xfId="8681" xr:uid="{621727E3-545D-4E7A-93BB-D591B79D077B}"/>
    <cellStyle name="Style 118 2 2 2" xfId="28835" xr:uid="{D0ACE664-0C99-4DD7-9F95-9BFF568A47EC}"/>
    <cellStyle name="Style 118 2 3" xfId="22701" xr:uid="{37A92705-F05B-42AC-BFD6-E36647860BCC}"/>
    <cellStyle name="Style 118 3" xfId="988" xr:uid="{401302F0-E15B-476A-9D7E-0837F78859DB}"/>
    <cellStyle name="Style 118 3 2" xfId="989" xr:uid="{81E78B55-4059-4383-ACA3-7550F8915920}"/>
    <cellStyle name="Style 118 3 2 2" xfId="22703" xr:uid="{6FB8C502-133E-49E4-83C2-2D86AFCE5F90}"/>
    <cellStyle name="Style 118 3 3" xfId="990" xr:uid="{120B63E7-E742-45BB-85A9-53E8BD9856F6}"/>
    <cellStyle name="Style 118 3 3 2" xfId="991" xr:uid="{1C8514E8-DC16-482A-B72B-C7C0A0E39E7B}"/>
    <cellStyle name="Style 118 3 3 2 2" xfId="22705" xr:uid="{D855709E-A944-4602-BE32-C1B5FD589DDE}"/>
    <cellStyle name="Style 118 3 3 3" xfId="5260" xr:uid="{381262BB-CA81-471E-A93D-942C0D20276E}"/>
    <cellStyle name="Style 118 3 3 3 2" xfId="22706" xr:uid="{4D495E6D-0245-4F4F-B14D-13223349D359}"/>
    <cellStyle name="Style 118 3 3 4" xfId="5261" xr:uid="{4455EFCD-9819-475A-AE8B-0A6E50188AE2}"/>
    <cellStyle name="Style 118 3 3 4 2" xfId="24413" xr:uid="{D0FA27EB-E889-43B1-8012-52FCAEC98C92}"/>
    <cellStyle name="Style 118 3 3 5" xfId="22704" xr:uid="{767B51E8-28F8-4757-A51A-19C7D506BE27}"/>
    <cellStyle name="Style 118 3 4" xfId="992" xr:uid="{26651F1D-6B49-4CFB-A853-A3630856CEAC}"/>
    <cellStyle name="Style 118 3 4 2" xfId="993" xr:uid="{A73A8E50-CDF8-4294-B5F8-E9F485DDDBD3}"/>
    <cellStyle name="Style 118 3 4 2 2" xfId="22708" xr:uid="{F78E644A-7463-4071-B13C-7F4167D69148}"/>
    <cellStyle name="Style 118 3 4 3" xfId="22707" xr:uid="{A6E97DFF-18CF-4B2F-9702-8302FE806D5A}"/>
    <cellStyle name="Style 118 3 5" xfId="5262" xr:uid="{1F352AFD-BC7A-43AF-AEFB-283CFA945BDE}"/>
    <cellStyle name="Style 118 3 5 2" xfId="24414" xr:uid="{7DADA2AA-7DE3-49E4-9267-34B9A1A84EAE}"/>
    <cellStyle name="Style 118 3 6" xfId="22702" xr:uid="{0BFE6960-0576-4D25-83D1-056AAF2BC8A8}"/>
    <cellStyle name="Style 118 4" xfId="994" xr:uid="{57BE6B38-1E2D-4CB8-8FE5-A83DC74DCEFD}"/>
    <cellStyle name="Style 118 4 2" xfId="995" xr:uid="{50FB067F-BD9D-4E3C-AFD4-B214E63E8436}"/>
    <cellStyle name="Style 118 4 2 2" xfId="22710" xr:uid="{4CA397CC-7D36-4D96-B922-46F46FD4F9A6}"/>
    <cellStyle name="Style 118 4 3" xfId="5263" xr:uid="{6B6D95E6-DE79-42BE-A41A-9C0B29275828}"/>
    <cellStyle name="Style 118 4 3 2" xfId="22711" xr:uid="{7A4C997B-4D24-4F5F-B7D5-F01B90839AC7}"/>
    <cellStyle name="Style 118 4 4" xfId="5264" xr:uid="{37CBBB4B-3402-4BDA-ABBD-422703064A67}"/>
    <cellStyle name="Style 118 4 4 2" xfId="24415" xr:uid="{A214E83B-E861-46AF-90F2-EBBF3071CB94}"/>
    <cellStyle name="Style 118 4 5" xfId="22709" xr:uid="{19D3D39F-456D-41A8-AF65-E42C1B700710}"/>
    <cellStyle name="Style 118 5" xfId="996" xr:uid="{4BE55A32-3BB1-427A-84D6-59A85ADF9E16}"/>
    <cellStyle name="Style 118 5 2" xfId="997" xr:uid="{6E60830E-48F1-4BD4-A44F-D02955C08079}"/>
    <cellStyle name="Style 118 5 2 2" xfId="22713" xr:uid="{3B0A9607-EA1E-4883-B58C-35767C54AE31}"/>
    <cellStyle name="Style 118 5 3" xfId="22712" xr:uid="{7867992A-4542-445F-976C-F0F3C8FB010F}"/>
    <cellStyle name="Style 118 6" xfId="998" xr:uid="{88E11340-0967-44CA-BE9A-415F316441FD}"/>
    <cellStyle name="Style 118 6 2" xfId="999" xr:uid="{632A0491-C557-4100-8385-E4939DDA0DC4}"/>
    <cellStyle name="Style 118 6 2 2" xfId="24416" xr:uid="{0C316284-4183-49CB-B69D-1B29B2B28C70}"/>
    <cellStyle name="Style 118 6 3" xfId="4071" xr:uid="{85333490-90F3-4CE1-A2E4-05985B8694B4}"/>
    <cellStyle name="Style 118 6 3 2" xfId="28314" xr:uid="{86AF847F-E4E5-4397-94C6-6E2455C3ED23}"/>
    <cellStyle name="Style 118 6 4" xfId="22714" xr:uid="{B1EBED49-1F24-4E5E-8763-5B7D72057FE7}"/>
    <cellStyle name="Style 118 7" xfId="4070" xr:uid="{B8DDE004-2206-4264-8BAB-500201082A53}"/>
    <cellStyle name="Style 118 7 2" xfId="5266" xr:uid="{F5651637-369A-498D-9DDA-B8253DFF7B29}"/>
    <cellStyle name="Style 118 7 2 2" xfId="24417" xr:uid="{1ECDC890-8636-4F4A-BB46-108261E44CCB}"/>
    <cellStyle name="Style 118 7 3" xfId="5265" xr:uid="{CC07152E-CACB-4F3F-969B-1F3120F3789F}"/>
    <cellStyle name="Style 118 7 3 2" xfId="40711" xr:uid="{937080CD-2E70-4A7D-AF70-3371328DDE89}"/>
    <cellStyle name="Style 118 7 4" xfId="22715" xr:uid="{81568264-ADF3-4E0A-95F4-49E80E7FB6FE}"/>
    <cellStyle name="Style 118 8" xfId="5267" xr:uid="{1D5ED31F-C24D-4906-AAEA-FF1273D5B445}"/>
    <cellStyle name="Style 118 8 2" xfId="24418" xr:uid="{A0873F4D-E0F4-4C8A-9276-6CC90D6684FF}"/>
    <cellStyle name="Style 118 9" xfId="8682" xr:uid="{8E09EA18-9CCE-447E-8053-A455A4F2F0DF}"/>
    <cellStyle name="Style 118 9 2" xfId="26533" xr:uid="{A9AB77DC-1E10-4C39-A1F1-FC8B35AE0CB1}"/>
    <cellStyle name="Style 118_ADDON" xfId="25733" xr:uid="{0E549E8E-5F72-4A1E-879A-EE350E3484F0}"/>
    <cellStyle name="Style 119" xfId="1000" xr:uid="{E343C5FE-E2F3-4BA5-A90D-17D6FC9F26D9}"/>
    <cellStyle name="Style 119 10" xfId="1001" xr:uid="{E1E0A35C-CADC-4716-A343-477B21E99FC6}"/>
    <cellStyle name="Style 119 10 2" xfId="1002" xr:uid="{0EA6B931-E2DA-40A1-B3EE-CBA80C42208A}"/>
    <cellStyle name="Style 119 10 2 2" xfId="5268" xr:uid="{E3963BA0-5413-403E-B5DC-0C12884F75EF}"/>
    <cellStyle name="Style 119 10 2 2 2" xfId="27129" xr:uid="{938C21DF-7B27-4CC9-9438-7D1B23C4C5A0}"/>
    <cellStyle name="Style 119 10 2 3" xfId="24419" xr:uid="{DF8972B8-5984-4CBD-BE76-5C0EEFF14307}"/>
    <cellStyle name="Style 119 10 3" xfId="4072" xr:uid="{68CB2F0A-A785-492D-8E82-F62B0E77E8FB}"/>
    <cellStyle name="Style 119 10 3 2" xfId="27128" xr:uid="{CA6EF1B2-FAD5-4542-8165-111BA8A6A212}"/>
    <cellStyle name="Style 119 10 4" xfId="22717" xr:uid="{42EFCD25-0CBA-4667-86F0-B0C91F47AAB5}"/>
    <cellStyle name="Style 119 11" xfId="1003" xr:uid="{2723B6DA-2944-43BE-9E74-F1FB98F061A7}"/>
    <cellStyle name="Style 119 11 2" xfId="1004" xr:uid="{C5DCF236-9D2E-4C56-98DE-A0AB10734DCD}"/>
    <cellStyle name="Style 119 11 2 2" xfId="5270" xr:uid="{C7D33934-8968-4CEF-AF9F-BA5638984166}"/>
    <cellStyle name="Style 119 11 2 2 2" xfId="27131" xr:uid="{B39AC183-C119-441E-9C23-94AE6642A932}"/>
    <cellStyle name="Style 119 11 2 3" xfId="24420" xr:uid="{7A1611C8-2032-457F-B088-A3D83FBE273A}"/>
    <cellStyle name="Style 119 11 3" xfId="5269" xr:uid="{1926BC9D-8192-4976-A62B-0A1A17934C7C}"/>
    <cellStyle name="Style 119 11 3 2" xfId="27130" xr:uid="{0320ECCF-DF41-4344-845B-8B04A2F4632B}"/>
    <cellStyle name="Style 119 11 4" xfId="22718" xr:uid="{8A0DE34B-F075-4E38-BAA2-CCBC9168DCB9}"/>
    <cellStyle name="Style 119 12" xfId="1005" xr:uid="{B187264B-ABAF-46A6-84C5-236B375C32CB}"/>
    <cellStyle name="Style 119 12 2" xfId="5271" xr:uid="{F450CAC7-392B-49AC-9457-14C934A7E9E4}"/>
    <cellStyle name="Style 119 12 2 2" xfId="27132" xr:uid="{83ED8302-8480-47B3-8170-7EA7AB583296}"/>
    <cellStyle name="Style 119 12 3" xfId="8683" xr:uid="{703D26C9-3861-410B-BDF6-2742BDBA9D93}"/>
    <cellStyle name="Style 119 12 3 2" xfId="28836" xr:uid="{84C45AC4-4225-48A7-9CB5-B284EB32DB29}"/>
    <cellStyle name="Style 119 12 4" xfId="8684" xr:uid="{22F109D8-BDED-4C9E-A19C-BEB1B7338BDB}"/>
    <cellStyle name="Style 119 12 4 2" xfId="28837" xr:uid="{D24D9957-818D-4E22-B39A-D6296B30840D}"/>
    <cellStyle name="Style 119 12 5" xfId="8685" xr:uid="{1F11ED44-1706-4BE6-AF85-EDC1FE88CF75}"/>
    <cellStyle name="Style 119 12 5 2" xfId="28838" xr:uid="{5CC0AC6D-7019-40AE-A9DD-0C1F0FE0945B}"/>
    <cellStyle name="Style 119 12 6" xfId="8686" xr:uid="{D8DD5254-FBE6-4137-AECF-9B9751F53BB1}"/>
    <cellStyle name="Style 119 12 6 2" xfId="28839" xr:uid="{64C96F08-7A15-462A-9C23-F7FD46A71F6A}"/>
    <cellStyle name="Style 119 12 7" xfId="24421" xr:uid="{6FA28B74-11CD-494D-AF16-17BB6C0A621B}"/>
    <cellStyle name="Style 119 13" xfId="8687" xr:uid="{725B5347-F8CA-4F38-AC66-461DA578928B}"/>
    <cellStyle name="Style 119 13 2" xfId="8688" xr:uid="{F3C5806D-E62D-4A03-B483-30AF8425CBD8}"/>
    <cellStyle name="Style 119 13 2 2" xfId="28840" xr:uid="{54638EF9-A891-4004-A590-1A72F8946A45}"/>
    <cellStyle name="Style 119 13 3" xfId="8689" xr:uid="{717D7427-AFB6-45C2-A14A-5F037D10B601}"/>
    <cellStyle name="Style 119 13 3 2" xfId="28841" xr:uid="{C85FEE4F-3861-4355-9917-E84D2D3938CC}"/>
    <cellStyle name="Style 119 13 4" xfId="26534" xr:uid="{59580C82-50C5-4722-8A62-DC3B6F7B4898}"/>
    <cellStyle name="Style 119 14" xfId="8690" xr:uid="{09575065-11B4-4042-9345-4B3CEC350E78}"/>
    <cellStyle name="Style 119 14 2" xfId="8691" xr:uid="{DF30BE37-797E-4D95-AA1E-300F6C6DFE72}"/>
    <cellStyle name="Style 119 14 2 2" xfId="28843" xr:uid="{88DC0322-DAB8-4241-A879-444DE0066DCF}"/>
    <cellStyle name="Style 119 14 3" xfId="28842" xr:uid="{53018529-40B3-4BBA-A3D8-470AA8B4788B}"/>
    <cellStyle name="Style 119 15" xfId="8692" xr:uid="{8CE3DACD-3147-4CF4-91F7-02FE69BC25C3}"/>
    <cellStyle name="Style 119 15 2" xfId="8693" xr:uid="{FF79A638-C4A4-4A42-AB9A-B84D447567CD}"/>
    <cellStyle name="Style 119 15 2 2" xfId="28845" xr:uid="{5379D470-2B21-4551-BCB0-E8CAF70D6E59}"/>
    <cellStyle name="Style 119 15 3" xfId="28844" xr:uid="{32CB35FA-4ACA-436A-B41B-50BADFFC2B8D}"/>
    <cellStyle name="Style 119 16" xfId="22716" xr:uid="{202571F5-291E-4329-A304-CCB446C9035F}"/>
    <cellStyle name="Style 119 2" xfId="1006" xr:uid="{5DE65ADD-43DB-4551-BFB5-7A0099C09FFA}"/>
    <cellStyle name="Style 119 2 2" xfId="4340" xr:uid="{54F46FC4-3F8B-49F9-BD6E-AEE921254FB1}"/>
    <cellStyle name="Style 119 2 2 2" xfId="26535" xr:uid="{A8406256-3D21-4554-8739-000452635CD1}"/>
    <cellStyle name="Style 119 2 3" xfId="22719" xr:uid="{BBA4A6B5-36C6-45F6-9BEC-C2A1ED5254C6}"/>
    <cellStyle name="Style 119 3" xfId="1007" xr:uid="{C29BF25C-C9A1-4C20-B19B-3378972C6F7E}"/>
    <cellStyle name="Style 119 3 2" xfId="1008" xr:uid="{C3698661-F894-4A06-941D-9EC802559E84}"/>
    <cellStyle name="Style 119 3 2 2" xfId="1009" xr:uid="{BF14BE7A-CF43-485C-8EDA-48C9F1C67299}"/>
    <cellStyle name="Style 119 3 2 2 2" xfId="5272" xr:uid="{7D8F3ABC-C8EC-435D-9634-30A152F070C0}"/>
    <cellStyle name="Style 119 3 2 2 2 2" xfId="27133" xr:uid="{4AE56300-2212-4D41-93C3-8EF0406BA919}"/>
    <cellStyle name="Style 119 3 2 2 3" xfId="22722" xr:uid="{90F13897-E71F-4046-8245-39C94C46CCDD}"/>
    <cellStyle name="Style 119 3 2 3" xfId="4342" xr:uid="{B3ED6FE5-3C27-4CA5-B701-45A31E865223}"/>
    <cellStyle name="Style 119 3 2 3 2" xfId="26537" xr:uid="{7F45F36A-7630-4F1B-B36A-E290D96F5353}"/>
    <cellStyle name="Style 119 3 2 4" xfId="22721" xr:uid="{11AD1652-A70C-4AAF-8E61-3E3ED3B44CB5}"/>
    <cellStyle name="Style 119 3 3" xfId="1010" xr:uid="{C2FCCB2C-1451-4F5A-A79A-735B6B0F7A1D}"/>
    <cellStyle name="Style 119 3 3 2" xfId="1011" xr:uid="{93A60F34-5472-4D4C-BF46-AF483383E65E}"/>
    <cellStyle name="Style 119 3 3 2 2" xfId="5274" xr:uid="{54176664-22D4-4D94-B30D-43FCF525B336}"/>
    <cellStyle name="Style 119 3 3 2 2 2" xfId="27135" xr:uid="{09D785A6-DD87-4C2C-96F2-A694FEBEB88C}"/>
    <cellStyle name="Style 119 3 3 2 3" xfId="22724" xr:uid="{FF2F1A96-C61B-4BAD-BE73-DB91A3E4157C}"/>
    <cellStyle name="Style 119 3 3 3" xfId="1012" xr:uid="{86B8938A-40E6-4ABC-A37A-E88AE826D5C6}"/>
    <cellStyle name="Style 119 3 3 3 2" xfId="1013" xr:uid="{A961C126-387D-49FB-89DD-70ABA458E547}"/>
    <cellStyle name="Style 119 3 3 3 2 2" xfId="5276" xr:uid="{E4957C98-D6D5-47CF-8BD9-1A31C8B9D1F1}"/>
    <cellStyle name="Style 119 3 3 3 2 2 2" xfId="27137" xr:uid="{1EFDFF99-C329-452C-A243-D51AD606E64B}"/>
    <cellStyle name="Style 119 3 3 3 2 3" xfId="22726" xr:uid="{20AE8F59-46BA-46B9-9355-C732C70F351A}"/>
    <cellStyle name="Style 119 3 3 3 3" xfId="5277" xr:uid="{A47B4029-42B9-404E-B37C-F5347B6AFDAE}"/>
    <cellStyle name="Style 119 3 3 3 3 2" xfId="22727" xr:uid="{99082351-FA4F-469C-B462-C879F6862A26}"/>
    <cellStyle name="Style 119 3 3 3 4" xfId="5278" xr:uid="{EABA60EC-06C1-4D13-B8C3-CED9CE42D904}"/>
    <cellStyle name="Style 119 3 3 3 4 2" xfId="24422" xr:uid="{59E20121-760F-49A0-9E05-F1253751FA28}"/>
    <cellStyle name="Style 119 3 3 3 5" xfId="5275" xr:uid="{2A5893E0-62D1-4CA6-B067-442702859A0D}"/>
    <cellStyle name="Style 119 3 3 3 5 2" xfId="27136" xr:uid="{3222FE24-ADFC-4F09-8C4E-E165F21831C2}"/>
    <cellStyle name="Style 119 3 3 3 6" xfId="22725" xr:uid="{FDC28118-21FD-4C7F-B817-7ED5733904A9}"/>
    <cellStyle name="Style 119 3 3 4" xfId="1014" xr:uid="{58C8D419-A4F9-4E4A-A4E0-81EB8529704B}"/>
    <cellStyle name="Style 119 3 3 4 2" xfId="1015" xr:uid="{0A39FD77-8156-4F13-8B78-1573B70EB6B4}"/>
    <cellStyle name="Style 119 3 3 4 2 2" xfId="5280" xr:uid="{131F8F36-7CAE-4DAA-A51E-F296FC65CA5A}"/>
    <cellStyle name="Style 119 3 3 4 2 2 2" xfId="27139" xr:uid="{9BBE1488-903A-4ACE-8BD0-49A8775F3F88}"/>
    <cellStyle name="Style 119 3 3 4 2 3" xfId="22729" xr:uid="{EA4DB141-8021-4128-963A-2A8BC6F8EDE6}"/>
    <cellStyle name="Style 119 3 3 4 3" xfId="5279" xr:uid="{C64BE602-E6E9-47D8-9530-207E81C1A68D}"/>
    <cellStyle name="Style 119 3 3 4 3 2" xfId="27138" xr:uid="{DEF19134-9D10-4ECF-A60B-7BD03C50C1AE}"/>
    <cellStyle name="Style 119 3 3 4 4" xfId="22728" xr:uid="{B4DFEB4B-B766-4F25-A41F-A99C251A8EC0}"/>
    <cellStyle name="Style 119 3 3 5" xfId="5281" xr:uid="{7BA97EE0-456E-4D99-BD9A-6F8A94164BD0}"/>
    <cellStyle name="Style 119 3 3 5 2" xfId="24423" xr:uid="{37617B09-D481-4D26-813A-F8265A3F425D}"/>
    <cellStyle name="Style 119 3 3 6" xfId="5273" xr:uid="{963AEEBD-B512-41D6-AE0B-B853D42AF05E}"/>
    <cellStyle name="Style 119 3 3 6 2" xfId="27134" xr:uid="{ED77BE55-E805-41AF-A304-BFB7CE7C0CA6}"/>
    <cellStyle name="Style 119 3 3 7" xfId="22723" xr:uid="{5AEECD4E-CAF3-4312-BA7E-9D6C82D52094}"/>
    <cellStyle name="Style 119 3 4" xfId="1016" xr:uid="{20A01168-9A76-4F88-BC2F-7EB296ADD4D3}"/>
    <cellStyle name="Style 119 3 4 2" xfId="5283" xr:uid="{71D1CAA6-FC07-4612-B816-2D73DB9EF107}"/>
    <cellStyle name="Style 119 3 4 2 2" xfId="22731" xr:uid="{300E1DB9-F55B-4F63-8191-4C4593114808}"/>
    <cellStyle name="Style 119 3 4 3" xfId="5284" xr:uid="{4A267C3F-3191-4176-A42C-34563189C76A}"/>
    <cellStyle name="Style 119 3 4 3 2" xfId="24424" xr:uid="{52ACC3C3-4FCE-495E-9405-107C8F12934D}"/>
    <cellStyle name="Style 119 3 4 4" xfId="5282" xr:uid="{E062AD00-9642-4A11-9B1E-01285D71684D}"/>
    <cellStyle name="Style 119 3 4 4 2" xfId="27140" xr:uid="{3855E8B7-F6E7-44E9-B446-B9D2D54D6A6B}"/>
    <cellStyle name="Style 119 3 4 5" xfId="22730" xr:uid="{C4BA71C5-94E9-493C-81B5-1616619380AF}"/>
    <cellStyle name="Style 119 3 5" xfId="5285" xr:uid="{D5EDF8EB-7057-4E6B-B30E-CE124640A8CC}"/>
    <cellStyle name="Style 119 3 5 2" xfId="8694" xr:uid="{60C023A0-0A08-416E-ABA5-94D46A1B2D99}"/>
    <cellStyle name="Style 119 3 5 2 2" xfId="27141" xr:uid="{62A8FC71-51BE-4669-8933-435E765FD522}"/>
    <cellStyle name="Style 119 3 5 3" xfId="22732" xr:uid="{1CC9E19D-34EA-4DFC-AAA2-084D2CBD242A}"/>
    <cellStyle name="Style 119 3 6" xfId="4341" xr:uid="{B6CBC455-B6CB-4EDF-A64A-A2309ACDEBAF}"/>
    <cellStyle name="Style 119 3 6 2" xfId="26536" xr:uid="{2A0A5807-4D51-4C01-8269-474E0FB99EA7}"/>
    <cellStyle name="Style 119 3 7" xfId="22720" xr:uid="{84C354DC-2F4C-4F05-8117-82E5AE8D1988}"/>
    <cellStyle name="Style 119 4" xfId="1017" xr:uid="{9E68DF6D-F0A1-4CE1-ADAB-5E4332164B5B}"/>
    <cellStyle name="Style 119 4 2" xfId="1018" xr:uid="{3688618E-5988-462A-93D6-8A1F2FF7AE57}"/>
    <cellStyle name="Style 119 4 2 2" xfId="1019" xr:uid="{662059FF-8745-47A6-A563-7CA22E6AC60E}"/>
    <cellStyle name="Style 119 4 2 2 2" xfId="5288" xr:uid="{91138EC2-DF9A-40FE-9C77-80601721F54B}"/>
    <cellStyle name="Style 119 4 2 2 2 2" xfId="27143" xr:uid="{B34428A4-977D-4FD0-B889-3F477F5AF5B8}"/>
    <cellStyle name="Style 119 4 2 2 3" xfId="22735" xr:uid="{D429FD13-1011-4C38-8971-ECCFA20B78FD}"/>
    <cellStyle name="Style 119 4 2 3" xfId="1020" xr:uid="{D1BF87E8-2570-40ED-AD19-991F16548900}"/>
    <cellStyle name="Style 119 4 2 3 2" xfId="1021" xr:uid="{A1124031-B84A-4546-B4D5-FB499A35CC8A}"/>
    <cellStyle name="Style 119 4 2 3 2 2" xfId="5290" xr:uid="{09204CF0-77C2-4660-8197-1C199A6D9BF6}"/>
    <cellStyle name="Style 119 4 2 3 2 2 2" xfId="27145" xr:uid="{D790AD84-C384-4BAB-B3D1-2D05C18CD596}"/>
    <cellStyle name="Style 119 4 2 3 2 3" xfId="22737" xr:uid="{97369E81-4318-4202-960F-196B2424EAB6}"/>
    <cellStyle name="Style 119 4 2 3 3" xfId="5291" xr:uid="{8C21A898-4E67-46DA-A3D4-851DFA25E5E1}"/>
    <cellStyle name="Style 119 4 2 3 3 2" xfId="22738" xr:uid="{1D8B769B-F3AA-46A5-A452-7346BD549C06}"/>
    <cellStyle name="Style 119 4 2 3 4" xfId="5292" xr:uid="{A4B0C38C-32B0-4515-8992-6575F4146263}"/>
    <cellStyle name="Style 119 4 2 3 4 2" xfId="24425" xr:uid="{3B98616E-2B4F-4CEA-95BC-15D150FDCBA8}"/>
    <cellStyle name="Style 119 4 2 3 5" xfId="5289" xr:uid="{B78A8FDC-F0F4-4073-9D33-7FABB363E3D9}"/>
    <cellStyle name="Style 119 4 2 3 5 2" xfId="27144" xr:uid="{B24D0BA8-CA83-46D5-9465-98417B7FCD1F}"/>
    <cellStyle name="Style 119 4 2 3 6" xfId="22736" xr:uid="{6E223034-00A1-4C49-A102-854252424AE0}"/>
    <cellStyle name="Style 119 4 2 4" xfId="1022" xr:uid="{75042995-13D1-4189-A228-73BA01E71DE5}"/>
    <cellStyle name="Style 119 4 2 4 2" xfId="1023" xr:uid="{4015E2F6-290E-48ED-9856-146C6D7843AB}"/>
    <cellStyle name="Style 119 4 2 4 2 2" xfId="5294" xr:uid="{AC7C60C3-CC47-434E-A949-EC906E8AC282}"/>
    <cellStyle name="Style 119 4 2 4 2 2 2" xfId="27147" xr:uid="{D3941585-E77C-46CD-8FA6-AA612D493399}"/>
    <cellStyle name="Style 119 4 2 4 2 3" xfId="22740" xr:uid="{A1223A06-C45B-47D5-8518-7821A43EBAC3}"/>
    <cellStyle name="Style 119 4 2 4 3" xfId="5293" xr:uid="{DE60E4FF-308E-4027-8416-D3472B586565}"/>
    <cellStyle name="Style 119 4 2 4 3 2" xfId="27146" xr:uid="{DD6EC5E8-B6AF-436B-9F63-DE9A85C8D1F1}"/>
    <cellStyle name="Style 119 4 2 4 4" xfId="22739" xr:uid="{35638DBE-1B05-4726-8AD1-2FB6F2974B48}"/>
    <cellStyle name="Style 119 4 2 5" xfId="5295" xr:uid="{804639E7-0A52-4BBD-BF77-416C93016F82}"/>
    <cellStyle name="Style 119 4 2 5 2" xfId="24426" xr:uid="{A559B1B2-8911-4938-8B0F-C03458ACC734}"/>
    <cellStyle name="Style 119 4 2 6" xfId="5287" xr:uid="{52160E5C-ACE4-4608-8CB9-5E0F2FD91F63}"/>
    <cellStyle name="Style 119 4 2 6 2" xfId="27142" xr:uid="{5CA63E21-E657-49B7-9981-0FA43A85835E}"/>
    <cellStyle name="Style 119 4 2 7" xfId="22734" xr:uid="{29A55A9F-4369-42E7-83FB-0469324C4681}"/>
    <cellStyle name="Style 119 4 3" xfId="1024" xr:uid="{12CCCF67-3776-421C-8D21-FFA350382DDA}"/>
    <cellStyle name="Style 119 4 3 2" xfId="5296" xr:uid="{92661E32-7588-47F0-8843-A5F96EAB2FB2}"/>
    <cellStyle name="Style 119 4 3 2 2" xfId="27148" xr:uid="{517FB473-757D-42E2-9279-41A50C6269CE}"/>
    <cellStyle name="Style 119 4 3 3" xfId="22741" xr:uid="{02F4F6D8-123D-4229-BF22-762E469A956F}"/>
    <cellStyle name="Style 119 4 4" xfId="5297" xr:uid="{61DC2DDF-07CE-46A2-BB12-A4CC9957E51B}"/>
    <cellStyle name="Style 119 4 4 2" xfId="5298" xr:uid="{9503CF1F-2032-4B89-BC82-DE6D6978A158}"/>
    <cellStyle name="Style 119 4 4 2 2" xfId="24427" xr:uid="{6633DD3B-86B9-44E6-9824-DC895D01932E}"/>
    <cellStyle name="Style 119 4 4 3" xfId="22742" xr:uid="{BAB215E0-F714-4B04-A5F1-B9D30E5C1CD1}"/>
    <cellStyle name="Style 119 4 5" xfId="5286" xr:uid="{FE546C3B-BD36-431B-B85F-CCA9C2BCE1B7}"/>
    <cellStyle name="Style 119 4 5 2" xfId="25921" xr:uid="{A71067F2-A4B4-41D3-A248-A2931568DA46}"/>
    <cellStyle name="Style 119 4 6" xfId="4343" xr:uid="{D0BDA47C-3BA3-494B-A7BE-432E6A389404}"/>
    <cellStyle name="Style 119 4 6 2" xfId="26538" xr:uid="{11690B70-6114-47C0-AF79-9859F4F006F2}"/>
    <cellStyle name="Style 119 4 7" xfId="22733" xr:uid="{E091048C-0757-4D13-A0F8-67F4ED78996D}"/>
    <cellStyle name="Style 119 5" xfId="1025" xr:uid="{A2AD2DB4-027F-4B1B-8949-9CD7D585ED2F}"/>
    <cellStyle name="Style 119 5 2" xfId="1026" xr:uid="{D931028F-A792-44DE-B56C-F9E4E0070BEA}"/>
    <cellStyle name="Style 119 5 2 2" xfId="1027" xr:uid="{0D70FDC6-1162-4D57-B116-67BDCB639476}"/>
    <cellStyle name="Style 119 5 2 2 2" xfId="5301" xr:uid="{9331323C-8A8F-42CF-A248-0463E800E56A}"/>
    <cellStyle name="Style 119 5 2 2 2 2" xfId="27150" xr:uid="{C242E72A-358F-43ED-822E-2D607F1A6470}"/>
    <cellStyle name="Style 119 5 2 2 3" xfId="22745" xr:uid="{34DBF1BD-F3D8-42E2-B25D-FEDC3955FBB6}"/>
    <cellStyle name="Style 119 5 2 3" xfId="1028" xr:uid="{3FA49904-DC16-4FD2-89EE-C24BB370F397}"/>
    <cellStyle name="Style 119 5 2 3 2" xfId="1029" xr:uid="{43E0B78D-F7A3-4849-8FE0-FD9B2FEA0080}"/>
    <cellStyle name="Style 119 5 2 3 2 2" xfId="5303" xr:uid="{76911D65-05EE-41AD-832A-D446D08D62BF}"/>
    <cellStyle name="Style 119 5 2 3 2 2 2" xfId="27152" xr:uid="{1C12D4DA-1990-4A40-9962-6D80BBFD8582}"/>
    <cellStyle name="Style 119 5 2 3 2 3" xfId="22747" xr:uid="{38E16E5F-3204-4F37-86E9-38A8F45B16BA}"/>
    <cellStyle name="Style 119 5 2 3 3" xfId="5304" xr:uid="{8442BC23-612F-4BDA-BE10-E030B00586E8}"/>
    <cellStyle name="Style 119 5 2 3 3 2" xfId="22748" xr:uid="{40026879-3DD5-46C3-AC04-1E5810EC7751}"/>
    <cellStyle name="Style 119 5 2 3 4" xfId="5305" xr:uid="{51A75BC0-B013-4A97-ACF5-D74C566F093F}"/>
    <cellStyle name="Style 119 5 2 3 4 2" xfId="24428" xr:uid="{D1681C46-6CD2-466D-A201-5AB9BF2269A8}"/>
    <cellStyle name="Style 119 5 2 3 5" xfId="5302" xr:uid="{FD269BC6-473C-4CA9-A123-FA5699D7C4B0}"/>
    <cellStyle name="Style 119 5 2 3 5 2" xfId="27151" xr:uid="{C5B5B8DC-C33B-4D8C-9359-8B5CD4DF4FB4}"/>
    <cellStyle name="Style 119 5 2 3 6" xfId="22746" xr:uid="{E558A6B2-3121-40EB-BA30-71A255DE16AC}"/>
    <cellStyle name="Style 119 5 2 4" xfId="1030" xr:uid="{B3BA7FBD-22E3-4D7C-9719-EB4524EB3F0C}"/>
    <cellStyle name="Style 119 5 2 4 2" xfId="1031" xr:uid="{209B3328-2628-4C52-8CDA-EB8B753C1FD4}"/>
    <cellStyle name="Style 119 5 2 4 2 2" xfId="5307" xr:uid="{F61EF5D1-A67B-494E-9F50-6CABA674DF00}"/>
    <cellStyle name="Style 119 5 2 4 2 2 2" xfId="27154" xr:uid="{EFC77785-6659-4C43-A7BA-A419D6D17FB1}"/>
    <cellStyle name="Style 119 5 2 4 2 3" xfId="22750" xr:uid="{72A940B4-E3EE-483B-9F98-B9CCBCF096C8}"/>
    <cellStyle name="Style 119 5 2 4 3" xfId="5306" xr:uid="{8D58784C-76E3-4A7B-AC27-98A702FC4C73}"/>
    <cellStyle name="Style 119 5 2 4 3 2" xfId="27153" xr:uid="{8F90E602-B842-483E-9A3B-DC286455FE84}"/>
    <cellStyle name="Style 119 5 2 4 4" xfId="22749" xr:uid="{0FC02310-78FD-411D-861F-485E03277617}"/>
    <cellStyle name="Style 119 5 2 5" xfId="5308" xr:uid="{8721EFAD-90FC-46E9-A690-D5404C5C3884}"/>
    <cellStyle name="Style 119 5 2 5 2" xfId="24429" xr:uid="{9ACE9FEB-4AB7-425C-9815-1421F2044969}"/>
    <cellStyle name="Style 119 5 2 6" xfId="5300" xr:uid="{C20E3260-D2A1-4A7B-B81B-038679BAD099}"/>
    <cellStyle name="Style 119 5 2 6 2" xfId="27149" xr:uid="{4611AB51-CFFF-46BC-B5F8-8716E0195A2C}"/>
    <cellStyle name="Style 119 5 2 7" xfId="22744" xr:uid="{C4873404-9FF1-4312-8003-2B34101F4E4A}"/>
    <cellStyle name="Style 119 5 3" xfId="1032" xr:uid="{0D2E32C2-444B-4D91-8B0E-5F1BC7077684}"/>
    <cellStyle name="Style 119 5 3 2" xfId="5309" xr:uid="{E5A1B254-D315-4D55-90FF-C9C9D0E5B96F}"/>
    <cellStyle name="Style 119 5 3 2 2" xfId="27155" xr:uid="{E32B2164-EC83-45BB-9E47-7BDA3E52D934}"/>
    <cellStyle name="Style 119 5 3 3" xfId="22751" xr:uid="{E272D635-4AA0-4C9F-A926-4E5971118032}"/>
    <cellStyle name="Style 119 5 4" xfId="5310" xr:uid="{21A2E202-E70D-4978-B870-408035E58191}"/>
    <cellStyle name="Style 119 5 4 2" xfId="5311" xr:uid="{FC10EFDD-C8D2-499F-BB00-42185AE5E707}"/>
    <cellStyle name="Style 119 5 4 2 2" xfId="24430" xr:uid="{18E26FD4-9D67-4DC6-B1DA-C71242C27DAC}"/>
    <cellStyle name="Style 119 5 4 3" xfId="22752" xr:uid="{E51C96F0-F0D5-4F65-A810-4C9A8C75849A}"/>
    <cellStyle name="Style 119 5 5" xfId="5299" xr:uid="{DDB1C228-E3AB-40C0-A26C-6F0FD7E25B1D}"/>
    <cellStyle name="Style 119 5 5 2" xfId="25922" xr:uid="{BE661C29-6425-4531-A205-3DB8EB6F678A}"/>
    <cellStyle name="Style 119 5 6" xfId="4344" xr:uid="{E26F2FDF-C85E-4CAF-A470-F3BD97D4D900}"/>
    <cellStyle name="Style 119 5 6 2" xfId="26539" xr:uid="{D56EF1F8-4CDE-475E-9CC9-D4D1C811E667}"/>
    <cellStyle name="Style 119 5 7" xfId="22743" xr:uid="{1FC62BAF-A58C-4D60-ABE9-44DD93F7334F}"/>
    <cellStyle name="Style 119 6" xfId="1033" xr:uid="{010530E6-B0DC-4E85-9532-95597A903B46}"/>
    <cellStyle name="Style 119 6 2" xfId="1034" xr:uid="{08F80843-CB70-46B3-9610-8972CE603C47}"/>
    <cellStyle name="Style 119 6 2 2" xfId="5313" xr:uid="{1CB5FE13-45CD-4083-8E4E-73645963BB74}"/>
    <cellStyle name="Style 119 6 2 2 2" xfId="27157" xr:uid="{DB101D3E-5A50-49FD-AE05-D1BC0DEEE9DA}"/>
    <cellStyle name="Style 119 6 2 3" xfId="22754" xr:uid="{0939ECEC-D0CE-4E2C-B785-63B5AA2C699F}"/>
    <cellStyle name="Style 119 6 3" xfId="1035" xr:uid="{C6D5253E-F918-4BE3-BA47-E32F7339F53C}"/>
    <cellStyle name="Style 119 6 3 2" xfId="1036" xr:uid="{40CFC7E9-250C-4720-B620-C0821AB9759F}"/>
    <cellStyle name="Style 119 6 3 2 2" xfId="5315" xr:uid="{B5C9E43B-770B-4EA4-A37A-B58558E1006E}"/>
    <cellStyle name="Style 119 6 3 2 2 2" xfId="27159" xr:uid="{425B9B37-3A74-48F6-A2B1-01DE7B478063}"/>
    <cellStyle name="Style 119 6 3 2 3" xfId="22756" xr:uid="{29DFBBCD-6D71-41BA-8ED1-855536DDA662}"/>
    <cellStyle name="Style 119 6 3 3" xfId="5316" xr:uid="{23D658EA-38D4-46B8-A6BA-74B2810C5180}"/>
    <cellStyle name="Style 119 6 3 3 2" xfId="22757" xr:uid="{61DA8EC9-4DB0-4F40-90AC-246526C79BED}"/>
    <cellStyle name="Style 119 6 3 4" xfId="5317" xr:uid="{AAA52251-C097-494C-8CD5-C6CA6ACCF623}"/>
    <cellStyle name="Style 119 6 3 4 2" xfId="24431" xr:uid="{1EC845F7-238F-4CA6-868A-9FE33982BCD6}"/>
    <cellStyle name="Style 119 6 3 5" xfId="5314" xr:uid="{5443BAEF-63CC-4A85-BBCD-C4ACF578E50F}"/>
    <cellStyle name="Style 119 6 3 5 2" xfId="27158" xr:uid="{B8AB26BC-34CC-4AF8-B65D-3C68E0A29AC0}"/>
    <cellStyle name="Style 119 6 3 6" xfId="22755" xr:uid="{E856C4E9-844C-483F-AAA0-49483119F708}"/>
    <cellStyle name="Style 119 6 4" xfId="1037" xr:uid="{2CB00D42-656E-4E6A-B3BA-13E8E85EB14A}"/>
    <cellStyle name="Style 119 6 4 2" xfId="1038" xr:uid="{0D1EB22A-20D6-4C16-9E38-CC79EBBBB761}"/>
    <cellStyle name="Style 119 6 4 2 2" xfId="5319" xr:uid="{C896C478-326B-46EE-94D6-A9790725CF93}"/>
    <cellStyle name="Style 119 6 4 2 2 2" xfId="27161" xr:uid="{06EADC2C-7B9C-4AAD-B6B3-9C6148E3A9B8}"/>
    <cellStyle name="Style 119 6 4 2 3" xfId="22759" xr:uid="{36BF53FB-EB5C-4171-95B6-7783588CC9F4}"/>
    <cellStyle name="Style 119 6 4 3" xfId="5318" xr:uid="{B02ABB95-4D85-4C5C-A99D-8072727F564C}"/>
    <cellStyle name="Style 119 6 4 3 2" xfId="27160" xr:uid="{CF0C24F9-E82E-4E9F-87A1-72D7F231B835}"/>
    <cellStyle name="Style 119 6 4 4" xfId="22758" xr:uid="{4E450266-7E40-4380-9588-EA5C2FF6D4FA}"/>
    <cellStyle name="Style 119 6 5" xfId="5320" xr:uid="{27536F84-C832-4FF0-94D7-C747C5DDF2D3}"/>
    <cellStyle name="Style 119 6 5 2" xfId="24432" xr:uid="{D2872A13-8C81-443F-85BF-591E7DA53048}"/>
    <cellStyle name="Style 119 6 6" xfId="5312" xr:uid="{06E5D5CC-8387-468C-A948-30C885D0A73F}"/>
    <cellStyle name="Style 119 6 6 2" xfId="27156" xr:uid="{336E2F4B-E2AF-454A-9200-B62CFCDEC196}"/>
    <cellStyle name="Style 119 6 7" xfId="22753" xr:uid="{ADFA24D9-9E44-412F-9FBE-5FE7969781FA}"/>
    <cellStyle name="Style 119 7" xfId="1039" xr:uid="{3C4A2FE4-7920-48FD-AED0-E1C8EB4ED348}"/>
    <cellStyle name="Style 119 7 2" xfId="1040" xr:uid="{A8257561-664B-42F4-91E3-1AA9F64F47D2}"/>
    <cellStyle name="Style 119 7 2 2" xfId="5322" xr:uid="{B50BECAA-E944-4086-ABFB-C5FCD646DC47}"/>
    <cellStyle name="Style 119 7 2 2 2" xfId="27163" xr:uid="{39975073-54BE-486D-B1EC-118A3FDE8AE9}"/>
    <cellStyle name="Style 119 7 2 3" xfId="22761" xr:uid="{88519274-AEDC-4DAA-ACCF-9F70FB96AAAE}"/>
    <cellStyle name="Style 119 7 3" xfId="5323" xr:uid="{E209BED8-8C0D-48CD-95EC-5A395C859B8F}"/>
    <cellStyle name="Style 119 7 3 2" xfId="22762" xr:uid="{CE965380-AED0-49D5-B665-C0F8C650792E}"/>
    <cellStyle name="Style 119 7 4" xfId="5324" xr:uid="{6565927D-028B-47A8-9A66-C16111865F86}"/>
    <cellStyle name="Style 119 7 4 2" xfId="24433" xr:uid="{1C512AE9-65AA-4078-8AD3-78934275512C}"/>
    <cellStyle name="Style 119 7 5" xfId="5321" xr:uid="{A82FEFE9-1DCE-4A01-A80A-B03463DEBD4A}"/>
    <cellStyle name="Style 119 7 5 2" xfId="27162" xr:uid="{02DE35F7-C3F2-476F-A08C-F06E753EB301}"/>
    <cellStyle name="Style 119 7 6" xfId="22760" xr:uid="{9C9AA143-5B14-48FD-97C8-CC674670559B}"/>
    <cellStyle name="Style 119 8" xfId="1041" xr:uid="{C27C0865-41DC-44FB-B4C5-5331528DB65F}"/>
    <cellStyle name="Style 119 8 2" xfId="1042" xr:uid="{CB7FD027-4192-4B2F-93BC-BC24F76E6532}"/>
    <cellStyle name="Style 119 8 2 2" xfId="5326" xr:uid="{2E207F0F-4B39-4B87-AF8C-50D08AF39E84}"/>
    <cellStyle name="Style 119 8 2 2 2" xfId="27165" xr:uid="{4C39ED04-F591-46F9-963A-86B00588476F}"/>
    <cellStyle name="Style 119 8 2 3" xfId="22764" xr:uid="{E38A8FEA-D0F4-40C7-85DE-FDABDAFB34BF}"/>
    <cellStyle name="Style 119 8 3" xfId="5327" xr:uid="{CC2E7C9C-540A-4DEA-95DE-8CF04017B0CA}"/>
    <cellStyle name="Style 119 8 3 2" xfId="22765" xr:uid="{737CAC35-4269-46DB-9B3F-E877D8D38326}"/>
    <cellStyle name="Style 119 8 4" xfId="5328" xr:uid="{8A704F6E-1C1A-4DE6-A480-1BBAA8531F20}"/>
    <cellStyle name="Style 119 8 4 2" xfId="24434" xr:uid="{59A4EA83-D188-422F-A181-104FE1E111DB}"/>
    <cellStyle name="Style 119 8 5" xfId="5325" xr:uid="{D9556042-061F-4E4E-A763-0526E1967E11}"/>
    <cellStyle name="Style 119 8 5 2" xfId="27164" xr:uid="{31C29C95-30A4-47E3-9E92-F0C4F3896C53}"/>
    <cellStyle name="Style 119 8 6" xfId="22763" xr:uid="{CF8EEA91-73C7-4F70-9074-64A55A365403}"/>
    <cellStyle name="Style 119 9" xfId="1043" xr:uid="{94C4E3FB-67CD-4200-AF53-A50029CFDC10}"/>
    <cellStyle name="Style 119 9 2" xfId="1044" xr:uid="{46F6B9C8-31DE-4FEC-B40A-0E6F0E6AE0C8}"/>
    <cellStyle name="Style 119 9 2 2" xfId="5329" xr:uid="{12E2FCA2-7089-455D-9255-AEAFB7128BF2}"/>
    <cellStyle name="Style 119 9 2 2 2" xfId="27167" xr:uid="{C9485478-133B-4401-85AF-EF701D7AA65F}"/>
    <cellStyle name="Style 119 9 2 3" xfId="24435" xr:uid="{DAE52E15-DD29-446C-83D6-ABE76503516E}"/>
    <cellStyle name="Style 119 9 3" xfId="4073" xr:uid="{68EFB15B-97A8-44E6-B498-E56BDEAA5053}"/>
    <cellStyle name="Style 119 9 3 2" xfId="27166" xr:uid="{161D0F41-F7BF-45FD-A4DE-53BC68ACF7A5}"/>
    <cellStyle name="Style 119 9 4" xfId="22766" xr:uid="{B5032BB2-270D-4204-BDD0-752F45827734}"/>
    <cellStyle name="Style 119_ADDON" xfId="25763" xr:uid="{A349F15D-3BDA-4244-BD7F-9D538C53B7A8}"/>
    <cellStyle name="Style 120" xfId="1045" xr:uid="{333FC20F-BA1C-4E02-AA8D-5E5DE0B0DCA6}"/>
    <cellStyle name="Style 120 2" xfId="1046" xr:uid="{FE822F82-2F38-4445-A892-EF1FE4FBCA18}"/>
    <cellStyle name="Style 120 2 2" xfId="1047" xr:uid="{30AFE1BB-EF1E-4236-AC53-6F73658948C8}"/>
    <cellStyle name="Style 120 2 2 2" xfId="1048" xr:uid="{21601E63-12FD-479C-B42C-D798F257F144}"/>
    <cellStyle name="Style 120 2 2 2 2" xfId="1049" xr:uid="{E303D07B-06A8-40AA-A5A6-7A5264E67460}"/>
    <cellStyle name="Style 120 2 2 2 2 2" xfId="1050" xr:uid="{8800C4FF-C1B6-42E9-805B-795736380B60}"/>
    <cellStyle name="Style 120 2 2 2 2 2 2" xfId="8695" xr:uid="{49AA1311-DF6B-497E-88AE-F67AC1B3B8EC}"/>
    <cellStyle name="Style 120 2 2 2 2 3" xfId="8696" xr:uid="{7FE9FDDE-291F-445A-B922-0636B7916975}"/>
    <cellStyle name="Style 120 2 2 2 3" xfId="1051" xr:uid="{3D9FCCF2-2A2E-4A14-861A-581BD74D38F7}"/>
    <cellStyle name="Style 120 2 2 2 3 2" xfId="8697" xr:uid="{FC756197-0041-480C-84B5-8D02A03B3C86}"/>
    <cellStyle name="Style 120 2 2 2 4" xfId="8698" xr:uid="{0C236411-BA5E-4A6B-862B-46FFDFC2C407}"/>
    <cellStyle name="Style 120 2 2 3" xfId="1052" xr:uid="{D674EF9B-FE68-4F85-88E0-E6D05A30C9BD}"/>
    <cellStyle name="Style 120 2 2 3 2" xfId="1053" xr:uid="{DFC617FA-D213-4778-84D2-F219CF0FFD21}"/>
    <cellStyle name="Style 120 2 2 3 2 2" xfId="8699" xr:uid="{649B7FB1-2F60-4416-9190-33031CEA2EF4}"/>
    <cellStyle name="Style 120 2 2 3 3" xfId="8700" xr:uid="{20739F81-F407-4FA5-9F56-03466DD64B8A}"/>
    <cellStyle name="Style 120 2 2 4" xfId="1054" xr:uid="{43AE08B1-3195-450A-86ED-76A782B3EE58}"/>
    <cellStyle name="Style 120 2 2 4 2" xfId="8701" xr:uid="{404BA77A-C1CB-4325-8B4A-1236784CBA3D}"/>
    <cellStyle name="Style 120 2 2 5" xfId="8702" xr:uid="{49F6E0C4-5B94-406A-A564-4C33B032CF38}"/>
    <cellStyle name="Style 120 2 3" xfId="1055" xr:uid="{D8A5BEDB-30D9-4820-A602-101AFCAE254C}"/>
    <cellStyle name="Style 120 2 3 2" xfId="1056" xr:uid="{B54271AF-663C-45FB-BEA9-C5788994FA3E}"/>
    <cellStyle name="Style 120 2 3 2 2" xfId="1057" xr:uid="{010ECC18-E5E5-412C-95E6-48B633808518}"/>
    <cellStyle name="Style 120 2 3 2 2 2" xfId="8703" xr:uid="{A457A9C1-34CE-49E8-A8C1-0D6AFD1228D2}"/>
    <cellStyle name="Style 120 2 3 2 3" xfId="8704" xr:uid="{FBCB7DA0-7255-41C9-BFD4-013D9F830145}"/>
    <cellStyle name="Style 120 2 3 3" xfId="1058" xr:uid="{0BD19157-1605-4505-81B7-F5AD5E2ED42A}"/>
    <cellStyle name="Style 120 2 3 3 2" xfId="8705" xr:uid="{96DDD923-32AB-44DE-8940-5C653E413B83}"/>
    <cellStyle name="Style 120 2 3 4" xfId="8706" xr:uid="{47C761FE-C1BA-4626-9586-03DACD613346}"/>
    <cellStyle name="Style 120 2 4" xfId="1059" xr:uid="{54D4F4FF-FFFA-409C-9286-8EFE4AFE4AB8}"/>
    <cellStyle name="Style 120 2 4 2" xfId="1060" xr:uid="{16716E4C-DCC6-4605-8ACA-9A941B6CCB0E}"/>
    <cellStyle name="Style 120 2 4 2 2" xfId="8707" xr:uid="{820DC894-A32C-4136-AB18-0A8D3F4F0FF1}"/>
    <cellStyle name="Style 120 2 4 3" xfId="8708" xr:uid="{2B311249-7700-4F32-A55C-4D97CEE009F5}"/>
    <cellStyle name="Style 120 2 5" xfId="1061" xr:uid="{CDDDF909-1DB0-441B-B9DC-A3A089D02AD3}"/>
    <cellStyle name="Style 120 2 5 2" xfId="8709" xr:uid="{EA36F4B1-93A9-4A02-A6A7-8B451F70EC5C}"/>
    <cellStyle name="Style 120 2 6" xfId="8710" xr:uid="{DCB51E52-EFAE-4203-886F-FEF796F2AD27}"/>
    <cellStyle name="Style 120 3" xfId="1062" xr:uid="{E33EE7E5-3896-44D2-9589-AEFFA7F94256}"/>
    <cellStyle name="Style 120 3 2" xfId="1063" xr:uid="{0F76FB46-01B8-4136-B089-6B4A310498EA}"/>
    <cellStyle name="Style 120 3 2 2" xfId="1064" xr:uid="{5E686DD7-1185-41BB-B3C8-5E29D59D991C}"/>
    <cellStyle name="Style 120 3 2 2 2" xfId="1065" xr:uid="{40169388-98CD-4C96-B30B-117E8222ACED}"/>
    <cellStyle name="Style 120 3 2 2 2 2" xfId="1066" xr:uid="{8D8A993B-BE17-457F-9C88-E9C7AA3D4C5E}"/>
    <cellStyle name="Style 120 3 2 2 2 2 2" xfId="8711" xr:uid="{D0C1C8C8-CD88-4674-8899-B8A5018E8458}"/>
    <cellStyle name="Style 120 3 2 2 2 3" xfId="8712" xr:uid="{93DFC286-056A-4815-B5E1-49EB2A0A984E}"/>
    <cellStyle name="Style 120 3 2 2 3" xfId="1067" xr:uid="{1E0F7AA9-5707-4185-AC89-6D36B2F7EDFD}"/>
    <cellStyle name="Style 120 3 2 2 3 2" xfId="8713" xr:uid="{74AF5459-D105-46AA-B061-A42C0EF9311C}"/>
    <cellStyle name="Style 120 3 2 2 4" xfId="8714" xr:uid="{22C58103-BEE8-423D-8A21-79AF2D978B39}"/>
    <cellStyle name="Style 120 3 2 3" xfId="1068" xr:uid="{BDF08789-4012-4942-82F6-AD850502D4BE}"/>
    <cellStyle name="Style 120 3 2 3 2" xfId="1069" xr:uid="{D3E839B4-8E28-409A-AE74-EDAAFFC8F6F2}"/>
    <cellStyle name="Style 120 3 2 3 2 2" xfId="8715" xr:uid="{11941454-DD79-429A-B6BF-F257002B008B}"/>
    <cellStyle name="Style 120 3 2 3 3" xfId="8716" xr:uid="{B8C68CC3-8455-4CED-A890-E2234F620D39}"/>
    <cellStyle name="Style 120 3 2 4" xfId="1070" xr:uid="{B5EDB2CD-2391-4FA9-835C-7E6B6377498D}"/>
    <cellStyle name="Style 120 3 2 4 2" xfId="8717" xr:uid="{734EB68F-C3C8-4AD7-8581-034B6386CE08}"/>
    <cellStyle name="Style 120 3 2 5" xfId="8718" xr:uid="{CD9E0927-BFDB-46CA-BF88-DAFB5D65BB7F}"/>
    <cellStyle name="Style 120 3 3" xfId="1071" xr:uid="{1BA64763-E106-4E49-BFCC-660443864AD9}"/>
    <cellStyle name="Style 120 3 3 2" xfId="1072" xr:uid="{03F395C8-5FF2-40B9-8DFA-1BE3DE567204}"/>
    <cellStyle name="Style 120 3 3 2 2" xfId="1073" xr:uid="{00ABC48F-B6FE-4D5D-8F79-A141C7B99020}"/>
    <cellStyle name="Style 120 3 3 2 2 2" xfId="1074" xr:uid="{20002A92-381C-4257-93A2-FF497879898A}"/>
    <cellStyle name="Style 120 3 3 2 2 2 2" xfId="8719" xr:uid="{91E8F889-56C7-4345-A84F-5AA818A8E637}"/>
    <cellStyle name="Style 120 3 3 2 2 3" xfId="8720" xr:uid="{7C24E38E-B648-4B02-AEDF-0612AEBBA780}"/>
    <cellStyle name="Style 120 3 3 2 3" xfId="1075" xr:uid="{24AC0F8A-6197-4398-A64D-9B65C7A5077A}"/>
    <cellStyle name="Style 120 3 3 2 3 2" xfId="8721" xr:uid="{AE60D9B7-0332-401F-9B89-A3ADBF51276E}"/>
    <cellStyle name="Style 120 3 3 2 4" xfId="8722" xr:uid="{5DADE3AE-D654-42DB-9160-948853D59D28}"/>
    <cellStyle name="Style 120 3 3 3" xfId="1076" xr:uid="{CCE0D155-0136-49CA-AA67-046B77F3DDAF}"/>
    <cellStyle name="Style 120 3 3 3 2" xfId="8723" xr:uid="{918417D7-EBE7-4F43-9C3A-8E57BC21A73F}"/>
    <cellStyle name="Style 120 3 3 4" xfId="5330" xr:uid="{D03B32C8-C641-4CFA-BD08-ED7EB7ACE1CD}"/>
    <cellStyle name="Style 120 3 3 5" xfId="8724" xr:uid="{71632C80-414F-47A9-A70B-DB547A3F0821}"/>
    <cellStyle name="Style 120 3 4" xfId="1077" xr:uid="{0C29047F-4658-400E-80F9-3DBDBD580FB8}"/>
    <cellStyle name="Style 120 3 4 2" xfId="1078" xr:uid="{238C3D38-86BA-4708-8E03-E7891C5D569B}"/>
    <cellStyle name="Style 120 3 4 2 2" xfId="8725" xr:uid="{42C6DC92-DD2E-4BC0-9C60-CD7E5B1AF8FC}"/>
    <cellStyle name="Style 120 3 4 3" xfId="8726" xr:uid="{40B2DB3F-8B9B-442C-A1FF-3D53E7A8F2E7}"/>
    <cellStyle name="Style 120 3 5" xfId="1079" xr:uid="{D5CDF0F6-9D02-4EBE-9DDC-0DAEE65FEC53}"/>
    <cellStyle name="Style 120 3 5 2" xfId="8727" xr:uid="{72B892C2-B3BB-4EDA-A537-33460A4397E2}"/>
    <cellStyle name="Style 120 3 6" xfId="8728" xr:uid="{E1F2810A-3E5F-4B9D-B8D3-7566C533F303}"/>
    <cellStyle name="Style 120 4" xfId="1080" xr:uid="{90358674-DA0D-42D4-851D-0E0CC3CB3DF5}"/>
    <cellStyle name="Style 120 4 2" xfId="1081" xr:uid="{442ACD8F-1A35-4FE3-A951-5E939E799872}"/>
    <cellStyle name="Style 120 4 2 2" xfId="1082" xr:uid="{FADA007B-AD8E-4BE4-AD0F-D2ACAE5A9627}"/>
    <cellStyle name="Style 120 4 2 2 2" xfId="1083" xr:uid="{15189989-34FB-41A9-9DC3-74056D924648}"/>
    <cellStyle name="Style 120 4 2 2 2 2" xfId="8729" xr:uid="{F12BFD0A-1AA4-4FA5-80CF-5AA5CF8DAD08}"/>
    <cellStyle name="Style 120 4 2 2 3" xfId="8730" xr:uid="{B4FA16CD-5D12-4E99-9EAE-D981F576D1F5}"/>
    <cellStyle name="Style 120 4 2 3" xfId="1084" xr:uid="{449ABDBC-8631-436F-BB67-1F7138C6A902}"/>
    <cellStyle name="Style 120 4 2 3 2" xfId="8731" xr:uid="{C424F65B-B8FF-4F17-88CF-E042A59B7E7D}"/>
    <cellStyle name="Style 120 4 2 4" xfId="8732" xr:uid="{2044F85A-029F-412C-A35E-32DE3353AFBB}"/>
    <cellStyle name="Style 120 4 3" xfId="1085" xr:uid="{142F110D-D420-4B9E-BFC1-9EB5057B84E7}"/>
    <cellStyle name="Style 120 4 3 2" xfId="8733" xr:uid="{35DE409B-5AB9-46A2-97B0-04AA04A7364E}"/>
    <cellStyle name="Style 120 4 4" xfId="5331" xr:uid="{CB71F943-F9ED-4527-9C04-BEFED8C48735}"/>
    <cellStyle name="Style 120 4 5" xfId="8734" xr:uid="{FF221221-B36F-4218-857E-D5FA93F0EA8E}"/>
    <cellStyle name="Style 120 5" xfId="1086" xr:uid="{EB969790-7925-4BCE-B731-7307BE67726E}"/>
    <cellStyle name="Style 120 5 2" xfId="1087" xr:uid="{64911445-2910-4A99-9C07-BE69549B89EC}"/>
    <cellStyle name="Style 120 5 2 2" xfId="8735" xr:uid="{0CD5618F-A450-4C2A-B10C-09A34C836AD3}"/>
    <cellStyle name="Style 120 5 3" xfId="8736" xr:uid="{6B6F0F69-CFA5-4093-A717-E41443B6C0DA}"/>
    <cellStyle name="Style 120 6" xfId="1088" xr:uid="{4AB23C76-27B9-43EC-96B2-657E5753DC13}"/>
    <cellStyle name="Style 120 6 2" xfId="4075" xr:uid="{5E3D3D5D-BF47-4404-9C84-97374F18D65D}"/>
    <cellStyle name="Style 120 6 2 2" xfId="5332" xr:uid="{E802BBB5-77CF-4859-85C0-D9B3AE91D548}"/>
    <cellStyle name="Style 120 6 3" xfId="8737" xr:uid="{7579748A-7900-4D36-AAF1-620EC41684D0}"/>
    <cellStyle name="Style 120 7" xfId="4074" xr:uid="{48AA6AB9-5719-4A2A-8523-0E6D5B18DE08}"/>
    <cellStyle name="Style 120 7 2" xfId="5334" xr:uid="{7C43B9E1-E99A-4FAC-BA9C-7582646B293B}"/>
    <cellStyle name="Style 120 7 3" xfId="5333" xr:uid="{CC3E237E-7A60-4A7E-9D92-42F9ED8E0483}"/>
    <cellStyle name="Style 120 8" xfId="5335" xr:uid="{1C6BF9DA-FF04-4550-918E-FA1272346FF6}"/>
    <cellStyle name="Style 120 9" xfId="8738" xr:uid="{49D4508A-EFBF-430E-9E16-1D8594E4D81A}"/>
    <cellStyle name="Style 120 9 2" xfId="26540" xr:uid="{AD02CEF0-764F-421B-8A93-57870B545738}"/>
    <cellStyle name="Style 120_ADDON" xfId="7961" xr:uid="{312F48A5-7815-41FC-859D-ED6C97F179D9}"/>
    <cellStyle name="Style 121" xfId="1089" xr:uid="{37A0DAE7-5439-4955-A5F4-417AF2EA7EED}"/>
    <cellStyle name="Style 121 2" xfId="1090" xr:uid="{33938AF9-A364-4358-A215-090FF36C90F5}"/>
    <cellStyle name="Style 121 2 2" xfId="1091" xr:uid="{D81806A7-E201-47F1-A287-0ADA198315E7}"/>
    <cellStyle name="Style 121 2 2 2" xfId="1092" xr:uid="{71A7B8D2-8C37-4F90-82B0-C271423C9A53}"/>
    <cellStyle name="Style 121 2 2 2 2" xfId="1093" xr:uid="{AE09EF34-8BE5-4A98-AB18-72C4605DBB10}"/>
    <cellStyle name="Style 121 2 2 2 2 2" xfId="1094" xr:uid="{B78B8329-B1B8-427D-8B87-B39FBA9B46CA}"/>
    <cellStyle name="Style 121 2 2 2 2 2 2" xfId="8739" xr:uid="{E4F450B0-461C-4BCC-85B7-878BECD552BE}"/>
    <cellStyle name="Style 121 2 2 2 2 3" xfId="8740" xr:uid="{35C7FD7F-4542-4129-B24E-87FA28206C9A}"/>
    <cellStyle name="Style 121 2 2 2 3" xfId="1095" xr:uid="{DFD2EB56-6AD6-4302-9989-132599CC9750}"/>
    <cellStyle name="Style 121 2 2 2 3 2" xfId="8741" xr:uid="{2D528FCE-11CE-493A-8858-F2D94A2351B6}"/>
    <cellStyle name="Style 121 2 2 2 4" xfId="8742" xr:uid="{F1A79BCC-99FD-4B73-BB73-D70F87EC49E1}"/>
    <cellStyle name="Style 121 2 2 3" xfId="1096" xr:uid="{26233AFE-391B-41F0-8DE2-1EEA5E54D9D6}"/>
    <cellStyle name="Style 121 2 2 3 2" xfId="1097" xr:uid="{1410AE62-4DA4-42B9-8A30-CAD081449E15}"/>
    <cellStyle name="Style 121 2 2 3 2 2" xfId="8743" xr:uid="{8050785B-0626-40F5-9C88-B9790FADDFEB}"/>
    <cellStyle name="Style 121 2 2 3 3" xfId="8744" xr:uid="{A434A5EC-1771-427D-903D-D10B87200112}"/>
    <cellStyle name="Style 121 2 2 4" xfId="1098" xr:uid="{1C2D5404-7443-4C20-8727-B5BF82ED5B87}"/>
    <cellStyle name="Style 121 2 2 4 2" xfId="8745" xr:uid="{F0022CFF-E61A-44FB-8DE4-5599A5885EFF}"/>
    <cellStyle name="Style 121 2 2 5" xfId="8746" xr:uid="{B5B3F06B-9B21-4AAD-8700-27EF114EABE9}"/>
    <cellStyle name="Style 121 2 3" xfId="1099" xr:uid="{06A25597-9C77-4807-B64E-7DB058104501}"/>
    <cellStyle name="Style 121 2 3 2" xfId="1100" xr:uid="{44CC0D64-530B-4665-8733-C1C626F6AA8C}"/>
    <cellStyle name="Style 121 2 3 2 2" xfId="1101" xr:uid="{25E83F8B-B07C-4B28-8B11-3985253CF686}"/>
    <cellStyle name="Style 121 2 3 2 2 2" xfId="8747" xr:uid="{528482AC-65E8-4BA6-B337-F4A64892B273}"/>
    <cellStyle name="Style 121 2 3 2 3" xfId="8748" xr:uid="{333227A3-87E7-40F8-856F-F7AFF79B21D7}"/>
    <cellStyle name="Style 121 2 3 3" xfId="1102" xr:uid="{A3941161-7695-459A-A97F-6D621DAF0F6E}"/>
    <cellStyle name="Style 121 2 3 3 2" xfId="8749" xr:uid="{FA77E494-4759-410B-BA82-C2338A9B4F33}"/>
    <cellStyle name="Style 121 2 3 4" xfId="8750" xr:uid="{9BD9EED9-D52E-4C2C-A219-B5BBFDE27036}"/>
    <cellStyle name="Style 121 2 4" xfId="1103" xr:uid="{4951E1AB-30DA-461D-9F51-9A9588B53C2B}"/>
    <cellStyle name="Style 121 2 4 2" xfId="1104" xr:uid="{C9CB409B-26C2-48A9-8158-F19C803E6957}"/>
    <cellStyle name="Style 121 2 4 2 2" xfId="8751" xr:uid="{0771B0EB-F454-4A6C-91EC-7C93A121D9D4}"/>
    <cellStyle name="Style 121 2 4 3" xfId="8752" xr:uid="{339F82D6-B220-4E9D-BCA9-CC44F2A9737D}"/>
    <cellStyle name="Style 121 2 5" xfId="1105" xr:uid="{F6D64A84-DDE2-4116-BAF9-5F946F1E4746}"/>
    <cellStyle name="Style 121 2 5 2" xfId="8753" xr:uid="{FA308B80-35DB-4895-ABE8-78ADB6C7B81C}"/>
    <cellStyle name="Style 121 2 6" xfId="8754" xr:uid="{58B51729-3589-4024-AA25-92C4D35CCB35}"/>
    <cellStyle name="Style 121 3" xfId="1106" xr:uid="{025F81E9-8C61-4C36-B714-D86776E062D7}"/>
    <cellStyle name="Style 121 3 2" xfId="1107" xr:uid="{B14B0B79-B7C2-4A29-BD01-E4D132F5ADD5}"/>
    <cellStyle name="Style 121 3 2 2" xfId="1108" xr:uid="{A75FDE05-F7D3-4E9D-89C5-0207477F2D78}"/>
    <cellStyle name="Style 121 3 2 2 2" xfId="1109" xr:uid="{6FEFE599-85AF-44C0-9645-4985A9949D74}"/>
    <cellStyle name="Style 121 3 2 2 2 2" xfId="1110" xr:uid="{BA10E1C5-4D9A-4343-AC78-56A07E85AFBA}"/>
    <cellStyle name="Style 121 3 2 2 2 2 2" xfId="8755" xr:uid="{9F82476C-5776-4975-A8C4-542CE09582E5}"/>
    <cellStyle name="Style 121 3 2 2 2 3" xfId="8756" xr:uid="{AAF1E045-73A5-4E4D-8BC6-E07264B0027E}"/>
    <cellStyle name="Style 121 3 2 2 3" xfId="1111" xr:uid="{92320376-12A8-43E9-9944-730178AA88AD}"/>
    <cellStyle name="Style 121 3 2 2 3 2" xfId="8757" xr:uid="{708B6F94-24DC-45C5-84FC-A27EAD50F491}"/>
    <cellStyle name="Style 121 3 2 2 4" xfId="8758" xr:uid="{371283C7-6382-41C2-9558-AB059BA7185B}"/>
    <cellStyle name="Style 121 3 2 3" xfId="1112" xr:uid="{B24A4E5F-0FC9-4790-B4F4-48A9F1DC8AC0}"/>
    <cellStyle name="Style 121 3 2 3 2" xfId="1113" xr:uid="{8E842271-8C89-4367-99DF-A1E84C983F2E}"/>
    <cellStyle name="Style 121 3 2 3 2 2" xfId="8759" xr:uid="{256ED6E5-0611-4AB4-98B5-4FD0FE56B84B}"/>
    <cellStyle name="Style 121 3 2 3 3" xfId="8760" xr:uid="{2ACD9A2D-CF94-4DCF-9C89-B17414CBCC76}"/>
    <cellStyle name="Style 121 3 2 4" xfId="1114" xr:uid="{4679BD8B-01C7-494B-899F-F5DAE253D88E}"/>
    <cellStyle name="Style 121 3 2 4 2" xfId="8761" xr:uid="{C398E2FF-1669-4630-94B6-9102BC7D0E05}"/>
    <cellStyle name="Style 121 3 2 5" xfId="8762" xr:uid="{9ABC0B32-D32C-4680-B5EA-8740DB16A359}"/>
    <cellStyle name="Style 121 3 3" xfId="1115" xr:uid="{337F52EC-D24A-492B-ACBC-F8283D782A65}"/>
    <cellStyle name="Style 121 3 3 2" xfId="1116" xr:uid="{6D012351-93AC-44F3-B591-CD0EF1B7C3E3}"/>
    <cellStyle name="Style 121 3 3 2 2" xfId="1117" xr:uid="{C88F2304-701B-4488-8CDE-36950E612EFD}"/>
    <cellStyle name="Style 121 3 3 2 2 2" xfId="1118" xr:uid="{ECFC9A5A-3DB3-4B3F-B79F-FA76ADCEF3D9}"/>
    <cellStyle name="Style 121 3 3 2 2 2 2" xfId="8763" xr:uid="{4E64D614-7CE1-434E-813C-497D63723037}"/>
    <cellStyle name="Style 121 3 3 2 2 3" xfId="8764" xr:uid="{30D0EA2E-93E3-4C8C-BADF-AB7F8F417C1A}"/>
    <cellStyle name="Style 121 3 3 2 3" xfId="1119" xr:uid="{1401B193-ECE2-4AEA-8319-121424926AA2}"/>
    <cellStyle name="Style 121 3 3 2 3 2" xfId="8765" xr:uid="{490C84FD-4F81-4358-8904-BAD0A74F3072}"/>
    <cellStyle name="Style 121 3 3 2 4" xfId="8766" xr:uid="{B9221504-711B-4291-84B3-F5622B4D09C1}"/>
    <cellStyle name="Style 121 3 3 3" xfId="1120" xr:uid="{C2A465D2-9D16-4D2A-B766-BEE69DE199E1}"/>
    <cellStyle name="Style 121 3 3 3 2" xfId="8767" xr:uid="{A6D0D38E-0D19-4696-81AD-445098D0203E}"/>
    <cellStyle name="Style 121 3 3 4" xfId="5336" xr:uid="{121D5828-1CD3-4BD0-A88C-8DF094749A2A}"/>
    <cellStyle name="Style 121 3 3 5" xfId="8768" xr:uid="{BE86FD14-90A6-4485-8B5E-FED3413BEDA4}"/>
    <cellStyle name="Style 121 3 4" xfId="1121" xr:uid="{E9C1C221-39C8-49E5-A72A-785736EA7C5E}"/>
    <cellStyle name="Style 121 3 4 2" xfId="1122" xr:uid="{9411ABBB-3AEE-46B0-A0E8-E2FE4E5D7E8B}"/>
    <cellStyle name="Style 121 3 4 2 2" xfId="8769" xr:uid="{E0FF5F19-8173-4689-9A3E-7C06FD59B223}"/>
    <cellStyle name="Style 121 3 4 3" xfId="8770" xr:uid="{049C8C4E-E54A-4D06-AAA5-CACEA7DA46B7}"/>
    <cellStyle name="Style 121 3 5" xfId="1123" xr:uid="{97B9DD80-2B8D-47BE-8017-E09093BC94EA}"/>
    <cellStyle name="Style 121 3 5 2" xfId="8771" xr:uid="{554D6904-8F60-483E-B1AE-A7085CBADD94}"/>
    <cellStyle name="Style 121 3 6" xfId="8772" xr:uid="{DC564137-8525-45E0-8007-D95549A2C15E}"/>
    <cellStyle name="Style 121 4" xfId="1124" xr:uid="{3D3C4EF6-EE46-43E4-94A6-A4DA54A29F61}"/>
    <cellStyle name="Style 121 4 2" xfId="1125" xr:uid="{696583EF-C339-4121-9101-29CA668E0776}"/>
    <cellStyle name="Style 121 4 2 2" xfId="1126" xr:uid="{5A1213FA-6746-41B1-8746-5F193C087B9E}"/>
    <cellStyle name="Style 121 4 2 2 2" xfId="1127" xr:uid="{7189B49D-55DB-462D-9CFD-338FD387F675}"/>
    <cellStyle name="Style 121 4 2 2 2 2" xfId="8773" xr:uid="{E9DCCFB0-725D-42EE-8D33-DDB5FC53CBB0}"/>
    <cellStyle name="Style 121 4 2 2 3" xfId="8774" xr:uid="{B6C30D88-CA30-4B1B-8671-0F39CA0DC93B}"/>
    <cellStyle name="Style 121 4 2 3" xfId="1128" xr:uid="{B61B5020-6DA2-4A4C-9BE9-17022530329E}"/>
    <cellStyle name="Style 121 4 2 3 2" xfId="8775" xr:uid="{D8925EC7-2A9E-4EC6-9EB2-B114AAB1541D}"/>
    <cellStyle name="Style 121 4 2 4" xfId="8776" xr:uid="{EC1DBED6-6B3A-4F65-9D63-E131EE8FE839}"/>
    <cellStyle name="Style 121 4 3" xfId="1129" xr:uid="{AF102A9C-146A-42DE-AA33-C22DEDF732E2}"/>
    <cellStyle name="Style 121 4 3 2" xfId="8777" xr:uid="{0CD65300-EF23-4485-9855-EC998A97DF3B}"/>
    <cellStyle name="Style 121 4 4" xfId="5337" xr:uid="{2314CE87-3E61-4C69-91E9-BA0FD392BC89}"/>
    <cellStyle name="Style 121 4 5" xfId="8778" xr:uid="{E633CDDA-1A07-4B2D-836B-958DEEB700EF}"/>
    <cellStyle name="Style 121 5" xfId="1130" xr:uid="{C1E16A46-7C6E-42F7-B547-CF8D1FF4037A}"/>
    <cellStyle name="Style 121 5 2" xfId="1131" xr:uid="{CB05DEC4-DE67-4F2A-BE2B-B53E74A0747D}"/>
    <cellStyle name="Style 121 5 2 2" xfId="8779" xr:uid="{0144FEF2-E3B9-40E3-8BF9-B36349FE43FD}"/>
    <cellStyle name="Style 121 5 3" xfId="8780" xr:uid="{F061157D-C2DB-4CAE-9004-3F9B75348E7D}"/>
    <cellStyle name="Style 121 6" xfId="1132" xr:uid="{A89CCA6B-34B0-48B8-8FF5-34C6ED35CB6B}"/>
    <cellStyle name="Style 121 6 2" xfId="4077" xr:uid="{4B259996-494F-47EC-8642-E32929F117AE}"/>
    <cellStyle name="Style 121 6 2 2" xfId="5338" xr:uid="{0D71F659-AADE-449F-8D8C-50FA92296BF8}"/>
    <cellStyle name="Style 121 6 3" xfId="8781" xr:uid="{D5C94AB5-C4A3-4F53-9092-A89729690487}"/>
    <cellStyle name="Style 121 7" xfId="4076" xr:uid="{87FF6F3D-FF9E-47DB-B203-1E2A9D718677}"/>
    <cellStyle name="Style 121 7 2" xfId="5340" xr:uid="{3DB666AD-4B64-445F-9EBC-6D191D633A87}"/>
    <cellStyle name="Style 121 7 3" xfId="5339" xr:uid="{AA80773D-C37A-4142-8C01-0A5FAF2C76B2}"/>
    <cellStyle name="Style 121 8" xfId="5341" xr:uid="{89B8B95E-AB0A-4B97-AF7C-A30108999A43}"/>
    <cellStyle name="Style 121 9" xfId="8782" xr:uid="{1184B88D-8803-4300-A078-85EDB4EDF3DC}"/>
    <cellStyle name="Style 121 9 2" xfId="26541" xr:uid="{8C78C1F6-4462-406F-BB4D-47406101A62C}"/>
    <cellStyle name="Style 121_ADDON" xfId="7962" xr:uid="{713E85A1-0B08-440B-9B2A-90FD04B16195}"/>
    <cellStyle name="Style 126" xfId="1133" xr:uid="{880B55F0-1B21-422E-9F9A-E7F5A32325F6}"/>
    <cellStyle name="Style 126 10" xfId="1134" xr:uid="{B21CEA6D-845B-4C9E-9FD4-0CC70453E36D}"/>
    <cellStyle name="Style 126 10 2" xfId="1135" xr:uid="{C4DEE3B9-874B-44FE-8BE6-83C7B7E0A0BC}"/>
    <cellStyle name="Style 126 10 2 2" xfId="5342" xr:uid="{BD6C7030-66ED-4523-AF78-8465849466EB}"/>
    <cellStyle name="Style 126 10 2 2 2" xfId="27169" xr:uid="{51A1A5CA-C15A-4377-ABC7-231D1C07E1D2}"/>
    <cellStyle name="Style 126 10 2 3" xfId="24436" xr:uid="{93A7EA93-CCEA-4D62-B583-6AC74E3E162B}"/>
    <cellStyle name="Style 126 10 3" xfId="4078" xr:uid="{6E7A0535-306B-4430-9294-F3B9AA155515}"/>
    <cellStyle name="Style 126 10 3 2" xfId="27168" xr:uid="{71A4335C-A18A-4275-BB6B-8915B5039EAE}"/>
    <cellStyle name="Style 126 10 4" xfId="22768" xr:uid="{C01E35A8-71D9-45C4-99B4-2B276F4CE052}"/>
    <cellStyle name="Style 126 11" xfId="1136" xr:uid="{4768ABA4-227C-4019-8DD8-96AE3AA60124}"/>
    <cellStyle name="Style 126 11 2" xfId="1137" xr:uid="{E81DE7FE-3B7E-447F-8011-87FB00E6ACA2}"/>
    <cellStyle name="Style 126 11 2 2" xfId="5344" xr:uid="{BA2EA5C4-7F87-472E-B9AA-C64412503306}"/>
    <cellStyle name="Style 126 11 2 2 2" xfId="27171" xr:uid="{A578F9AF-B586-4FD1-A3B6-763AEB303897}"/>
    <cellStyle name="Style 126 11 2 3" xfId="24437" xr:uid="{23D55F2D-687B-4CE8-B9D4-3523F8306413}"/>
    <cellStyle name="Style 126 11 3" xfId="5343" xr:uid="{7501C171-0274-423C-A5B3-7F7BAE25A2C8}"/>
    <cellStyle name="Style 126 11 3 2" xfId="27170" xr:uid="{C333BBC5-2059-4F29-BF86-997E06B26060}"/>
    <cellStyle name="Style 126 11 4" xfId="22769" xr:uid="{FCDE822A-2EFB-4440-B6C6-A70134398353}"/>
    <cellStyle name="Style 126 12" xfId="1138" xr:uid="{351C80AC-3E4A-47DB-9805-87AF27A7EA0C}"/>
    <cellStyle name="Style 126 12 2" xfId="5345" xr:uid="{9D497D65-F4CE-46ED-BDB1-6D444E0AC81F}"/>
    <cellStyle name="Style 126 12 2 2" xfId="27172" xr:uid="{B958D7B9-1BBD-44DA-9B8C-B4BF968180D3}"/>
    <cellStyle name="Style 126 12 3" xfId="8783" xr:uid="{876D518A-972D-451A-9C15-A127808F6661}"/>
    <cellStyle name="Style 126 12 3 2" xfId="28846" xr:uid="{B523E889-30EB-4186-9728-415D5D1E383E}"/>
    <cellStyle name="Style 126 12 4" xfId="8784" xr:uid="{23EE74B6-3675-493B-BAEE-98469EFEE02D}"/>
    <cellStyle name="Style 126 12 4 2" xfId="28847" xr:uid="{6C1E3DF6-C4FE-4E9A-88CA-0ADC80DECF21}"/>
    <cellStyle name="Style 126 12 5" xfId="8785" xr:uid="{49FEBF0A-6161-45F5-AEC2-75679A593258}"/>
    <cellStyle name="Style 126 12 5 2" xfId="28848" xr:uid="{BAACA4B9-2DF9-49B4-A85A-FFC7D9876FA5}"/>
    <cellStyle name="Style 126 12 6" xfId="8786" xr:uid="{0843E5D8-C178-42F7-98DF-98150B98374C}"/>
    <cellStyle name="Style 126 12 6 2" xfId="28849" xr:uid="{3ED3321F-B371-49A0-A94F-15E8316C4814}"/>
    <cellStyle name="Style 126 12 7" xfId="24438" xr:uid="{82B90A2C-F188-4E6B-9E5D-9A87DD199189}"/>
    <cellStyle name="Style 126 13" xfId="8787" xr:uid="{C96D1D2B-A9FC-4A75-A813-1E1F22D81619}"/>
    <cellStyle name="Style 126 13 2" xfId="8788" xr:uid="{B7C8EBBD-CC29-4DE7-8A79-E904FAB61E82}"/>
    <cellStyle name="Style 126 13 2 2" xfId="28850" xr:uid="{F65A5C40-5536-4A2D-A53C-942E3EA2C9AA}"/>
    <cellStyle name="Style 126 13 3" xfId="8789" xr:uid="{5075C5FD-3AC5-471E-B81E-D7D22ADD7FC0}"/>
    <cellStyle name="Style 126 13 3 2" xfId="28851" xr:uid="{BD04B020-5544-4AAE-9945-BD7A971B8BC1}"/>
    <cellStyle name="Style 126 13 4" xfId="26542" xr:uid="{D75E7054-B7F7-4D19-A58D-DABD01766C01}"/>
    <cellStyle name="Style 126 14" xfId="8790" xr:uid="{F977DB33-3590-430D-80A9-B1428F0C80A0}"/>
    <cellStyle name="Style 126 14 2" xfId="8791" xr:uid="{833427CE-DE1B-4037-9F04-77FEBC446AF9}"/>
    <cellStyle name="Style 126 14 2 2" xfId="28853" xr:uid="{9B7642C3-2B7B-4143-8FA7-D9B57266095D}"/>
    <cellStyle name="Style 126 14 3" xfId="28852" xr:uid="{B464A9BA-9D1E-4FEF-AA94-63A1A89BD572}"/>
    <cellStyle name="Style 126 15" xfId="8792" xr:uid="{F7FD5FC7-0CDD-4651-A54B-3109A7043A91}"/>
    <cellStyle name="Style 126 15 2" xfId="8793" xr:uid="{36C35745-1523-4221-B3E6-05D8B63D0F73}"/>
    <cellStyle name="Style 126 15 2 2" xfId="28855" xr:uid="{B6C55A0F-030B-42D6-A999-9E0761DAB2B5}"/>
    <cellStyle name="Style 126 15 3" xfId="28854" xr:uid="{C6035672-0FB4-4727-BC53-79A51C370B64}"/>
    <cellStyle name="Style 126 16" xfId="22767" xr:uid="{2EBD9FE1-A447-4CF4-B165-F1B156B3E740}"/>
    <cellStyle name="Style 126 2" xfId="1139" xr:uid="{474DC456-A89B-40FC-85FE-9C18BE5F7ED0}"/>
    <cellStyle name="Style 126 2 2" xfId="4345" xr:uid="{2706D1ED-F1EC-4161-8CED-4CD262581B85}"/>
    <cellStyle name="Style 126 2 2 2" xfId="26543" xr:uid="{D73D864B-8F9A-47C0-BA16-2B27930F7E3B}"/>
    <cellStyle name="Style 126 2 3" xfId="22770" xr:uid="{E2922FD4-F578-48B4-8C11-842CF7E74CC9}"/>
    <cellStyle name="Style 126 3" xfId="1140" xr:uid="{0E35224A-3463-4B95-AEC5-AAB598786B05}"/>
    <cellStyle name="Style 126 3 2" xfId="1141" xr:uid="{567D767D-57E3-4E05-A71C-079998CDC135}"/>
    <cellStyle name="Style 126 3 2 2" xfId="1142" xr:uid="{C97F87F7-AEB3-4383-99AE-AB8E7EEE1029}"/>
    <cellStyle name="Style 126 3 2 2 2" xfId="5346" xr:uid="{2CDB4E1D-7F31-4E27-B75A-C208C88DF44C}"/>
    <cellStyle name="Style 126 3 2 2 2 2" xfId="27173" xr:uid="{39B49117-1CDC-4214-93E4-D8A9FF49D1D0}"/>
    <cellStyle name="Style 126 3 2 2 3" xfId="22773" xr:uid="{9DE577D7-54B1-409E-AEF4-AB2A6A19A99A}"/>
    <cellStyle name="Style 126 3 2 3" xfId="4347" xr:uid="{A167F9D0-7F3E-420F-A364-FA97170F4BF1}"/>
    <cellStyle name="Style 126 3 2 3 2" xfId="26545" xr:uid="{06F01B88-28D8-42D8-AA80-CE98BC538195}"/>
    <cellStyle name="Style 126 3 2 4" xfId="22772" xr:uid="{14F593CF-F44A-42B3-9B3C-570DDDE291C9}"/>
    <cellStyle name="Style 126 3 3" xfId="1143" xr:uid="{A6972CCD-7673-448E-95BF-4E3FCA55D985}"/>
    <cellStyle name="Style 126 3 3 2" xfId="1144" xr:uid="{0E7BCFFB-FDC9-4B1B-8BC4-CB641154787C}"/>
    <cellStyle name="Style 126 3 3 2 2" xfId="5348" xr:uid="{E9CB8902-9FBF-4330-9E39-B2FF608F35EF}"/>
    <cellStyle name="Style 126 3 3 2 2 2" xfId="27175" xr:uid="{01389D2B-254F-4F22-8C99-A8BDA49CCCD9}"/>
    <cellStyle name="Style 126 3 3 2 3" xfId="22775" xr:uid="{C76BBC98-B89A-4E83-BD06-1042629CACAF}"/>
    <cellStyle name="Style 126 3 3 3" xfId="1145" xr:uid="{22A8720F-DC99-4FDE-BF3D-F5C141C6AB81}"/>
    <cellStyle name="Style 126 3 3 3 2" xfId="1146" xr:uid="{15813C71-93EE-41FC-901E-C444DAD740C0}"/>
    <cellStyle name="Style 126 3 3 3 2 2" xfId="5350" xr:uid="{2269CADE-6061-4CCC-8B52-AB3AC760DD34}"/>
    <cellStyle name="Style 126 3 3 3 2 2 2" xfId="27177" xr:uid="{6C4358B9-93D5-4737-A596-3BBD4FED89D5}"/>
    <cellStyle name="Style 126 3 3 3 2 3" xfId="22777" xr:uid="{AB10C529-63EC-46DD-B55C-513C9A9AE2D5}"/>
    <cellStyle name="Style 126 3 3 3 3" xfId="5351" xr:uid="{01B7CDCA-8B2C-473C-9291-C577431D0C3D}"/>
    <cellStyle name="Style 126 3 3 3 3 2" xfId="22778" xr:uid="{C19BF8F2-2C94-4646-A5D7-56EF38561155}"/>
    <cellStyle name="Style 126 3 3 3 4" xfId="5352" xr:uid="{F32C1D20-1189-4849-BE3F-5DDDDD773680}"/>
    <cellStyle name="Style 126 3 3 3 4 2" xfId="24439" xr:uid="{9EB9E7D0-C162-4DB5-BBFF-C26E3992F7C4}"/>
    <cellStyle name="Style 126 3 3 3 5" xfId="5349" xr:uid="{947A2435-2880-491A-9930-8C1C82647A71}"/>
    <cellStyle name="Style 126 3 3 3 5 2" xfId="27176" xr:uid="{8E0DB73D-76D5-425E-95BF-2CE872ADC275}"/>
    <cellStyle name="Style 126 3 3 3 6" xfId="22776" xr:uid="{881D471B-F176-4C6B-82F4-1B1DB54F2582}"/>
    <cellStyle name="Style 126 3 3 4" xfId="1147" xr:uid="{36D5FE0F-28A7-47BF-A9D1-DC27FCBFC043}"/>
    <cellStyle name="Style 126 3 3 4 2" xfId="1148" xr:uid="{17FA270E-2BBD-4577-BD15-880C766B30F5}"/>
    <cellStyle name="Style 126 3 3 4 2 2" xfId="5354" xr:uid="{179B8E1B-F358-4B83-9EE8-CE13658F39D3}"/>
    <cellStyle name="Style 126 3 3 4 2 2 2" xfId="27179" xr:uid="{6D9712A3-F1F8-43BB-A970-0C82F632D8F5}"/>
    <cellStyle name="Style 126 3 3 4 2 3" xfId="22780" xr:uid="{7B9AC65A-7A34-4DEE-89B4-E2CFE33B1AA4}"/>
    <cellStyle name="Style 126 3 3 4 3" xfId="5353" xr:uid="{DDA18C8F-16ED-4607-98E0-C1C3ABF10DB8}"/>
    <cellStyle name="Style 126 3 3 4 3 2" xfId="27178" xr:uid="{F86DC9DF-1992-42F6-A88E-809513C23A89}"/>
    <cellStyle name="Style 126 3 3 4 4" xfId="22779" xr:uid="{41502C66-BD89-4C7F-88D2-86A28859EEA2}"/>
    <cellStyle name="Style 126 3 3 5" xfId="5355" xr:uid="{28400505-5242-4DD6-987F-DFADE1956BD9}"/>
    <cellStyle name="Style 126 3 3 5 2" xfId="24440" xr:uid="{EF5A1514-A074-455C-91CB-04585D660CB7}"/>
    <cellStyle name="Style 126 3 3 6" xfId="5347" xr:uid="{10DF708D-685E-4FC0-B835-91C699B2980F}"/>
    <cellStyle name="Style 126 3 3 6 2" xfId="27174" xr:uid="{A892B5EA-9754-43D9-9634-799F45F29CA8}"/>
    <cellStyle name="Style 126 3 3 7" xfId="22774" xr:uid="{A58B630A-F482-4AA4-BA79-8C4904B9D65F}"/>
    <cellStyle name="Style 126 3 4" xfId="1149" xr:uid="{7961F8F5-2BC7-48A4-AF0C-489DA44303A7}"/>
    <cellStyle name="Style 126 3 4 2" xfId="5357" xr:uid="{89003DE0-F6CE-4682-A6BB-20FCF75DE7BC}"/>
    <cellStyle name="Style 126 3 4 2 2" xfId="22782" xr:uid="{A4707E51-1C0E-4960-B8CD-7DC3833DB6C9}"/>
    <cellStyle name="Style 126 3 4 3" xfId="5358" xr:uid="{A4C23411-F3A2-41DD-9EDD-C44391BCC9E1}"/>
    <cellStyle name="Style 126 3 4 3 2" xfId="24441" xr:uid="{D6B573D5-63CE-4170-9A30-B6F8A0F07161}"/>
    <cellStyle name="Style 126 3 4 4" xfId="5356" xr:uid="{875E8A8A-949A-4803-9098-5F9D10D34272}"/>
    <cellStyle name="Style 126 3 4 4 2" xfId="27180" xr:uid="{BBA3D907-2DA8-43F5-94A9-A44471E2389A}"/>
    <cellStyle name="Style 126 3 4 5" xfId="22781" xr:uid="{FA278874-4D0F-4A0D-8E58-10BBB81CE411}"/>
    <cellStyle name="Style 126 3 5" xfId="5359" xr:uid="{04C0008C-E3C4-4BB6-BAAB-0A81F88877FE}"/>
    <cellStyle name="Style 126 3 5 2" xfId="8794" xr:uid="{7EE55D5C-7B7D-41B7-B78B-75F7D08358CF}"/>
    <cellStyle name="Style 126 3 5 2 2" xfId="27181" xr:uid="{7FA1D1B4-F8F1-4F1E-B504-6ACB78BAE59A}"/>
    <cellStyle name="Style 126 3 5 3" xfId="22783" xr:uid="{E22DE9A1-C418-40A1-AD8B-95B3F92C2A4B}"/>
    <cellStyle name="Style 126 3 6" xfId="4346" xr:uid="{B26DC62A-50F3-42D6-9884-20A5961FA1A3}"/>
    <cellStyle name="Style 126 3 6 2" xfId="26544" xr:uid="{7F3F739F-8C73-4341-9B77-96B224CB37A3}"/>
    <cellStyle name="Style 126 3 7" xfId="22771" xr:uid="{A3170DC0-5972-4979-BFE9-CA8224B9CFCE}"/>
    <cellStyle name="Style 126 4" xfId="1150" xr:uid="{C2AE4814-553B-41BC-BE16-115CE6FFED89}"/>
    <cellStyle name="Style 126 4 2" xfId="1151" xr:uid="{25C43F77-323F-441F-AC41-08C1C02BDA55}"/>
    <cellStyle name="Style 126 4 2 2" xfId="1152" xr:uid="{B3C83C6C-769B-4ABC-9385-73927C0B2063}"/>
    <cellStyle name="Style 126 4 2 2 2" xfId="5362" xr:uid="{C5037F80-6DF5-40E4-98A7-77A7D1BD81C2}"/>
    <cellStyle name="Style 126 4 2 2 2 2" xfId="27183" xr:uid="{C52DD0A4-A276-42E3-98AF-EAC2CB69A10F}"/>
    <cellStyle name="Style 126 4 2 2 3" xfId="22786" xr:uid="{ED7B0FA0-CF60-4E14-BB76-CAD844A62273}"/>
    <cellStyle name="Style 126 4 2 3" xfId="1153" xr:uid="{3BF6FB50-F0C9-4E8A-8771-48ECBBA69943}"/>
    <cellStyle name="Style 126 4 2 3 2" xfId="1154" xr:uid="{2516CB01-352B-4573-BC13-59BF8A86E65C}"/>
    <cellStyle name="Style 126 4 2 3 2 2" xfId="5364" xr:uid="{0ED44817-A2C4-449A-A8C2-3D20A798BC0B}"/>
    <cellStyle name="Style 126 4 2 3 2 2 2" xfId="27185" xr:uid="{26BFE7C3-85A3-4867-901D-4AE58ED39833}"/>
    <cellStyle name="Style 126 4 2 3 2 3" xfId="22788" xr:uid="{F390E78C-D9AF-4788-9D91-65BF4F9D5291}"/>
    <cellStyle name="Style 126 4 2 3 3" xfId="5365" xr:uid="{BAD091D0-A33F-4F7A-8BB4-5C8427BFC08E}"/>
    <cellStyle name="Style 126 4 2 3 3 2" xfId="22789" xr:uid="{070AE28B-6B78-407E-B8EE-901F9D384F4F}"/>
    <cellStyle name="Style 126 4 2 3 4" xfId="5366" xr:uid="{2B110AEF-BFD1-43CA-9207-565BF6777BC6}"/>
    <cellStyle name="Style 126 4 2 3 4 2" xfId="24442" xr:uid="{955413E4-D5F0-44D0-8866-3C32FD1FDB79}"/>
    <cellStyle name="Style 126 4 2 3 5" xfId="5363" xr:uid="{2FBBF6D8-6EA3-4921-8C94-AC28A0DCED87}"/>
    <cellStyle name="Style 126 4 2 3 5 2" xfId="27184" xr:uid="{147B5733-19AB-4533-99E1-1791F4E7E669}"/>
    <cellStyle name="Style 126 4 2 3 6" xfId="22787" xr:uid="{A7382031-E98D-4D09-8675-DE9ABC0948C1}"/>
    <cellStyle name="Style 126 4 2 4" xfId="1155" xr:uid="{BC76FDE2-0B87-412A-A609-DEDC9ADD06B0}"/>
    <cellStyle name="Style 126 4 2 4 2" xfId="1156" xr:uid="{FEEE325C-A586-428C-926B-9912CF076592}"/>
    <cellStyle name="Style 126 4 2 4 2 2" xfId="5368" xr:uid="{10FEEAC9-E980-492B-AEF6-40CD904FE4CD}"/>
    <cellStyle name="Style 126 4 2 4 2 2 2" xfId="27187" xr:uid="{BEC59934-4534-4366-908A-A1DB00A7F17C}"/>
    <cellStyle name="Style 126 4 2 4 2 3" xfId="22791" xr:uid="{2669B651-7AAE-4FCD-9932-95DD13AE03B4}"/>
    <cellStyle name="Style 126 4 2 4 3" xfId="5367" xr:uid="{C418DCC9-0748-4F84-B788-A873052D3C82}"/>
    <cellStyle name="Style 126 4 2 4 3 2" xfId="27186" xr:uid="{10596B2C-F5B6-4EB8-8682-1A301CA9E152}"/>
    <cellStyle name="Style 126 4 2 4 4" xfId="22790" xr:uid="{FBFC140E-75DB-496F-ABC3-E74B4B697B88}"/>
    <cellStyle name="Style 126 4 2 5" xfId="5369" xr:uid="{222D6010-5A67-4760-95D5-7433ECB31B6F}"/>
    <cellStyle name="Style 126 4 2 5 2" xfId="24443" xr:uid="{BF5A9A0D-E7F3-489F-B796-F6F251C405DB}"/>
    <cellStyle name="Style 126 4 2 6" xfId="5361" xr:uid="{962B64DB-CA52-4FB3-A018-F19A8A24E0E6}"/>
    <cellStyle name="Style 126 4 2 6 2" xfId="27182" xr:uid="{83DCECC2-8DF9-4B2D-8977-AE8D3051EF7C}"/>
    <cellStyle name="Style 126 4 2 7" xfId="22785" xr:uid="{1F5C6B5B-4B31-4BDE-AFD2-9BD7E8173821}"/>
    <cellStyle name="Style 126 4 3" xfId="1157" xr:uid="{6623EE08-AFA3-47AE-9C3F-232B906E8866}"/>
    <cellStyle name="Style 126 4 3 2" xfId="5370" xr:uid="{1F948561-B2F7-4BC8-9959-AD00B5A5AAB2}"/>
    <cellStyle name="Style 126 4 3 2 2" xfId="27188" xr:uid="{A340E2AB-0647-4001-96A7-AF56C8A34011}"/>
    <cellStyle name="Style 126 4 3 3" xfId="22792" xr:uid="{14475AED-5250-4862-826D-5A9ECD2247C1}"/>
    <cellStyle name="Style 126 4 4" xfId="5371" xr:uid="{40893DDB-3294-46DB-9954-E5E7AA4C5EE7}"/>
    <cellStyle name="Style 126 4 4 2" xfId="5372" xr:uid="{680E1C19-FB6D-40D7-9BAF-51111F2179CD}"/>
    <cellStyle name="Style 126 4 4 2 2" xfId="24444" xr:uid="{726B03A3-D270-4A54-AE30-5869E0C59CFF}"/>
    <cellStyle name="Style 126 4 4 3" xfId="22793" xr:uid="{C7064B89-DAED-4FED-A03B-18CD44837664}"/>
    <cellStyle name="Style 126 4 5" xfId="5360" xr:uid="{FBFA8025-F422-429E-812A-783EEA0CFC94}"/>
    <cellStyle name="Style 126 4 5 2" xfId="25923" xr:uid="{CE9500FD-B496-4DC9-B6F5-CAA8006F49C8}"/>
    <cellStyle name="Style 126 4 6" xfId="4348" xr:uid="{F52C7751-6778-4B47-9599-D1A033DE3FD0}"/>
    <cellStyle name="Style 126 4 6 2" xfId="26546" xr:uid="{1CA272A5-AF4E-4854-893E-3F9C7B083BBF}"/>
    <cellStyle name="Style 126 4 7" xfId="22784" xr:uid="{0AD57888-22CD-4C22-A454-CAB980EBE0E8}"/>
    <cellStyle name="Style 126 5" xfId="1158" xr:uid="{8A0C94C7-13CC-473A-AED1-2B6CF568DA8C}"/>
    <cellStyle name="Style 126 5 2" xfId="1159" xr:uid="{334D3714-F26A-42A5-8352-7233A32F7D7E}"/>
    <cellStyle name="Style 126 5 2 2" xfId="1160" xr:uid="{9C03B0BE-0535-42C5-97DC-C6981BC7A3D8}"/>
    <cellStyle name="Style 126 5 2 2 2" xfId="5375" xr:uid="{72CFB146-BC4D-40DC-8249-22873A4ECEB9}"/>
    <cellStyle name="Style 126 5 2 2 2 2" xfId="27190" xr:uid="{098F24D9-E3CD-499D-8D85-972887161728}"/>
    <cellStyle name="Style 126 5 2 2 3" xfId="22796" xr:uid="{9A568429-1E4D-4566-B213-35B4A8FF9046}"/>
    <cellStyle name="Style 126 5 2 3" xfId="1161" xr:uid="{1B37C3FC-1D79-4870-B8E9-A7FEE271B519}"/>
    <cellStyle name="Style 126 5 2 3 2" xfId="1162" xr:uid="{098C3619-D7E5-4ED7-82DE-B1FA747CDC90}"/>
    <cellStyle name="Style 126 5 2 3 2 2" xfId="5377" xr:uid="{2577D949-7E54-473C-9AD5-7A233402CD26}"/>
    <cellStyle name="Style 126 5 2 3 2 2 2" xfId="27192" xr:uid="{3CEC03FA-8D29-440E-9F4D-AFB3794499D1}"/>
    <cellStyle name="Style 126 5 2 3 2 3" xfId="22798" xr:uid="{DAC8BB91-8D78-49DC-91AE-242D44D03218}"/>
    <cellStyle name="Style 126 5 2 3 3" xfId="5378" xr:uid="{8A8C4BBE-46F0-4D65-87BB-B66CED551B62}"/>
    <cellStyle name="Style 126 5 2 3 3 2" xfId="22799" xr:uid="{3B2347FF-B251-45D6-8045-88DFDF9AF911}"/>
    <cellStyle name="Style 126 5 2 3 4" xfId="5379" xr:uid="{AB422443-8ECB-4DA5-8E1C-64F2B2B0E6BB}"/>
    <cellStyle name="Style 126 5 2 3 4 2" xfId="24445" xr:uid="{2EE0B2D5-1DFA-422C-A146-94F701B16C54}"/>
    <cellStyle name="Style 126 5 2 3 5" xfId="5376" xr:uid="{C373470A-668D-4BB5-A8F8-BB5B74323E92}"/>
    <cellStyle name="Style 126 5 2 3 5 2" xfId="27191" xr:uid="{C06CDD4F-C115-494D-BF55-D842D191EBD9}"/>
    <cellStyle name="Style 126 5 2 3 6" xfId="22797" xr:uid="{D46817B8-4909-4C90-9CF8-E0ECFAE773D1}"/>
    <cellStyle name="Style 126 5 2 4" xfId="1163" xr:uid="{2CDB7292-9273-4FF6-AFF2-98A63DEC8D0E}"/>
    <cellStyle name="Style 126 5 2 4 2" xfId="1164" xr:uid="{CEFE3A53-8571-4E3D-9D4D-856E7EBF2778}"/>
    <cellStyle name="Style 126 5 2 4 2 2" xfId="5381" xr:uid="{87C7C675-15BD-42DB-AF4C-07703BC5E33D}"/>
    <cellStyle name="Style 126 5 2 4 2 2 2" xfId="27194" xr:uid="{2D9A42D8-B372-4890-8B57-CB448659E66B}"/>
    <cellStyle name="Style 126 5 2 4 2 3" xfId="22801" xr:uid="{195FCD82-3D31-4515-ACAC-02E1D634B8F9}"/>
    <cellStyle name="Style 126 5 2 4 3" xfId="5380" xr:uid="{9CE51C07-0B7A-4E5A-9BE3-E9B85A05003C}"/>
    <cellStyle name="Style 126 5 2 4 3 2" xfId="27193" xr:uid="{0A63D2FA-FD18-4CB3-9AD4-F275DBB161ED}"/>
    <cellStyle name="Style 126 5 2 4 4" xfId="22800" xr:uid="{4C53DF47-09BD-42EA-B5FB-42116902AE2A}"/>
    <cellStyle name="Style 126 5 2 5" xfId="5382" xr:uid="{AF46631B-4221-40CA-B2B1-21B80625A5B1}"/>
    <cellStyle name="Style 126 5 2 5 2" xfId="24446" xr:uid="{E69A1EBD-28FB-4F4C-9ECA-B6B7113AA0EB}"/>
    <cellStyle name="Style 126 5 2 6" xfId="5374" xr:uid="{470C812B-A0D5-47AC-8C6C-F3D169625FA7}"/>
    <cellStyle name="Style 126 5 2 6 2" xfId="27189" xr:uid="{D1569D12-CB22-44E4-85C4-8DDA99A071CD}"/>
    <cellStyle name="Style 126 5 2 7" xfId="22795" xr:uid="{DA800351-64EB-4275-8DBB-4CFA95FD5592}"/>
    <cellStyle name="Style 126 5 3" xfId="1165" xr:uid="{A5A6DBAB-0FB1-4146-BF07-9C760FD37C31}"/>
    <cellStyle name="Style 126 5 3 2" xfId="5383" xr:uid="{F19F3760-5AD7-4861-97D7-2C0B63B01060}"/>
    <cellStyle name="Style 126 5 3 2 2" xfId="27195" xr:uid="{48D67B57-BFFC-4606-ABDE-51C064600852}"/>
    <cellStyle name="Style 126 5 3 3" xfId="22802" xr:uid="{9188CB07-70CD-47EF-BA7C-20B8515F8C0C}"/>
    <cellStyle name="Style 126 5 4" xfId="5384" xr:uid="{D47D7D39-6101-4675-84DD-BF3CE959183C}"/>
    <cellStyle name="Style 126 5 4 2" xfId="5385" xr:uid="{74D41BEC-F7AF-4E3D-8987-77C82811C468}"/>
    <cellStyle name="Style 126 5 4 2 2" xfId="24447" xr:uid="{49F9612A-AF60-4543-B275-65CB4A44DD49}"/>
    <cellStyle name="Style 126 5 4 3" xfId="22803" xr:uid="{CDF200A4-DF38-49EE-B956-4A799A3F1826}"/>
    <cellStyle name="Style 126 5 5" xfId="5373" xr:uid="{4A273166-E327-4E8A-9CF2-9C5B3FB4F8CA}"/>
    <cellStyle name="Style 126 5 5 2" xfId="25924" xr:uid="{A00F6F88-8D1A-473F-B38F-74ACF3DFFB93}"/>
    <cellStyle name="Style 126 5 6" xfId="4349" xr:uid="{87121A31-2B23-46BE-B61A-406A8CD1D815}"/>
    <cellStyle name="Style 126 5 6 2" xfId="26547" xr:uid="{0F9C2550-38C3-4477-BD21-FA48FF93A3E9}"/>
    <cellStyle name="Style 126 5 7" xfId="22794" xr:uid="{376CB2E8-8F9F-46A2-8986-B88BC5FCCE16}"/>
    <cellStyle name="Style 126 6" xfId="1166" xr:uid="{317FEB9F-E561-4448-ADFB-EC92A038319A}"/>
    <cellStyle name="Style 126 6 2" xfId="1167" xr:uid="{DA287D3C-36AF-4C9D-BE14-E67634739CF3}"/>
    <cellStyle name="Style 126 6 2 2" xfId="5387" xr:uid="{F08B9B43-A9A0-406A-9FBB-E5D326388C1B}"/>
    <cellStyle name="Style 126 6 2 2 2" xfId="27197" xr:uid="{3C68BACA-852D-4FFB-8BE1-700AF6A3AF69}"/>
    <cellStyle name="Style 126 6 2 3" xfId="22805" xr:uid="{0CF2C000-53B0-4B33-99BC-107607660897}"/>
    <cellStyle name="Style 126 6 3" xfId="1168" xr:uid="{A45A8EAA-3AC5-45F9-BA6F-55A21457D24A}"/>
    <cellStyle name="Style 126 6 3 2" xfId="1169" xr:uid="{54736042-016D-49CE-A4D3-1B0C90CF67AD}"/>
    <cellStyle name="Style 126 6 3 2 2" xfId="5389" xr:uid="{60320FF9-A3B4-499F-B7D0-0D033A2BF40F}"/>
    <cellStyle name="Style 126 6 3 2 2 2" xfId="27199" xr:uid="{3BD9D623-117D-4C30-A746-289523C900E3}"/>
    <cellStyle name="Style 126 6 3 2 3" xfId="22807" xr:uid="{9F9D31F5-4F9B-4878-A790-C09B459EF2AC}"/>
    <cellStyle name="Style 126 6 3 3" xfId="5390" xr:uid="{04D3962B-6C75-42CB-9413-96D57E359DC6}"/>
    <cellStyle name="Style 126 6 3 3 2" xfId="22808" xr:uid="{9526ED8C-48B2-4FED-AA60-3A4A79BFA611}"/>
    <cellStyle name="Style 126 6 3 4" xfId="5391" xr:uid="{43A8E7C0-7DAE-47EF-B04F-A46977F19055}"/>
    <cellStyle name="Style 126 6 3 4 2" xfId="24448" xr:uid="{560D72CA-26DB-4B99-87A5-FBF2E0BFDE2E}"/>
    <cellStyle name="Style 126 6 3 5" xfId="5388" xr:uid="{9589000E-B0D8-4C4C-8B7C-57B62787A9F7}"/>
    <cellStyle name="Style 126 6 3 5 2" xfId="27198" xr:uid="{0A76EB79-9EBD-450A-B78D-22A225973B23}"/>
    <cellStyle name="Style 126 6 3 6" xfId="22806" xr:uid="{49517850-1D1F-425D-8877-FA81FA5E0C12}"/>
    <cellStyle name="Style 126 6 4" xfId="1170" xr:uid="{DCFBAC46-4945-4C01-A785-C597FA72EF0F}"/>
    <cellStyle name="Style 126 6 4 2" xfId="1171" xr:uid="{875FADDE-7A20-4B57-9B9B-617D082E35C1}"/>
    <cellStyle name="Style 126 6 4 2 2" xfId="5393" xr:uid="{605FB1EC-139E-48B6-9496-E81712A6529D}"/>
    <cellStyle name="Style 126 6 4 2 2 2" xfId="27201" xr:uid="{B8CD2560-C3B6-4A6E-8BDE-F5592EA518CB}"/>
    <cellStyle name="Style 126 6 4 2 3" xfId="22810" xr:uid="{EEA86BA2-31A8-4349-BEAF-461CA34E60CA}"/>
    <cellStyle name="Style 126 6 4 3" xfId="5392" xr:uid="{084D42EA-746A-47E0-A3E2-4F401D90CCCA}"/>
    <cellStyle name="Style 126 6 4 3 2" xfId="27200" xr:uid="{49C4D21B-917D-47BD-9E57-F811329925F3}"/>
    <cellStyle name="Style 126 6 4 4" xfId="22809" xr:uid="{160937BA-7430-42C1-9DBD-5558CD59F78F}"/>
    <cellStyle name="Style 126 6 5" xfId="5394" xr:uid="{077365BF-D811-4601-96F2-403341D06C3D}"/>
    <cellStyle name="Style 126 6 5 2" xfId="24449" xr:uid="{23AAD235-83FC-47C6-8D09-4B8B8543F1A8}"/>
    <cellStyle name="Style 126 6 6" xfId="5386" xr:uid="{3448B91A-046B-4FC5-88C9-4567F0CE3143}"/>
    <cellStyle name="Style 126 6 6 2" xfId="27196" xr:uid="{5E44D8C1-8E1A-4BD2-881F-DD803BBFCAA7}"/>
    <cellStyle name="Style 126 6 7" xfId="22804" xr:uid="{68246CA9-6ED2-41BB-B0EF-C18FB941F5A9}"/>
    <cellStyle name="Style 126 7" xfId="1172" xr:uid="{2DA63C98-FB47-41BA-86E4-7770802EEE41}"/>
    <cellStyle name="Style 126 7 2" xfId="1173" xr:uid="{38806DE4-626E-4EAD-A093-F7B5343E146D}"/>
    <cellStyle name="Style 126 7 2 2" xfId="5396" xr:uid="{33AB1A10-1DCC-4936-85A2-A6A7A4A4ED73}"/>
    <cellStyle name="Style 126 7 2 2 2" xfId="27203" xr:uid="{698241F5-03DE-42AF-A7EE-C2C46EBF39D2}"/>
    <cellStyle name="Style 126 7 2 3" xfId="22812" xr:uid="{5D6EA388-3487-4C49-BDA1-5A5B4C062988}"/>
    <cellStyle name="Style 126 7 3" xfId="5397" xr:uid="{27B38AD0-3350-4F61-A1B9-73269C20F325}"/>
    <cellStyle name="Style 126 7 3 2" xfId="22813" xr:uid="{81DAF6D8-3ED9-484D-9EB9-8B956BB35E09}"/>
    <cellStyle name="Style 126 7 4" xfId="5398" xr:uid="{A7498FAD-A011-43DC-9714-C8BC796A4C8D}"/>
    <cellStyle name="Style 126 7 4 2" xfId="24450" xr:uid="{ACA98CDA-5BDE-4683-97AE-2F87976CD3DE}"/>
    <cellStyle name="Style 126 7 5" xfId="5395" xr:uid="{0CA5C3CD-8308-4B14-9DE8-3D050A29F366}"/>
    <cellStyle name="Style 126 7 5 2" xfId="27202" xr:uid="{69C32241-ECF8-4344-AA10-CA57274BA813}"/>
    <cellStyle name="Style 126 7 6" xfId="22811" xr:uid="{CBB58EF9-5491-4981-B616-1A0F872A121B}"/>
    <cellStyle name="Style 126 8" xfId="1174" xr:uid="{6DCF62FE-C35E-4F24-9C4F-B95CF5F0BEB6}"/>
    <cellStyle name="Style 126 8 2" xfId="1175" xr:uid="{203DCFC8-87E5-4C83-97F0-CC8636669A02}"/>
    <cellStyle name="Style 126 8 2 2" xfId="5400" xr:uid="{FF9B137D-61C5-402A-9826-E6E0E8BED391}"/>
    <cellStyle name="Style 126 8 2 2 2" xfId="27205" xr:uid="{5C14BC91-7168-46A6-826A-CA0CDAA4FB2E}"/>
    <cellStyle name="Style 126 8 2 3" xfId="22815" xr:uid="{3E390FFB-39F2-4904-AADA-5FA890A31615}"/>
    <cellStyle name="Style 126 8 3" xfId="5401" xr:uid="{0F723415-C1FE-4A4E-80ED-B471357A574D}"/>
    <cellStyle name="Style 126 8 3 2" xfId="22816" xr:uid="{74D775FA-79B3-42F8-AAB6-389EE5A36FFA}"/>
    <cellStyle name="Style 126 8 4" xfId="5402" xr:uid="{809C3EBC-0FCE-43AE-8492-E2E3DF23F857}"/>
    <cellStyle name="Style 126 8 4 2" xfId="24451" xr:uid="{FC85F98F-C656-41F0-879D-9325477521C9}"/>
    <cellStyle name="Style 126 8 5" xfId="5399" xr:uid="{6AA7F5A6-8366-4B05-B1F8-CE2BA289BD0F}"/>
    <cellStyle name="Style 126 8 5 2" xfId="27204" xr:uid="{6718419D-93D9-4E33-AEF7-88277353C245}"/>
    <cellStyle name="Style 126 8 6" xfId="22814" xr:uid="{14B751EB-2443-48D9-96FA-DBD50F680887}"/>
    <cellStyle name="Style 126 9" xfId="1176" xr:uid="{4D3C663B-3CAA-4257-B96F-B865207F33B5}"/>
    <cellStyle name="Style 126 9 2" xfId="1177" xr:uid="{82C87E28-2628-4F88-B28A-5E9CD460C65D}"/>
    <cellStyle name="Style 126 9 2 2" xfId="5403" xr:uid="{7DE37B1C-AD2A-422E-8264-30DC465A7075}"/>
    <cellStyle name="Style 126 9 2 2 2" xfId="27207" xr:uid="{458555B6-5C20-40E7-B4F2-EF6DA367B9CF}"/>
    <cellStyle name="Style 126 9 2 3" xfId="24452" xr:uid="{0F578FBC-1F8A-498E-BFD3-99FB48E7823F}"/>
    <cellStyle name="Style 126 9 3" xfId="4079" xr:uid="{97A3C1B9-0894-4D9D-ACBB-5B323BCB981E}"/>
    <cellStyle name="Style 126 9 3 2" xfId="27206" xr:uid="{C2B94C6C-28AB-428E-ABCB-68B37AA6CA89}"/>
    <cellStyle name="Style 126 9 4" xfId="22817" xr:uid="{8B31BB37-4415-4AD6-8107-0F913D16654C}"/>
    <cellStyle name="Style 126_ADDON" xfId="25764" xr:uid="{28DCB9AC-2BE2-48DA-8252-2BB8741E60CF}"/>
    <cellStyle name="Style 127" xfId="1178" xr:uid="{6C757125-B982-4A1C-8306-8A1393B269F8}"/>
    <cellStyle name="Style 127 10" xfId="22818" xr:uid="{A4F61F6A-F495-470A-A336-34FB63F9D839}"/>
    <cellStyle name="Style 127 2" xfId="1179" xr:uid="{25081941-3752-4C20-938E-19A7A52E98F5}"/>
    <cellStyle name="Style 127 2 2" xfId="8795" xr:uid="{4B7865AB-0E46-4BAE-ABC5-F22AB1FFE2A3}"/>
    <cellStyle name="Style 127 2 2 2" xfId="28856" xr:uid="{AA0F1291-73B8-40B4-ACA9-E37446553EB4}"/>
    <cellStyle name="Style 127 2 3" xfId="22819" xr:uid="{78895B01-D1BC-4082-B496-4CC53ECAA3AC}"/>
    <cellStyle name="Style 127 3" xfId="1180" xr:uid="{3AC7772D-E63F-4DAD-84DC-4CA0CA8A8148}"/>
    <cellStyle name="Style 127 3 2" xfId="1181" xr:uid="{FBB6022E-FBD6-4632-BDA4-5D8AFA9E9E1F}"/>
    <cellStyle name="Style 127 3 2 2" xfId="22821" xr:uid="{A8702161-2F6A-42DD-AA32-68E9B9664164}"/>
    <cellStyle name="Style 127 3 3" xfId="1182" xr:uid="{7B0BEA8D-B976-459F-A465-F420DEDB9D4B}"/>
    <cellStyle name="Style 127 3 3 2" xfId="1183" xr:uid="{AA9B6CEC-1697-4A53-8D80-C52FA511EAAF}"/>
    <cellStyle name="Style 127 3 3 2 2" xfId="22823" xr:uid="{5A885E88-B8A7-41A7-A939-A7EDE7DB3356}"/>
    <cellStyle name="Style 127 3 3 3" xfId="5404" xr:uid="{9C0BB8FF-AB88-4025-8BCB-D1C75EF2D9EB}"/>
    <cellStyle name="Style 127 3 3 3 2" xfId="22824" xr:uid="{F4A63384-FE3A-4FF7-86EE-614A44E2CC9D}"/>
    <cellStyle name="Style 127 3 3 4" xfId="5405" xr:uid="{8EDC0DE4-5460-4047-A51F-28467A4450ED}"/>
    <cellStyle name="Style 127 3 3 4 2" xfId="24453" xr:uid="{9DB6E7FB-EE60-4B2F-B1A7-D8240079152E}"/>
    <cellStyle name="Style 127 3 3 5" xfId="22822" xr:uid="{7568A612-BDFA-4372-8280-3BB5F6CC74DA}"/>
    <cellStyle name="Style 127 3 4" xfId="1184" xr:uid="{A8C5FA43-D824-4259-A0CE-C9CB0222FCA2}"/>
    <cellStyle name="Style 127 3 4 2" xfId="1185" xr:uid="{82BAB33D-8D01-4D1E-8008-01A4E4F3D1F3}"/>
    <cellStyle name="Style 127 3 4 2 2" xfId="22826" xr:uid="{8CAE66FF-3EAA-4399-B199-16C71B3E5B20}"/>
    <cellStyle name="Style 127 3 4 3" xfId="22825" xr:uid="{6594DBAE-8290-4CDB-821B-CD65C9A83765}"/>
    <cellStyle name="Style 127 3 5" xfId="5406" xr:uid="{46CE7458-045E-44DB-829B-466AC0FE4B3E}"/>
    <cellStyle name="Style 127 3 5 2" xfId="24454" xr:uid="{3FF74F68-B42A-42D3-9C14-68A9C3FC105C}"/>
    <cellStyle name="Style 127 3 6" xfId="22820" xr:uid="{567B5891-605E-4F37-858C-19EC81782001}"/>
    <cellStyle name="Style 127 4" xfId="1186" xr:uid="{66ED7F97-6700-4204-9777-68E789439FB1}"/>
    <cellStyle name="Style 127 4 2" xfId="1187" xr:uid="{DCB859D8-A302-4C26-B5F0-E1DC0C4B5434}"/>
    <cellStyle name="Style 127 4 2 2" xfId="22828" xr:uid="{8A7FDBB9-4F27-473C-8595-AEC1A0D92057}"/>
    <cellStyle name="Style 127 4 3" xfId="5407" xr:uid="{70248032-22CB-4E28-9689-6C38679EA973}"/>
    <cellStyle name="Style 127 4 3 2" xfId="22829" xr:uid="{57587BF2-56AB-4320-A5D1-1D273BCB9FB4}"/>
    <cellStyle name="Style 127 4 4" xfId="5408" xr:uid="{C256636F-31B6-4675-88E1-48CA0869C092}"/>
    <cellStyle name="Style 127 4 4 2" xfId="24455" xr:uid="{9FF87F08-9835-4FD6-83FB-6DED1336C143}"/>
    <cellStyle name="Style 127 4 5" xfId="22827" xr:uid="{B998521F-0B8E-4C67-AF37-AB09209E611E}"/>
    <cellStyle name="Style 127 5" xfId="1188" xr:uid="{631DFBAB-25C6-4ACC-A0A3-7AD7A12C5517}"/>
    <cellStyle name="Style 127 5 2" xfId="1189" xr:uid="{765073B9-6DB1-4861-981A-C6A5BA1099BD}"/>
    <cellStyle name="Style 127 5 2 2" xfId="22831" xr:uid="{8BA7BBBD-7D78-49E2-9666-A82EA58C3AE0}"/>
    <cellStyle name="Style 127 5 3" xfId="22830" xr:uid="{A5708D9B-1EC6-498E-B45A-B9BF15CA6364}"/>
    <cellStyle name="Style 127 6" xfId="1190" xr:uid="{54C03BB0-DEA5-49BB-96C3-9E8720A02866}"/>
    <cellStyle name="Style 127 6 2" xfId="1191" xr:uid="{2C1B68A4-87C9-4A75-BAFE-E4E8C700F60A}"/>
    <cellStyle name="Style 127 6 2 2" xfId="24456" xr:uid="{97A194EC-3E24-4861-8181-FA5FB5FAAFC9}"/>
    <cellStyle name="Style 127 6 3" xfId="4081" xr:uid="{467BAB07-98F2-4B19-AE2E-6ED2F2C4A3C2}"/>
    <cellStyle name="Style 127 6 3 2" xfId="28315" xr:uid="{7713F856-5821-4C6D-B1A9-2A3A11D281F0}"/>
    <cellStyle name="Style 127 6 4" xfId="22832" xr:uid="{25226A53-BFC2-4695-9434-82897F8982A5}"/>
    <cellStyle name="Style 127 7" xfId="4080" xr:uid="{01129383-64AF-4BC4-827F-7104ADC81B39}"/>
    <cellStyle name="Style 127 7 2" xfId="5410" xr:uid="{65369A89-9A83-4F75-B0FC-67F91FEE03A3}"/>
    <cellStyle name="Style 127 7 2 2" xfId="24457" xr:uid="{55583C00-4F79-4646-8606-A2E3DD1703FF}"/>
    <cellStyle name="Style 127 7 3" xfId="5409" xr:uid="{208C2D23-9026-4BD6-9419-3D5A27B9495F}"/>
    <cellStyle name="Style 127 7 3 2" xfId="40712" xr:uid="{93BFA5A8-D48A-4716-B5C0-F5F1EE1090DC}"/>
    <cellStyle name="Style 127 7 4" xfId="22833" xr:uid="{9EA254BB-3BA3-41F9-8567-B0A20C72CC10}"/>
    <cellStyle name="Style 127 8" xfId="5411" xr:uid="{E12FF26C-238E-40F6-A967-09D810E6CE34}"/>
    <cellStyle name="Style 127 8 2" xfId="24458" xr:uid="{092BF37E-435A-4147-B810-1B1ECBAAC312}"/>
    <cellStyle name="Style 127 9" xfId="8796" xr:uid="{339361B0-4934-459B-B82F-5544E5F620DB}"/>
    <cellStyle name="Style 127 9 2" xfId="26548" xr:uid="{68A2BE77-BFB8-4BE1-83FD-26375A0CF1D9}"/>
    <cellStyle name="Style 127_ADDON" xfId="25734" xr:uid="{78F580AC-7D15-448B-9A98-BC57735CCCD5}"/>
    <cellStyle name="Style 128" xfId="1192" xr:uid="{2A150A55-4BCF-4825-BA42-A4587A67F3A8}"/>
    <cellStyle name="Style 128 2" xfId="1193" xr:uid="{1101DB1A-74D6-4049-9825-6FC31F8BAF76}"/>
    <cellStyle name="Style 128 2 2" xfId="1194" xr:uid="{113480CE-4E64-4F1A-9D34-312CDBC4103E}"/>
    <cellStyle name="Style 128 2 2 2" xfId="1195" xr:uid="{83AD72A3-CBF9-4979-8A08-D4EA441E919F}"/>
    <cellStyle name="Style 128 2 2 2 2" xfId="1196" xr:uid="{1349AF66-CC70-4FBF-8F4D-8775B7783B1A}"/>
    <cellStyle name="Style 128 2 2 2 2 2" xfId="1197" xr:uid="{1EF49096-8F5B-4F06-A7EC-7D09E325ED5B}"/>
    <cellStyle name="Style 128 2 2 2 2 2 2" xfId="8797" xr:uid="{70ECFA87-AE08-4FDE-85BC-D65EC85132C4}"/>
    <cellStyle name="Style 128 2 2 2 2 3" xfId="8798" xr:uid="{B3B7DC91-F848-4D13-9C10-72BC0C7AFEF5}"/>
    <cellStyle name="Style 128 2 2 2 3" xfId="1198" xr:uid="{3E987A11-5EB6-4757-AC94-614ED8CDD4C2}"/>
    <cellStyle name="Style 128 2 2 2 3 2" xfId="8799" xr:uid="{A3748CD2-8805-44D1-B3D5-6904E6E1DE5A}"/>
    <cellStyle name="Style 128 2 2 2 4" xfId="8800" xr:uid="{D64166B6-33B3-4BD5-89E8-61D1BE62F44C}"/>
    <cellStyle name="Style 128 2 2 3" xfId="1199" xr:uid="{FC9BB143-39C2-41C7-8603-8898BA32F369}"/>
    <cellStyle name="Style 128 2 2 3 2" xfId="1200" xr:uid="{EC3B084F-7B60-48B6-9DC5-7AE581391A44}"/>
    <cellStyle name="Style 128 2 2 3 2 2" xfId="8801" xr:uid="{6DD246FC-4663-414B-AE4D-9CFD4205B40F}"/>
    <cellStyle name="Style 128 2 2 3 3" xfId="8802" xr:uid="{826C89B2-6B8A-4D0A-8308-40C9F9C0E0FB}"/>
    <cellStyle name="Style 128 2 2 4" xfId="1201" xr:uid="{3172254A-3EE6-43ED-99CF-40575B489172}"/>
    <cellStyle name="Style 128 2 2 4 2" xfId="8803" xr:uid="{076E3EE0-966E-4AC9-A8AA-E2EA8D054BF9}"/>
    <cellStyle name="Style 128 2 2 5" xfId="8804" xr:uid="{4CF1A277-AE47-4197-B157-004F86935F37}"/>
    <cellStyle name="Style 128 2 3" xfId="1202" xr:uid="{F8B31B1A-2C03-4D96-8FE9-A9AB4C5ED261}"/>
    <cellStyle name="Style 128 2 3 2" xfId="1203" xr:uid="{7DEE2D58-7E0E-498E-9FC7-FBD4D4A6722A}"/>
    <cellStyle name="Style 128 2 3 2 2" xfId="1204" xr:uid="{39DDE656-1BB5-4185-B655-4FB4EC70F5E3}"/>
    <cellStyle name="Style 128 2 3 2 2 2" xfId="8805" xr:uid="{DA0AE987-02B3-49E0-8186-CAE80E47B480}"/>
    <cellStyle name="Style 128 2 3 2 3" xfId="8806" xr:uid="{DA9CCABC-6B5F-43AD-92CC-4AE57122BB20}"/>
    <cellStyle name="Style 128 2 3 3" xfId="1205" xr:uid="{D587CC80-2245-4357-BABA-EF610A6DC421}"/>
    <cellStyle name="Style 128 2 3 3 2" xfId="8807" xr:uid="{315241BA-CC31-4D7B-AC84-3A63CABA3CDF}"/>
    <cellStyle name="Style 128 2 3 4" xfId="8808" xr:uid="{71C63390-BAD3-4F42-A731-5316C73C7317}"/>
    <cellStyle name="Style 128 2 4" xfId="1206" xr:uid="{1E8F8D8B-54EA-4A92-844D-2B499C55B9B5}"/>
    <cellStyle name="Style 128 2 4 2" xfId="1207" xr:uid="{A4EF6B0E-D662-4B17-A8AA-96A4B842050D}"/>
    <cellStyle name="Style 128 2 4 2 2" xfId="8809" xr:uid="{2E65F3CE-22AF-4428-B508-DF146FBFFCDA}"/>
    <cellStyle name="Style 128 2 4 3" xfId="8810" xr:uid="{7029E672-1995-4162-ACD2-AB9E9FD0CC67}"/>
    <cellStyle name="Style 128 2 5" xfId="1208" xr:uid="{70160BA3-42E8-4DFC-967B-E9A15FF9B82F}"/>
    <cellStyle name="Style 128 2 5 2" xfId="8811" xr:uid="{CC18D7BD-85BE-468D-A64E-D4A0CEB48038}"/>
    <cellStyle name="Style 128 2 6" xfId="8812" xr:uid="{2759ED8A-FB15-478D-AB09-AD85B2E6FFDA}"/>
    <cellStyle name="Style 128 3" xfId="1209" xr:uid="{7321E91B-CCB3-487D-B178-5F20E7D93284}"/>
    <cellStyle name="Style 128 3 2" xfId="1210" xr:uid="{9064658F-B250-4474-816B-70155B3FDD64}"/>
    <cellStyle name="Style 128 3 2 2" xfId="1211" xr:uid="{2824617E-E3BD-4E7D-9A28-1233098D6F84}"/>
    <cellStyle name="Style 128 3 2 2 2" xfId="1212" xr:uid="{EE2AAD97-AB8B-4ADD-834C-1B61D448C193}"/>
    <cellStyle name="Style 128 3 2 2 2 2" xfId="1213" xr:uid="{CBB243E7-C315-49AC-8949-277059F6B190}"/>
    <cellStyle name="Style 128 3 2 2 2 2 2" xfId="8813" xr:uid="{4BCD0849-D825-4196-B622-C476C28B8C68}"/>
    <cellStyle name="Style 128 3 2 2 2 3" xfId="8814" xr:uid="{88F38F83-9008-4799-9094-3AFB76D36FE6}"/>
    <cellStyle name="Style 128 3 2 2 3" xfId="1214" xr:uid="{CDA69622-4900-424C-84BF-F87C359AFF04}"/>
    <cellStyle name="Style 128 3 2 2 3 2" xfId="8815" xr:uid="{6C737890-87EB-426D-BCB5-F6B31C9CF7DF}"/>
    <cellStyle name="Style 128 3 2 2 4" xfId="8816" xr:uid="{0C2EDC6C-1A25-4B02-A62E-09F39D50185A}"/>
    <cellStyle name="Style 128 3 2 3" xfId="1215" xr:uid="{4F842488-5CB8-4699-BC03-2312E3DAFA3A}"/>
    <cellStyle name="Style 128 3 2 3 2" xfId="1216" xr:uid="{77836A48-5FFC-412B-81FB-AEC8814D22BE}"/>
    <cellStyle name="Style 128 3 2 3 2 2" xfId="8817" xr:uid="{E579C60B-17AE-4A1B-8700-6DE26ACFE431}"/>
    <cellStyle name="Style 128 3 2 3 3" xfId="8818" xr:uid="{F7CD075A-3D0E-438F-929B-868872CA828F}"/>
    <cellStyle name="Style 128 3 2 4" xfId="1217" xr:uid="{45455620-FADE-4F91-B25F-3FF36590E873}"/>
    <cellStyle name="Style 128 3 2 4 2" xfId="8819" xr:uid="{C9557D73-6548-4C85-BF35-C10F26DD2112}"/>
    <cellStyle name="Style 128 3 2 5" xfId="8820" xr:uid="{AB4EA7DE-FB90-4F1E-8340-254A0405FDDB}"/>
    <cellStyle name="Style 128 3 3" xfId="1218" xr:uid="{BEAD8B08-16FE-4116-BC37-FC1D63D20FF9}"/>
    <cellStyle name="Style 128 3 3 2" xfId="1219" xr:uid="{DD69043D-5422-450E-9DEE-F0EC2A31BC1A}"/>
    <cellStyle name="Style 128 3 3 2 2" xfId="1220" xr:uid="{55AD2B1F-6C70-4BE3-BB5D-4BE05C3331C9}"/>
    <cellStyle name="Style 128 3 3 2 2 2" xfId="1221" xr:uid="{41B1A8CF-9155-47A8-BDBB-5AB24F460864}"/>
    <cellStyle name="Style 128 3 3 2 2 2 2" xfId="8821" xr:uid="{B8BF5CEB-7E06-4684-A975-54692CA62CD3}"/>
    <cellStyle name="Style 128 3 3 2 2 3" xfId="8822" xr:uid="{A40CCEFF-011B-4672-977D-96DE3C7551E9}"/>
    <cellStyle name="Style 128 3 3 2 3" xfId="1222" xr:uid="{94B5344D-0197-4D1E-8B87-2AFC7A721D7C}"/>
    <cellStyle name="Style 128 3 3 2 3 2" xfId="8823" xr:uid="{DB770405-1E79-46B1-B2F9-284F44F997BC}"/>
    <cellStyle name="Style 128 3 3 2 4" xfId="8824" xr:uid="{6BDE1324-8908-46F0-8385-3316892A1294}"/>
    <cellStyle name="Style 128 3 3 3" xfId="1223" xr:uid="{1C0F5C3C-36E7-49DF-83AE-048C3B13D584}"/>
    <cellStyle name="Style 128 3 3 3 2" xfId="8825" xr:uid="{8E3701B0-F24C-4720-9FAE-3741025EC933}"/>
    <cellStyle name="Style 128 3 3 4" xfId="5412" xr:uid="{E4FE4606-E876-44B8-A034-8702405A4C07}"/>
    <cellStyle name="Style 128 3 3 5" xfId="8826" xr:uid="{9DD143CA-7098-404D-BF72-2A172019E5CD}"/>
    <cellStyle name="Style 128 3 4" xfId="1224" xr:uid="{863A3C4E-284E-4121-BD29-C616A4A68C4A}"/>
    <cellStyle name="Style 128 3 4 2" xfId="1225" xr:uid="{1FED73BE-D848-4607-AC77-25816BA9DF6C}"/>
    <cellStyle name="Style 128 3 4 2 2" xfId="8827" xr:uid="{471F8FFB-3108-4C27-8DF5-0E2B50EC9F22}"/>
    <cellStyle name="Style 128 3 4 3" xfId="8828" xr:uid="{F656AA42-F500-4E1C-A987-DCE8C3600D1D}"/>
    <cellStyle name="Style 128 3 5" xfId="1226" xr:uid="{F2B0CBF5-92E7-44DF-AE84-CCA559262242}"/>
    <cellStyle name="Style 128 3 5 2" xfId="8829" xr:uid="{31AB9781-B8ED-4F98-A990-16D0B5B41D8F}"/>
    <cellStyle name="Style 128 3 6" xfId="8830" xr:uid="{3F342F40-EF4B-41EF-A346-0A608556F9E7}"/>
    <cellStyle name="Style 128 4" xfId="1227" xr:uid="{A4563CEC-817E-4D48-8A32-0B6C6F440619}"/>
    <cellStyle name="Style 128 4 2" xfId="1228" xr:uid="{75308DA7-55AC-4A16-9D0B-E9F99B55CBD4}"/>
    <cellStyle name="Style 128 4 2 2" xfId="1229" xr:uid="{99BC3187-953F-4493-9AF2-1136AEFF8AAF}"/>
    <cellStyle name="Style 128 4 2 2 2" xfId="1230" xr:uid="{E24F9159-90A6-4107-9446-B9E31AF99D75}"/>
    <cellStyle name="Style 128 4 2 2 2 2" xfId="8831" xr:uid="{998600D4-24D6-469A-B0F7-A86484FACAF9}"/>
    <cellStyle name="Style 128 4 2 2 3" xfId="8832" xr:uid="{1F49BF12-94E5-4227-B786-DCC74AB64E9C}"/>
    <cellStyle name="Style 128 4 2 3" xfId="1231" xr:uid="{39ECCAA7-109B-4416-B615-1240457CE22B}"/>
    <cellStyle name="Style 128 4 2 3 2" xfId="8833" xr:uid="{A01E722D-CFC3-4179-BE07-20262E67B0B0}"/>
    <cellStyle name="Style 128 4 2 4" xfId="8834" xr:uid="{70BF1EE7-840F-4B76-895D-4FAD1433B53A}"/>
    <cellStyle name="Style 128 4 3" xfId="1232" xr:uid="{2C7348EB-FCE4-425B-8C40-979A6DF85C96}"/>
    <cellStyle name="Style 128 4 3 2" xfId="8835" xr:uid="{6823FFF3-BF07-4D4C-80C2-142C4FBE991D}"/>
    <cellStyle name="Style 128 4 4" xfId="5413" xr:uid="{7C9BC10F-0EEC-4A9E-8E5E-FCF687802664}"/>
    <cellStyle name="Style 128 4 5" xfId="8836" xr:uid="{D5B818EF-5146-4F5C-8727-218FC22D67EA}"/>
    <cellStyle name="Style 128 5" xfId="1233" xr:uid="{D736F4C9-2D2D-4635-834E-D9003A39BF4D}"/>
    <cellStyle name="Style 128 5 2" xfId="1234" xr:uid="{20E76FB0-6C1F-48D6-B47A-FF28024C61A3}"/>
    <cellStyle name="Style 128 5 2 2" xfId="8837" xr:uid="{760C323B-1151-4BE9-8806-A2E53EE431C0}"/>
    <cellStyle name="Style 128 5 3" xfId="8838" xr:uid="{708A44D5-B0F5-436D-A7D8-ADA7D61EE839}"/>
    <cellStyle name="Style 128 6" xfId="1235" xr:uid="{5887CB3E-AA94-4DE1-822F-FDC1EFEBE77D}"/>
    <cellStyle name="Style 128 6 2" xfId="4083" xr:uid="{44770926-8EE6-4184-B973-F90426424C93}"/>
    <cellStyle name="Style 128 6 2 2" xfId="5414" xr:uid="{55955213-A812-479D-8E5D-060A56752A38}"/>
    <cellStyle name="Style 128 6 3" xfId="8839" xr:uid="{60F778EF-AF55-4507-98A4-651A8982D41B}"/>
    <cellStyle name="Style 128 7" xfId="4082" xr:uid="{A0A439B1-A74B-4F83-BD78-2FF6A09748B0}"/>
    <cellStyle name="Style 128 7 2" xfId="5416" xr:uid="{857518C2-2387-4D51-97C8-EB34DFDA1B0B}"/>
    <cellStyle name="Style 128 7 3" xfId="5415" xr:uid="{26EDAA22-B4A6-4E34-8865-B0A299931743}"/>
    <cellStyle name="Style 128 8" xfId="5417" xr:uid="{8B63F8E4-D8C5-4FBF-A290-C615B4901C2D}"/>
    <cellStyle name="Style 128 9" xfId="8840" xr:uid="{C7F0B81B-CF71-47F4-B786-ECA8DCA1138E}"/>
    <cellStyle name="Style 128 9 2" xfId="26549" xr:uid="{3E4D83DF-A33C-4C8E-992A-9FDC03AD6F52}"/>
    <cellStyle name="Style 128_ADDON" xfId="25765" xr:uid="{86890675-9537-469F-A972-03B87410772B}"/>
    <cellStyle name="Style 129" xfId="1236" xr:uid="{1CFE5ADA-6996-4643-8981-67DB64964FE6}"/>
    <cellStyle name="Style 129 10" xfId="22834" xr:uid="{454864F2-B73E-40B7-94EB-6DBF301E5A2B}"/>
    <cellStyle name="Style 129 2" xfId="1237" xr:uid="{31FB979F-C51E-4671-A7A7-63D0B6F5A3C5}"/>
    <cellStyle name="Style 129 2 2" xfId="8841" xr:uid="{02F352CA-17C9-41DD-BAAD-2C4676F84E9A}"/>
    <cellStyle name="Style 129 2 2 2" xfId="28857" xr:uid="{ECED7559-91D5-450D-B271-23D47420631B}"/>
    <cellStyle name="Style 129 2 3" xfId="22835" xr:uid="{F8AF9A2A-109F-4852-9D29-53AB1B17DDB3}"/>
    <cellStyle name="Style 129 3" xfId="1238" xr:uid="{1C2E90DF-5593-41D1-9597-10DB4C6E2EA7}"/>
    <cellStyle name="Style 129 3 2" xfId="1239" xr:uid="{C435FFD9-1395-40FF-B4F5-EC6E72A746AB}"/>
    <cellStyle name="Style 129 3 2 2" xfId="22837" xr:uid="{F91C6B68-9375-4EC7-A3D7-F72E1337AAEA}"/>
    <cellStyle name="Style 129 3 3" xfId="1240" xr:uid="{9A9388FB-E71C-4D9D-BD54-B2FE84E3925F}"/>
    <cellStyle name="Style 129 3 3 2" xfId="1241" xr:uid="{88295DCB-AFAF-4397-9A53-A71D3923F542}"/>
    <cellStyle name="Style 129 3 3 2 2" xfId="22839" xr:uid="{B2B15394-8263-450C-8DEA-FFDCCDC70194}"/>
    <cellStyle name="Style 129 3 3 3" xfId="5418" xr:uid="{59142593-0522-4BDA-BFB1-3C67193DCF67}"/>
    <cellStyle name="Style 129 3 3 3 2" xfId="22840" xr:uid="{FBF53F19-0FB2-4F4D-9B11-F454B176B103}"/>
    <cellStyle name="Style 129 3 3 4" xfId="5419" xr:uid="{FC6A3DBA-8077-4933-B306-CD281D13C4BB}"/>
    <cellStyle name="Style 129 3 3 4 2" xfId="24459" xr:uid="{9902DD5E-A525-422E-9B39-6D2F34E7694E}"/>
    <cellStyle name="Style 129 3 3 5" xfId="22838" xr:uid="{D5316B49-C164-43A6-BA9E-5E0223B748AF}"/>
    <cellStyle name="Style 129 3 4" xfId="1242" xr:uid="{353F4FF6-9305-4DDE-8530-4244FB169B80}"/>
    <cellStyle name="Style 129 3 4 2" xfId="1243" xr:uid="{47ED52D7-CDBB-4BE8-BE06-C99DAFC9694B}"/>
    <cellStyle name="Style 129 3 4 2 2" xfId="22842" xr:uid="{BC1756CF-BC71-4FD9-B0D1-2A6F0376D2E3}"/>
    <cellStyle name="Style 129 3 4 3" xfId="22841" xr:uid="{7B5BF2EC-5F5B-4F07-842B-294AE2275F72}"/>
    <cellStyle name="Style 129 3 5" xfId="5420" xr:uid="{8804E30C-258C-49F1-9830-12B5C2CBFC6D}"/>
    <cellStyle name="Style 129 3 5 2" xfId="24460" xr:uid="{9F5423D8-B11D-4150-900E-EF89A9AA9AB3}"/>
    <cellStyle name="Style 129 3 6" xfId="22836" xr:uid="{61BF01F2-FF86-4DFA-AC42-CEA9536BB9DE}"/>
    <cellStyle name="Style 129 4" xfId="1244" xr:uid="{4B0B945B-A455-4D54-B448-8E84974F98BD}"/>
    <cellStyle name="Style 129 4 2" xfId="1245" xr:uid="{2A3FDB59-2C59-4995-A811-7D33BCEC73FA}"/>
    <cellStyle name="Style 129 4 2 2" xfId="22844" xr:uid="{E541AAE2-9DF3-40AF-A240-D65D60F1A18C}"/>
    <cellStyle name="Style 129 4 3" xfId="5421" xr:uid="{D4A31D28-93DC-4837-8C99-3D6C93F8CEA0}"/>
    <cellStyle name="Style 129 4 3 2" xfId="22845" xr:uid="{AC35CDD8-3946-4DD5-BA3A-2F79D7E11BE9}"/>
    <cellStyle name="Style 129 4 4" xfId="5422" xr:uid="{F924A9BD-BE19-4794-B5EC-C3BEC09BD3B6}"/>
    <cellStyle name="Style 129 4 4 2" xfId="24461" xr:uid="{524A84D4-3561-40B3-B77A-41F0D8749BD7}"/>
    <cellStyle name="Style 129 4 5" xfId="22843" xr:uid="{043B85B9-E613-4501-9E38-C742DFB53CC9}"/>
    <cellStyle name="Style 129 5" xfId="1246" xr:uid="{45C71A38-2569-4560-80BB-CD7C34761327}"/>
    <cellStyle name="Style 129 5 2" xfId="1247" xr:uid="{8A63EB70-ADF2-4FD0-A289-69482C508A5A}"/>
    <cellStyle name="Style 129 5 2 2" xfId="22847" xr:uid="{BD6A4D97-D147-4E5D-B403-5D1011472E26}"/>
    <cellStyle name="Style 129 5 3" xfId="22846" xr:uid="{7D7B2764-4B98-4927-8058-FC9F0DED5CB6}"/>
    <cellStyle name="Style 129 6" xfId="1248" xr:uid="{B4781CFD-6DFB-47E1-9053-B860313DDCC7}"/>
    <cellStyle name="Style 129 6 2" xfId="1249" xr:uid="{21CEC6FC-8BB2-45EC-B6AA-6626482903DA}"/>
    <cellStyle name="Style 129 6 2 2" xfId="24462" xr:uid="{EAD716F9-6E2F-42FA-B80F-A4CA760808AF}"/>
    <cellStyle name="Style 129 6 3" xfId="4085" xr:uid="{1763532D-F72A-45D1-9570-537648EB689B}"/>
    <cellStyle name="Style 129 6 3 2" xfId="28316" xr:uid="{EA97168E-57BE-4988-A894-29D5D529B306}"/>
    <cellStyle name="Style 129 6 4" xfId="22848" xr:uid="{8DC0F865-EB3E-4384-8047-D9D6F55B349A}"/>
    <cellStyle name="Style 129 7" xfId="4084" xr:uid="{1404AD73-B3E7-4276-884B-0FFACE1542E4}"/>
    <cellStyle name="Style 129 7 2" xfId="5424" xr:uid="{C16CDC23-6EAE-4CEA-98D9-160D46A6A2A8}"/>
    <cellStyle name="Style 129 7 2 2" xfId="24463" xr:uid="{276D7FB5-BC08-4E0F-AE2D-E15DB242DF81}"/>
    <cellStyle name="Style 129 7 3" xfId="5423" xr:uid="{E2AFE3C6-9391-4AB8-A5A3-6B076BE102B7}"/>
    <cellStyle name="Style 129 7 3 2" xfId="40713" xr:uid="{108686E9-97CE-47BB-94DC-10C20DBCD9BA}"/>
    <cellStyle name="Style 129 7 4" xfId="22849" xr:uid="{84061653-7C41-437A-BC44-E87EEEDFE316}"/>
    <cellStyle name="Style 129 8" xfId="5425" xr:uid="{79DEBFB6-3213-4448-AF7A-ED4362784DEA}"/>
    <cellStyle name="Style 129 8 2" xfId="24464" xr:uid="{135D0709-67A4-4D97-A460-570FE37BB373}"/>
    <cellStyle name="Style 129 9" xfId="8842" xr:uid="{27DEA2DB-BA7F-4DF1-82CF-DCEE98CCB4AB}"/>
    <cellStyle name="Style 129 9 2" xfId="26550" xr:uid="{CD59561B-AE40-4782-8129-C47BD57A535C}"/>
    <cellStyle name="Style 129_ADDON" xfId="25735" xr:uid="{AE93A9F0-0231-4DC9-BF20-64C77F10583B}"/>
    <cellStyle name="Style 130" xfId="1250" xr:uid="{78A2FAA1-2DBC-45CC-A316-F9E8390C912D}"/>
    <cellStyle name="Style 130 10" xfId="1251" xr:uid="{B47197A0-D7D5-4BD3-8D92-BB12814A1741}"/>
    <cellStyle name="Style 130 10 2" xfId="1252" xr:uid="{C4B2F868-E35A-4F38-AB11-B79966442CED}"/>
    <cellStyle name="Style 130 10 2 2" xfId="5426" xr:uid="{8B7FEB77-0113-4624-AD0D-CADC67D2AAAC}"/>
    <cellStyle name="Style 130 10 2 2 2" xfId="27209" xr:uid="{7C7622FD-5CCB-4A92-BEE9-FB9784C288CF}"/>
    <cellStyle name="Style 130 10 2 3" xfId="24465" xr:uid="{67972E45-C757-4EC2-BF37-19D768E2E2F2}"/>
    <cellStyle name="Style 130 10 3" xfId="4086" xr:uid="{C2401078-37D7-40E3-AF00-E65ACB6C7658}"/>
    <cellStyle name="Style 130 10 3 2" xfId="27208" xr:uid="{D2B1737E-4F24-449B-95CA-0F3E8E68F5CB}"/>
    <cellStyle name="Style 130 10 4" xfId="22851" xr:uid="{A5EFA1F8-7EFD-4B0E-980E-B87038F78E00}"/>
    <cellStyle name="Style 130 11" xfId="1253" xr:uid="{B08B2736-38C4-4EBF-8637-5B7D8B9BB4DF}"/>
    <cellStyle name="Style 130 11 2" xfId="1254" xr:uid="{6CCE8D29-09BA-49D0-907A-D755C82AD660}"/>
    <cellStyle name="Style 130 11 2 2" xfId="5428" xr:uid="{567EAC37-7B2A-4800-A878-3780238C8A78}"/>
    <cellStyle name="Style 130 11 2 2 2" xfId="27211" xr:uid="{B8D418D4-4C56-4240-9668-D37D933C0F75}"/>
    <cellStyle name="Style 130 11 2 3" xfId="24466" xr:uid="{51FD1883-1E8F-4184-B6C8-67FA45B3982A}"/>
    <cellStyle name="Style 130 11 3" xfId="5427" xr:uid="{E8F86C7E-6604-40BC-990C-2709C8687A50}"/>
    <cellStyle name="Style 130 11 3 2" xfId="27210" xr:uid="{9B7A14B6-41DF-49C7-B580-BAA35C212C0F}"/>
    <cellStyle name="Style 130 11 4" xfId="22852" xr:uid="{90AD548A-EAF3-42B5-895D-A7C9D0E333B7}"/>
    <cellStyle name="Style 130 12" xfId="1255" xr:uid="{F7C3E033-344D-40A6-9F36-8A80BA5D7368}"/>
    <cellStyle name="Style 130 12 2" xfId="5429" xr:uid="{7E021DE4-A5D3-4D07-841D-1B2A5FEABA0C}"/>
    <cellStyle name="Style 130 12 2 2" xfId="27212" xr:uid="{A2CD369D-E71F-414D-8A5E-B5CCB52DB9E6}"/>
    <cellStyle name="Style 130 12 3" xfId="8843" xr:uid="{EBA116E3-DB05-45BB-81A4-7DE733EE5F8D}"/>
    <cellStyle name="Style 130 12 3 2" xfId="28858" xr:uid="{EC038E54-65BF-48C1-8343-C7DF4313FEF2}"/>
    <cellStyle name="Style 130 12 4" xfId="8844" xr:uid="{7057D618-4FFA-4708-BCEB-675365FA103D}"/>
    <cellStyle name="Style 130 12 4 2" xfId="28859" xr:uid="{47C5CA1D-1AC1-47D1-8116-32548F47E7F8}"/>
    <cellStyle name="Style 130 12 5" xfId="8845" xr:uid="{74C1AC49-F550-43C5-AC39-E606B9B020B0}"/>
    <cellStyle name="Style 130 12 5 2" xfId="28860" xr:uid="{A24B4FF1-416B-496E-A3EC-F3B03F168359}"/>
    <cellStyle name="Style 130 12 6" xfId="8846" xr:uid="{341AD886-AE0D-4905-B582-886AD0DA53BC}"/>
    <cellStyle name="Style 130 12 6 2" xfId="28861" xr:uid="{15CE6B22-1701-47ED-B1F2-AFC4DD010CFE}"/>
    <cellStyle name="Style 130 12 7" xfId="24467" xr:uid="{B6232690-0004-4BBC-BB58-00471433BB63}"/>
    <cellStyle name="Style 130 13" xfId="8847" xr:uid="{0ADCD685-9C0C-48F3-8174-6119407B3BB4}"/>
    <cellStyle name="Style 130 13 2" xfId="8848" xr:uid="{DD483D00-498B-4AAB-881B-377C9F7E033E}"/>
    <cellStyle name="Style 130 13 2 2" xfId="28862" xr:uid="{31826679-9D7C-4D71-9912-F6B2A12359B3}"/>
    <cellStyle name="Style 130 13 3" xfId="8849" xr:uid="{528D5A22-CC01-4D09-926F-F8D39281F226}"/>
    <cellStyle name="Style 130 13 3 2" xfId="28863" xr:uid="{366F34ED-4ADE-4F97-916E-43B5A07FB5A2}"/>
    <cellStyle name="Style 130 13 4" xfId="26551" xr:uid="{0BA0AC0A-E0B0-4DDA-AD31-A0E0F58DF676}"/>
    <cellStyle name="Style 130 14" xfId="8850" xr:uid="{59442BB0-6045-4D6C-9A73-F5D4E3C6148B}"/>
    <cellStyle name="Style 130 14 2" xfId="8851" xr:uid="{1020C3EA-1B24-4A4F-A2D0-F6D3EC5569D8}"/>
    <cellStyle name="Style 130 14 2 2" xfId="28865" xr:uid="{8DFFF569-489F-452B-A359-5FDEC2D54991}"/>
    <cellStyle name="Style 130 14 3" xfId="28864" xr:uid="{CFB38BF3-A542-44F0-B117-A8CDC9868571}"/>
    <cellStyle name="Style 130 15" xfId="8852" xr:uid="{DAE8668F-2474-4F88-9898-9B09DBDB8214}"/>
    <cellStyle name="Style 130 15 2" xfId="8853" xr:uid="{736EB575-A7D1-43F3-BA02-B3DA030325B9}"/>
    <cellStyle name="Style 130 15 2 2" xfId="28867" xr:uid="{40F76DA2-1477-4720-9024-B75535117181}"/>
    <cellStyle name="Style 130 15 3" xfId="28866" xr:uid="{DE7CEBE8-115F-48FA-A89F-40960292A7DE}"/>
    <cellStyle name="Style 130 16" xfId="22850" xr:uid="{CB3E938F-4DC2-402C-ACC6-6B25F88AE0D9}"/>
    <cellStyle name="Style 130 2" xfId="1256" xr:uid="{A8478047-B167-4BC8-B869-4701306D1C90}"/>
    <cellStyle name="Style 130 2 2" xfId="4350" xr:uid="{C0351784-E769-4B7E-BE61-A9208A1CAE10}"/>
    <cellStyle name="Style 130 2 2 2" xfId="26552" xr:uid="{F92B2CBF-56CA-4C92-B97C-EC823A3088D0}"/>
    <cellStyle name="Style 130 2 3" xfId="22853" xr:uid="{CC19DDC5-75FB-4700-A664-6E01310F813A}"/>
    <cellStyle name="Style 130 3" xfId="1257" xr:uid="{1F964D93-F1BB-47F1-96C4-9CEF3F31DF5E}"/>
    <cellStyle name="Style 130 3 2" xfId="1258" xr:uid="{B1B51A0E-B63E-44A3-BA87-D1690F78C535}"/>
    <cellStyle name="Style 130 3 2 2" xfId="1259" xr:uid="{618FE147-32D6-4E4B-94E1-139767952A16}"/>
    <cellStyle name="Style 130 3 2 2 2" xfId="5430" xr:uid="{6BB7764F-52AB-4443-98DA-F5EA522E35D0}"/>
    <cellStyle name="Style 130 3 2 2 2 2" xfId="27213" xr:uid="{6387D395-A65C-4EA6-8CCB-04FF4637F121}"/>
    <cellStyle name="Style 130 3 2 2 3" xfId="22856" xr:uid="{B9445298-C28C-4F13-B01C-3F1EA3EE1BB4}"/>
    <cellStyle name="Style 130 3 2 3" xfId="4352" xr:uid="{F6FBE4D1-8704-4BB3-BB35-88BC97805201}"/>
    <cellStyle name="Style 130 3 2 3 2" xfId="26554" xr:uid="{1A92BD68-B286-4C47-A955-5B1571BF3140}"/>
    <cellStyle name="Style 130 3 2 4" xfId="22855" xr:uid="{8B5DD756-A544-4830-AB76-3AB72FF1003D}"/>
    <cellStyle name="Style 130 3 3" xfId="1260" xr:uid="{DE23F7A9-42D8-459D-9CE3-95B60C12672C}"/>
    <cellStyle name="Style 130 3 3 2" xfId="1261" xr:uid="{4A7A4110-CFD3-43C0-9FD7-2C73A0576BD8}"/>
    <cellStyle name="Style 130 3 3 2 2" xfId="5432" xr:uid="{CB907CFC-B985-4C8F-99F9-341C4F3A039C}"/>
    <cellStyle name="Style 130 3 3 2 2 2" xfId="27215" xr:uid="{056446D5-5521-46F9-95E2-2AD4856041C7}"/>
    <cellStyle name="Style 130 3 3 2 3" xfId="22858" xr:uid="{865EAA00-72FD-4ACB-AB67-5CC44F1822C2}"/>
    <cellStyle name="Style 130 3 3 3" xfId="1262" xr:uid="{D5BA178B-0FBC-4E21-B233-2B3BDC322C46}"/>
    <cellStyle name="Style 130 3 3 3 2" xfId="1263" xr:uid="{5FA9A70C-7246-4372-9426-BC8855AD95BC}"/>
    <cellStyle name="Style 130 3 3 3 2 2" xfId="5434" xr:uid="{470A85E2-2FEB-48DE-AE48-1DEC9A10D6D5}"/>
    <cellStyle name="Style 130 3 3 3 2 2 2" xfId="27217" xr:uid="{3399DBBB-B753-4EF2-9001-18DC58D6882F}"/>
    <cellStyle name="Style 130 3 3 3 2 3" xfId="22860" xr:uid="{A731A4E7-D390-491D-9D31-189BFD0F37D2}"/>
    <cellStyle name="Style 130 3 3 3 3" xfId="5435" xr:uid="{1DEDF7E7-34BB-4BC6-B77E-87762B895566}"/>
    <cellStyle name="Style 130 3 3 3 3 2" xfId="22861" xr:uid="{596B4A3A-E674-42AB-A0D0-8A67D1668E73}"/>
    <cellStyle name="Style 130 3 3 3 4" xfId="5436" xr:uid="{216578DE-1E37-4404-9DE2-88AC68F54F53}"/>
    <cellStyle name="Style 130 3 3 3 4 2" xfId="24468" xr:uid="{DFF0AABF-4587-481E-B4FE-5DD62C77A64D}"/>
    <cellStyle name="Style 130 3 3 3 5" xfId="5433" xr:uid="{7535237C-E0D2-4300-A886-49F8085729A6}"/>
    <cellStyle name="Style 130 3 3 3 5 2" xfId="27216" xr:uid="{221308F9-5517-4F43-B7EF-5F02F96C5F80}"/>
    <cellStyle name="Style 130 3 3 3 6" xfId="22859" xr:uid="{74BE976C-E636-429D-BEAB-B2897F778F27}"/>
    <cellStyle name="Style 130 3 3 4" xfId="1264" xr:uid="{E4187D56-4CC4-44C2-9D16-281F4F55A853}"/>
    <cellStyle name="Style 130 3 3 4 2" xfId="1265" xr:uid="{7FCDBBFE-254C-4134-BC29-B892237CA019}"/>
    <cellStyle name="Style 130 3 3 4 2 2" xfId="5438" xr:uid="{9D772F00-E7A5-4E83-9552-03881C4C56EB}"/>
    <cellStyle name="Style 130 3 3 4 2 2 2" xfId="27219" xr:uid="{E02FF310-9E0F-4B79-A912-8A38C3B8781C}"/>
    <cellStyle name="Style 130 3 3 4 2 3" xfId="22863" xr:uid="{0EA6C710-75CB-4BEB-B1B8-174010DC8C60}"/>
    <cellStyle name="Style 130 3 3 4 3" xfId="5437" xr:uid="{0212A8EC-CA56-4D31-930A-8EE238ECE62E}"/>
    <cellStyle name="Style 130 3 3 4 3 2" xfId="27218" xr:uid="{72B5B2AE-73B6-4377-B934-DFE7DBDEF23A}"/>
    <cellStyle name="Style 130 3 3 4 4" xfId="22862" xr:uid="{7465A639-6EFC-4AF7-BE89-0A603D445C0E}"/>
    <cellStyle name="Style 130 3 3 5" xfId="5439" xr:uid="{F6813FC2-4ACD-4492-9760-B6523723108E}"/>
    <cellStyle name="Style 130 3 3 5 2" xfId="24469" xr:uid="{BD6CA9ED-89CB-4237-BDB3-7AC6EEA5A9EC}"/>
    <cellStyle name="Style 130 3 3 6" xfId="5431" xr:uid="{1EDE8CB9-5346-44DB-904D-3997271D90FB}"/>
    <cellStyle name="Style 130 3 3 6 2" xfId="27214" xr:uid="{E97CE364-14C6-4D97-981D-EF502098B4CF}"/>
    <cellStyle name="Style 130 3 3 7" xfId="22857" xr:uid="{B3654EB9-8F13-48A0-A5D5-84B85CFF1987}"/>
    <cellStyle name="Style 130 3 4" xfId="1266" xr:uid="{66E86845-10B0-4390-8FBE-039BFDD7AD46}"/>
    <cellStyle name="Style 130 3 4 2" xfId="5441" xr:uid="{52C8E23A-BD43-4BEC-9B0D-78733BD73384}"/>
    <cellStyle name="Style 130 3 4 2 2" xfId="22865" xr:uid="{A2685B7C-FCDD-4B70-832F-14591EBA9222}"/>
    <cellStyle name="Style 130 3 4 3" xfId="5442" xr:uid="{AB223690-6E1E-4A47-946C-F703DE88B267}"/>
    <cellStyle name="Style 130 3 4 3 2" xfId="24470" xr:uid="{FF1125E7-8AB9-4289-9B7E-A728950438AE}"/>
    <cellStyle name="Style 130 3 4 4" xfId="5440" xr:uid="{975276EC-BAEF-4D80-BB2A-6B41AD58148D}"/>
    <cellStyle name="Style 130 3 4 4 2" xfId="27220" xr:uid="{B2BFAFA9-97DE-432E-9E64-ABAB985DAC62}"/>
    <cellStyle name="Style 130 3 4 5" xfId="22864" xr:uid="{A2250B3C-2B90-48E5-9E37-D19F8EE03E90}"/>
    <cellStyle name="Style 130 3 5" xfId="5443" xr:uid="{BFD2DAAC-0515-49C5-828B-6893755AC332}"/>
    <cellStyle name="Style 130 3 5 2" xfId="8854" xr:uid="{47F0C986-49C4-4463-A0D8-B350E2BEA425}"/>
    <cellStyle name="Style 130 3 5 2 2" xfId="27221" xr:uid="{D7A06ECB-1EA4-439B-AFF5-D27469665549}"/>
    <cellStyle name="Style 130 3 5 3" xfId="22866" xr:uid="{820B0F8D-6BD0-4325-8BC7-830401C71F8B}"/>
    <cellStyle name="Style 130 3 6" xfId="4351" xr:uid="{1AFCBFF4-566B-489D-9D9C-077D4B539802}"/>
    <cellStyle name="Style 130 3 6 2" xfId="26553" xr:uid="{5A7E4D03-6333-4A2E-B678-1CA31C7A4870}"/>
    <cellStyle name="Style 130 3 7" xfId="22854" xr:uid="{0ED75FC5-F635-498C-B586-EAF009892EFC}"/>
    <cellStyle name="Style 130 4" xfId="1267" xr:uid="{54FCC629-BE09-41CE-AC66-9A0885B2CCD0}"/>
    <cellStyle name="Style 130 4 2" xfId="1268" xr:uid="{8FA6378B-9209-41B2-A6C4-0AB7CF164AB4}"/>
    <cellStyle name="Style 130 4 2 2" xfId="1269" xr:uid="{466CF2D2-387B-4B2A-A4AD-C6FF8DE4A2C1}"/>
    <cellStyle name="Style 130 4 2 2 2" xfId="5446" xr:uid="{EB8DEFDE-20BF-41FC-A42F-0DD13AD2CA41}"/>
    <cellStyle name="Style 130 4 2 2 2 2" xfId="27223" xr:uid="{8316D6CD-6AE0-4175-B6C1-74356297A100}"/>
    <cellStyle name="Style 130 4 2 2 3" xfId="22869" xr:uid="{CEA21C11-4C96-4BEB-86DE-25D180C5C3DF}"/>
    <cellStyle name="Style 130 4 2 3" xfId="1270" xr:uid="{BC1E81B3-6FE3-4B45-8130-8174B57DDD34}"/>
    <cellStyle name="Style 130 4 2 3 2" xfId="1271" xr:uid="{4F9E1220-29DF-493E-B399-0A491AF76293}"/>
    <cellStyle name="Style 130 4 2 3 2 2" xfId="5448" xr:uid="{48C85786-AD7C-4A0D-B91E-C45040F3B7AC}"/>
    <cellStyle name="Style 130 4 2 3 2 2 2" xfId="27225" xr:uid="{229FD846-103F-4DB4-8DCA-682B2703194E}"/>
    <cellStyle name="Style 130 4 2 3 2 3" xfId="22871" xr:uid="{4875D579-7ED9-4A10-ADDD-BE3DA6A26A16}"/>
    <cellStyle name="Style 130 4 2 3 3" xfId="5449" xr:uid="{7EF3AEA6-FB23-4F7A-A78A-BE4EEB23376E}"/>
    <cellStyle name="Style 130 4 2 3 3 2" xfId="22872" xr:uid="{14404FB0-1AF1-42E7-9D6F-9B64CECCDBA5}"/>
    <cellStyle name="Style 130 4 2 3 4" xfId="5450" xr:uid="{DFE727A8-7E74-45F3-9F46-9A53102F53FC}"/>
    <cellStyle name="Style 130 4 2 3 4 2" xfId="24471" xr:uid="{FAD9A648-11E1-40DF-98D5-814A04755957}"/>
    <cellStyle name="Style 130 4 2 3 5" xfId="5447" xr:uid="{1CFC6113-B3C2-4722-A31E-BC1B6392E503}"/>
    <cellStyle name="Style 130 4 2 3 5 2" xfId="27224" xr:uid="{9756416A-B48B-454B-A61D-CD085BE65F59}"/>
    <cellStyle name="Style 130 4 2 3 6" xfId="22870" xr:uid="{5C298D48-C1B3-44FB-9BFD-FD4935A249CF}"/>
    <cellStyle name="Style 130 4 2 4" xfId="1272" xr:uid="{D75600F2-99A5-4B07-9042-70488BDE125B}"/>
    <cellStyle name="Style 130 4 2 4 2" xfId="1273" xr:uid="{A8F1749E-AA72-4F12-B9A7-E7618B2A68E6}"/>
    <cellStyle name="Style 130 4 2 4 2 2" xfId="5452" xr:uid="{D529ECBE-80B8-4D46-94AD-21A1C56C9792}"/>
    <cellStyle name="Style 130 4 2 4 2 2 2" xfId="27227" xr:uid="{CD745EDB-B831-4AED-BF14-91C6D0389972}"/>
    <cellStyle name="Style 130 4 2 4 2 3" xfId="22874" xr:uid="{D47DF866-C65A-4A01-8ED8-B8900FFD8C68}"/>
    <cellStyle name="Style 130 4 2 4 3" xfId="5451" xr:uid="{66609B0A-9409-429E-9476-CF8FB1A4F9FF}"/>
    <cellStyle name="Style 130 4 2 4 3 2" xfId="27226" xr:uid="{37E34AF3-B226-4842-988A-DD894FF0401C}"/>
    <cellStyle name="Style 130 4 2 4 4" xfId="22873" xr:uid="{E478F04E-F333-4DE9-919A-121CF5C03CA0}"/>
    <cellStyle name="Style 130 4 2 5" xfId="5453" xr:uid="{F470B321-28D1-4FA2-92A3-2693D4D1030C}"/>
    <cellStyle name="Style 130 4 2 5 2" xfId="24472" xr:uid="{03ED105E-66A7-4858-BED9-1F7BF77C9935}"/>
    <cellStyle name="Style 130 4 2 6" xfId="5445" xr:uid="{A7127402-4FBB-4968-9EC7-478BC67E5A36}"/>
    <cellStyle name="Style 130 4 2 6 2" xfId="27222" xr:uid="{5EF0A482-954F-4363-9953-0D922F83AB40}"/>
    <cellStyle name="Style 130 4 2 7" xfId="22868" xr:uid="{002A25C3-9AED-4B64-8B59-1CC81CB9D11E}"/>
    <cellStyle name="Style 130 4 3" xfId="1274" xr:uid="{035700DF-7A54-4C72-9971-6838B0131553}"/>
    <cellStyle name="Style 130 4 3 2" xfId="5454" xr:uid="{AA5AFA2E-ABF0-43AC-99F2-57F6271D90D3}"/>
    <cellStyle name="Style 130 4 3 2 2" xfId="27228" xr:uid="{7001B730-5913-4C0E-9BEA-10CE0DBC4248}"/>
    <cellStyle name="Style 130 4 3 3" xfId="22875" xr:uid="{FD636E30-E8FD-4134-9547-E984BE2A7283}"/>
    <cellStyle name="Style 130 4 4" xfId="5455" xr:uid="{245AD71D-0CE0-4656-A426-E86756698B57}"/>
    <cellStyle name="Style 130 4 4 2" xfId="5456" xr:uid="{5556CD65-F8B6-4BB6-892B-37ED16934D66}"/>
    <cellStyle name="Style 130 4 4 2 2" xfId="24473" xr:uid="{DB8FB5EF-E76B-4540-B9BD-F2AFD584A0C8}"/>
    <cellStyle name="Style 130 4 4 3" xfId="22876" xr:uid="{264835D2-EE01-4935-B8D9-AE9E900DFE2D}"/>
    <cellStyle name="Style 130 4 5" xfId="5444" xr:uid="{73FD3FC0-5AA6-4933-8524-FB9FB5DC52D4}"/>
    <cellStyle name="Style 130 4 5 2" xfId="25925" xr:uid="{D8ADDF60-0ECE-4238-95A3-3E04EE6E3266}"/>
    <cellStyle name="Style 130 4 6" xfId="4353" xr:uid="{6A750650-F7F1-4EB1-AECC-4D2912C05B42}"/>
    <cellStyle name="Style 130 4 6 2" xfId="26555" xr:uid="{897BEF27-00AB-4936-A11C-D61E48371E5A}"/>
    <cellStyle name="Style 130 4 7" xfId="22867" xr:uid="{DF3499A3-BFD2-4C92-9D02-27764B89E757}"/>
    <cellStyle name="Style 130 5" xfId="1275" xr:uid="{F2DDC1CD-951F-45A2-A18A-90AEB2102CB5}"/>
    <cellStyle name="Style 130 5 2" xfId="1276" xr:uid="{B5C3BC14-3E1C-4A35-A8F0-E6CF00F171A6}"/>
    <cellStyle name="Style 130 5 2 2" xfId="1277" xr:uid="{2F6DDC7C-3D6A-4511-BFE4-9299BD0F7E58}"/>
    <cellStyle name="Style 130 5 2 2 2" xfId="5459" xr:uid="{0DECA8F7-E506-4BE9-B551-480ECD0547E6}"/>
    <cellStyle name="Style 130 5 2 2 2 2" xfId="27230" xr:uid="{BB41945E-621D-4DCC-B8A4-51A95F4531BB}"/>
    <cellStyle name="Style 130 5 2 2 3" xfId="22879" xr:uid="{83300F69-58A0-4C4A-8BEF-3358E0D77C1E}"/>
    <cellStyle name="Style 130 5 2 3" xfId="1278" xr:uid="{E2D9F861-7D8D-4D75-BEB6-7C904C06CA39}"/>
    <cellStyle name="Style 130 5 2 3 2" xfId="1279" xr:uid="{9503F603-E70E-4B90-8EBD-C5215E9483D5}"/>
    <cellStyle name="Style 130 5 2 3 2 2" xfId="5461" xr:uid="{B3ED0111-4147-467C-A68D-48E65864DC29}"/>
    <cellStyle name="Style 130 5 2 3 2 2 2" xfId="27232" xr:uid="{7106BF2C-8159-4DEF-AC2A-5FB064B65C89}"/>
    <cellStyle name="Style 130 5 2 3 2 3" xfId="22881" xr:uid="{746613C9-092F-4D32-AA62-C48B3EAD933F}"/>
    <cellStyle name="Style 130 5 2 3 3" xfId="5462" xr:uid="{27A4D346-C76F-485D-853B-FE9AEF132FAF}"/>
    <cellStyle name="Style 130 5 2 3 3 2" xfId="22882" xr:uid="{D3DC3423-8A3A-4CBE-A5E9-3A409F8C90B2}"/>
    <cellStyle name="Style 130 5 2 3 4" xfId="5463" xr:uid="{03A3E540-67E4-4ED4-8F8A-445E39D35209}"/>
    <cellStyle name="Style 130 5 2 3 4 2" xfId="24474" xr:uid="{43CF34BC-C895-47BC-A967-D8B3170E4E6E}"/>
    <cellStyle name="Style 130 5 2 3 5" xfId="5460" xr:uid="{7D9890D1-257E-4718-BB46-7F5575374FAF}"/>
    <cellStyle name="Style 130 5 2 3 5 2" xfId="27231" xr:uid="{8490A85A-73F2-4D04-84F8-5E5C954CBBF1}"/>
    <cellStyle name="Style 130 5 2 3 6" xfId="22880" xr:uid="{B6D40F4C-A8E8-42A4-856B-4B0D017D6D2F}"/>
    <cellStyle name="Style 130 5 2 4" xfId="1280" xr:uid="{17C5D8F8-85EE-4094-AF17-7CC8A62A1EEF}"/>
    <cellStyle name="Style 130 5 2 4 2" xfId="1281" xr:uid="{F3C78C3F-4FA1-45DB-AE7F-76E717F9770B}"/>
    <cellStyle name="Style 130 5 2 4 2 2" xfId="5465" xr:uid="{76907DEE-CA16-4AD6-B9A6-81C885E425DF}"/>
    <cellStyle name="Style 130 5 2 4 2 2 2" xfId="27234" xr:uid="{7B59DD9F-0B43-4ACD-8115-1416430B2914}"/>
    <cellStyle name="Style 130 5 2 4 2 3" xfId="22884" xr:uid="{6828B33C-D81F-4856-8446-037B13D96B75}"/>
    <cellStyle name="Style 130 5 2 4 3" xfId="5464" xr:uid="{50AA6246-4EB7-4729-A131-EFA3403ECC58}"/>
    <cellStyle name="Style 130 5 2 4 3 2" xfId="27233" xr:uid="{D5C8B466-4846-4F36-AA51-54AFCFD5B919}"/>
    <cellStyle name="Style 130 5 2 4 4" xfId="22883" xr:uid="{18565175-027E-40FF-AFEE-4049473E3AFC}"/>
    <cellStyle name="Style 130 5 2 5" xfId="5466" xr:uid="{7A4E92AA-8734-4975-B1C4-3DE02553A47A}"/>
    <cellStyle name="Style 130 5 2 5 2" xfId="24475" xr:uid="{D614BD16-45EE-4C75-8E43-D3DD3E1AB658}"/>
    <cellStyle name="Style 130 5 2 6" xfId="5458" xr:uid="{461771DB-DC22-4B3A-84FC-FA9D3121B13E}"/>
    <cellStyle name="Style 130 5 2 6 2" xfId="27229" xr:uid="{AE4F16D8-8FE8-45CD-B02D-F305ABD05A23}"/>
    <cellStyle name="Style 130 5 2 7" xfId="22878" xr:uid="{BB9B23CA-9C24-4C2A-9C1C-2B53E8ADCB5E}"/>
    <cellStyle name="Style 130 5 3" xfId="1282" xr:uid="{328CAEC7-CE81-49A7-A290-FDBD827A6573}"/>
    <cellStyle name="Style 130 5 3 2" xfId="5467" xr:uid="{41023C0C-013F-4A20-9076-47FEB74C4F31}"/>
    <cellStyle name="Style 130 5 3 2 2" xfId="27235" xr:uid="{D7CE7A45-48FF-477F-A8F1-6EA10B50FBBC}"/>
    <cellStyle name="Style 130 5 3 3" xfId="22885" xr:uid="{A131478C-3BF5-446C-A5E3-B61D4B26E45A}"/>
    <cellStyle name="Style 130 5 4" xfId="5468" xr:uid="{D74F601C-BE32-4BAA-B41C-CF0AF8FF2C80}"/>
    <cellStyle name="Style 130 5 4 2" xfId="5469" xr:uid="{4A511A57-8B7D-4E78-8948-DE1E0A88E597}"/>
    <cellStyle name="Style 130 5 4 2 2" xfId="24476" xr:uid="{0DB894E9-D695-492B-8256-7045675D6337}"/>
    <cellStyle name="Style 130 5 4 3" xfId="22886" xr:uid="{7A3A933B-89FD-4412-BFAF-BC13A01DE725}"/>
    <cellStyle name="Style 130 5 5" xfId="5457" xr:uid="{86025D6D-3495-423C-93AD-CA5DFC1DFF59}"/>
    <cellStyle name="Style 130 5 5 2" xfId="25926" xr:uid="{ACC708E7-4D04-42B2-AB82-EE7EB6DE5E29}"/>
    <cellStyle name="Style 130 5 6" xfId="4354" xr:uid="{3746AD0E-E813-4357-83F4-F18BA3F9241C}"/>
    <cellStyle name="Style 130 5 6 2" xfId="26556" xr:uid="{36E268C0-7A9E-4411-911E-8874E7BF1F6B}"/>
    <cellStyle name="Style 130 5 7" xfId="22877" xr:uid="{EF4FE238-2ACB-4A2A-911C-A640405D490B}"/>
    <cellStyle name="Style 130 6" xfId="1283" xr:uid="{286E6EA1-A061-46C3-8772-23D362E33655}"/>
    <cellStyle name="Style 130 6 2" xfId="1284" xr:uid="{F2F5E3D2-839F-45E0-80BD-5CD98C9A6417}"/>
    <cellStyle name="Style 130 6 2 2" xfId="5471" xr:uid="{14C27812-CE77-40BC-B3C8-A54D61D195CF}"/>
    <cellStyle name="Style 130 6 2 2 2" xfId="27237" xr:uid="{743FCF7A-9211-4C69-A18C-1A0925DFE79F}"/>
    <cellStyle name="Style 130 6 2 3" xfId="22888" xr:uid="{5B48E44B-DADD-4B49-8FC5-4B43E9A974BD}"/>
    <cellStyle name="Style 130 6 3" xfId="1285" xr:uid="{2B2412AA-0868-4D2A-9339-7AB481EE0737}"/>
    <cellStyle name="Style 130 6 3 2" xfId="1286" xr:uid="{FCA9B1CF-9DB1-412B-815E-39774CB4C978}"/>
    <cellStyle name="Style 130 6 3 2 2" xfId="5473" xr:uid="{56CDBB6B-5BE8-4DFF-BBA1-8A0AB2FC64AF}"/>
    <cellStyle name="Style 130 6 3 2 2 2" xfId="27239" xr:uid="{677385AD-2F7C-402E-BDE9-331E5D98A33A}"/>
    <cellStyle name="Style 130 6 3 2 3" xfId="22890" xr:uid="{12E7CAA8-B171-4582-9F0E-63B423488ADA}"/>
    <cellStyle name="Style 130 6 3 3" xfId="5474" xr:uid="{2B6D71B0-EE9A-46DB-975D-F6371A4D958A}"/>
    <cellStyle name="Style 130 6 3 3 2" xfId="22891" xr:uid="{63BC3158-39B5-460C-A6FD-6D1A4509E363}"/>
    <cellStyle name="Style 130 6 3 4" xfId="5475" xr:uid="{D5289E6C-B9F2-4DFF-B36B-D664E6C3692F}"/>
    <cellStyle name="Style 130 6 3 4 2" xfId="24477" xr:uid="{30D69DD6-D8FB-420A-B6F9-09A8AD0E7DC5}"/>
    <cellStyle name="Style 130 6 3 5" xfId="5472" xr:uid="{720B1B70-6CB6-42B6-BF9B-F0565B454DAA}"/>
    <cellStyle name="Style 130 6 3 5 2" xfId="27238" xr:uid="{6E64B749-8264-4596-BDCB-DFFC59F5DF88}"/>
    <cellStyle name="Style 130 6 3 6" xfId="22889" xr:uid="{CFDD0B39-8535-45F8-8DF2-DDD3C3CEAA4C}"/>
    <cellStyle name="Style 130 6 4" xfId="1287" xr:uid="{5D2C05FD-2600-47EF-A9E0-A56AE2347EA8}"/>
    <cellStyle name="Style 130 6 4 2" xfId="1288" xr:uid="{D83110D2-2994-40E7-83FD-53058DCC717A}"/>
    <cellStyle name="Style 130 6 4 2 2" xfId="5477" xr:uid="{DCDEA4F2-A6EE-4871-8421-E9ADAA95D3B6}"/>
    <cellStyle name="Style 130 6 4 2 2 2" xfId="27241" xr:uid="{38AB9852-3B7D-4265-AC10-9766250DED3E}"/>
    <cellStyle name="Style 130 6 4 2 3" xfId="22893" xr:uid="{D4C22811-6799-45E3-88C7-7405F7FAF21E}"/>
    <cellStyle name="Style 130 6 4 3" xfId="5476" xr:uid="{13695AF6-D41F-48B7-AC45-70C99297087E}"/>
    <cellStyle name="Style 130 6 4 3 2" xfId="27240" xr:uid="{1EEE1A16-9C7A-4D60-9DBC-34CE93A322A6}"/>
    <cellStyle name="Style 130 6 4 4" xfId="22892" xr:uid="{EB052ACA-439C-4671-AD75-EA56F6D05A9A}"/>
    <cellStyle name="Style 130 6 5" xfId="5478" xr:uid="{7E36445D-5D2A-41A6-954A-7B546716EEA3}"/>
    <cellStyle name="Style 130 6 5 2" xfId="24478" xr:uid="{A75C49E7-4775-4CB7-93E8-6DC3A0B3031E}"/>
    <cellStyle name="Style 130 6 6" xfId="5470" xr:uid="{C56CC82B-0121-4CCC-8CB6-D32B970444CD}"/>
    <cellStyle name="Style 130 6 6 2" xfId="27236" xr:uid="{6FB2391B-0AF1-4BD3-B603-535DABE379CD}"/>
    <cellStyle name="Style 130 6 7" xfId="22887" xr:uid="{52000DF0-02BB-48E4-B9C1-9D9343FBD47F}"/>
    <cellStyle name="Style 130 7" xfId="1289" xr:uid="{FCB0F078-A04E-43FF-97F7-7D0CA730358A}"/>
    <cellStyle name="Style 130 7 2" xfId="1290" xr:uid="{6D34E205-5F19-49B0-B6D1-2994BCC65621}"/>
    <cellStyle name="Style 130 7 2 2" xfId="5480" xr:uid="{C6945F40-E376-410A-9EBC-7DDB08327EC2}"/>
    <cellStyle name="Style 130 7 2 2 2" xfId="27243" xr:uid="{1C6F269C-689E-4CF3-B0E1-5B04A8FA51BD}"/>
    <cellStyle name="Style 130 7 2 3" xfId="22895" xr:uid="{15020BD5-66F4-4134-80C2-B98E6FDEF7F3}"/>
    <cellStyle name="Style 130 7 3" xfId="5481" xr:uid="{94E745B9-AB67-4725-8D23-62F4D72D84B1}"/>
    <cellStyle name="Style 130 7 3 2" xfId="22896" xr:uid="{2F61D158-BF94-4296-8528-83179DE25780}"/>
    <cellStyle name="Style 130 7 4" xfId="5482" xr:uid="{2CD8EED7-DD03-4CC4-ACB2-6832AC3DA091}"/>
    <cellStyle name="Style 130 7 4 2" xfId="24479" xr:uid="{D4247EFA-124C-433C-9235-CC931ED77911}"/>
    <cellStyle name="Style 130 7 5" xfId="5479" xr:uid="{5D93C3FD-1CD0-47F4-A163-578693876C1F}"/>
    <cellStyle name="Style 130 7 5 2" xfId="27242" xr:uid="{F6524B3C-BC5E-4B67-B5F5-3C6C8383022C}"/>
    <cellStyle name="Style 130 7 6" xfId="22894" xr:uid="{627FB56E-9566-48CC-BFD7-57CD28E636C1}"/>
    <cellStyle name="Style 130 8" xfId="1291" xr:uid="{14FD2538-F083-4368-91A6-92F5019E0360}"/>
    <cellStyle name="Style 130 8 2" xfId="1292" xr:uid="{6C28A16E-8D34-4874-AC2C-FB76252C4BDE}"/>
    <cellStyle name="Style 130 8 2 2" xfId="5484" xr:uid="{752829B3-FE7E-4257-9E6C-88A4ADA67B3A}"/>
    <cellStyle name="Style 130 8 2 2 2" xfId="27245" xr:uid="{F5D4A666-00B4-48F0-8679-D5D9901A54AD}"/>
    <cellStyle name="Style 130 8 2 3" xfId="22898" xr:uid="{7859F9B6-34BB-4676-A4FE-BDBA4B653FBB}"/>
    <cellStyle name="Style 130 8 3" xfId="5485" xr:uid="{18FEB88E-8DD4-4085-BF48-CF4D529C9E14}"/>
    <cellStyle name="Style 130 8 3 2" xfId="22899" xr:uid="{D1805FD4-335A-4974-8662-27D296E84968}"/>
    <cellStyle name="Style 130 8 4" xfId="5486" xr:uid="{A1915C92-80EA-41DA-B843-335B62378FBD}"/>
    <cellStyle name="Style 130 8 4 2" xfId="24480" xr:uid="{A4C34464-9DC5-448C-BBAF-AF92A70EB954}"/>
    <cellStyle name="Style 130 8 5" xfId="5483" xr:uid="{2448E841-AE5A-4AFE-9570-DA7C050E8088}"/>
    <cellStyle name="Style 130 8 5 2" xfId="27244" xr:uid="{C782DB5D-26AB-4780-A223-FA5087A987D6}"/>
    <cellStyle name="Style 130 8 6" xfId="22897" xr:uid="{5ED53621-441B-4430-872A-07D77F7198B1}"/>
    <cellStyle name="Style 130 9" xfId="1293" xr:uid="{7E48CBB9-3260-4D88-8F4D-3D573D833DDD}"/>
    <cellStyle name="Style 130 9 2" xfId="1294" xr:uid="{F9BB8366-0D30-488B-BBC5-10DECB222367}"/>
    <cellStyle name="Style 130 9 2 2" xfId="5487" xr:uid="{A77B05AD-A355-491A-B8C0-FDA065AF94C0}"/>
    <cellStyle name="Style 130 9 2 2 2" xfId="27247" xr:uid="{2C6BF85F-C89B-4E26-911E-3A5C641D676F}"/>
    <cellStyle name="Style 130 9 2 3" xfId="24481" xr:uid="{B98BFF87-58EB-43B4-95D5-929D2706F4F1}"/>
    <cellStyle name="Style 130 9 3" xfId="4087" xr:uid="{FCDD8139-25A1-4D4D-8582-2B2881F3B5B3}"/>
    <cellStyle name="Style 130 9 3 2" xfId="27246" xr:uid="{CE4F7366-38CC-438E-BE7A-B39F4875397C}"/>
    <cellStyle name="Style 130 9 4" xfId="22900" xr:uid="{BD6EE1FE-65DA-48B5-A38E-1E801D51A0E9}"/>
    <cellStyle name="Style 130_ADDON" xfId="25766" xr:uid="{CAAE51D3-330A-4527-9AB7-F4CBA403E755}"/>
    <cellStyle name="Style 131" xfId="1295" xr:uid="{0719A666-1605-4CC6-A3AD-A140BDD4E853}"/>
    <cellStyle name="Style 131 2" xfId="1296" xr:uid="{BD2FBA04-7634-4768-8269-5DECE5BB9051}"/>
    <cellStyle name="Style 131 2 2" xfId="1297" xr:uid="{1FF41759-C2AB-4038-AF26-FD0BC9EAC7B6}"/>
    <cellStyle name="Style 131 2 2 2" xfId="1298" xr:uid="{55204F94-29DD-4FAE-84BA-1F6B3D0B81F5}"/>
    <cellStyle name="Style 131 2 2 2 2" xfId="1299" xr:uid="{3817D063-79DC-4513-A41D-77A9FCAC61EC}"/>
    <cellStyle name="Style 131 2 2 2 2 2" xfId="1300" xr:uid="{B2E74928-E39F-452C-9CA4-373CB6135D98}"/>
    <cellStyle name="Style 131 2 2 2 2 2 2" xfId="8855" xr:uid="{165BC145-03F7-4E47-BECA-8FD2DB64AB81}"/>
    <cellStyle name="Style 131 2 2 2 2 3" xfId="8856" xr:uid="{6DD51245-1437-48D0-9CA8-BAF490798504}"/>
    <cellStyle name="Style 131 2 2 2 3" xfId="1301" xr:uid="{E904DB98-C331-426B-9147-EED448122D92}"/>
    <cellStyle name="Style 131 2 2 2 3 2" xfId="8857" xr:uid="{61006E92-0455-445D-9EF6-32C29F83109C}"/>
    <cellStyle name="Style 131 2 2 2 4" xfId="8858" xr:uid="{17087D32-202B-4E16-8629-8F696D719E3A}"/>
    <cellStyle name="Style 131 2 2 3" xfId="1302" xr:uid="{D91F5EBE-325D-4A80-9261-D314AD708391}"/>
    <cellStyle name="Style 131 2 2 3 2" xfId="1303" xr:uid="{DF669C93-04CD-4300-A911-B43B4FBFD9D0}"/>
    <cellStyle name="Style 131 2 2 3 2 2" xfId="8859" xr:uid="{A658083C-D21E-4305-BBF8-6D78BCF6FDBC}"/>
    <cellStyle name="Style 131 2 2 3 3" xfId="8860" xr:uid="{1DFF5293-D469-47FC-A5E7-27C44B3071BB}"/>
    <cellStyle name="Style 131 2 2 4" xfId="1304" xr:uid="{BE86CDE6-DF58-4475-AEE4-7085BD914991}"/>
    <cellStyle name="Style 131 2 2 4 2" xfId="8861" xr:uid="{DEE9CEDB-A928-458C-BCAE-653A99448689}"/>
    <cellStyle name="Style 131 2 2 5" xfId="8862" xr:uid="{D12A19D9-09CF-43FE-8DAC-36E0D1E83FF9}"/>
    <cellStyle name="Style 131 2 3" xfId="1305" xr:uid="{90F986F7-37A0-49A1-A4B5-F6B5BC56B05E}"/>
    <cellStyle name="Style 131 2 3 2" xfId="1306" xr:uid="{2D648B19-7ACE-4324-8014-F9EE3ED4BB9D}"/>
    <cellStyle name="Style 131 2 3 2 2" xfId="1307" xr:uid="{94E47B01-1C97-4500-A92D-B1B4E942D06A}"/>
    <cellStyle name="Style 131 2 3 2 2 2" xfId="8863" xr:uid="{4C34B9DA-7579-4B36-82F5-0E4AB48EAB77}"/>
    <cellStyle name="Style 131 2 3 2 3" xfId="8864" xr:uid="{846388D4-5823-4A0B-AB73-8CB09F38AD43}"/>
    <cellStyle name="Style 131 2 3 3" xfId="1308" xr:uid="{DBDB9926-1187-4C7B-A946-8BB85EBCE89D}"/>
    <cellStyle name="Style 131 2 3 3 2" xfId="8865" xr:uid="{E277C30C-E495-4FDD-8873-D269C9289C55}"/>
    <cellStyle name="Style 131 2 3 4" xfId="8866" xr:uid="{CC4E8A20-329D-4246-A68B-EA824A9BAE7B}"/>
    <cellStyle name="Style 131 2 4" xfId="1309" xr:uid="{FAAFBE06-D4B4-498D-856A-44F93B076038}"/>
    <cellStyle name="Style 131 2 4 2" xfId="1310" xr:uid="{C46FC600-62EB-4B47-92CA-D4660B23EF3F}"/>
    <cellStyle name="Style 131 2 4 2 2" xfId="8867" xr:uid="{32AB08E8-DC2E-44B7-B974-56D8BE4C49E3}"/>
    <cellStyle name="Style 131 2 4 3" xfId="8868" xr:uid="{BA5B529B-3541-441A-87A1-327FD93CC470}"/>
    <cellStyle name="Style 131 2 5" xfId="1311" xr:uid="{D4D18AFB-15D9-4DA0-8DB3-DBC6C36EE35D}"/>
    <cellStyle name="Style 131 2 5 2" xfId="8869" xr:uid="{C3BE638B-EADF-4E67-902D-58F42A401BB9}"/>
    <cellStyle name="Style 131 2 6" xfId="8870" xr:uid="{44E97108-06A9-44BA-988C-52A23BDB0D63}"/>
    <cellStyle name="Style 131 3" xfId="1312" xr:uid="{F4F8312C-054A-4101-A3D5-63888FC0F935}"/>
    <cellStyle name="Style 131 3 2" xfId="1313" xr:uid="{489EEB7F-4873-446E-812D-4FEBE464DBDA}"/>
    <cellStyle name="Style 131 3 2 2" xfId="1314" xr:uid="{4094CE28-0B6B-4C1A-9FE8-05B1FCA1FE17}"/>
    <cellStyle name="Style 131 3 2 2 2" xfId="1315" xr:uid="{2F5BCE03-8159-40A3-B591-F67A7D8985F2}"/>
    <cellStyle name="Style 131 3 2 2 2 2" xfId="1316" xr:uid="{1C921536-735F-46CE-86F3-072D90F46497}"/>
    <cellStyle name="Style 131 3 2 2 2 2 2" xfId="8871" xr:uid="{DE5E2A1A-C967-42C6-B2EE-240FD6B93971}"/>
    <cellStyle name="Style 131 3 2 2 2 3" xfId="8872" xr:uid="{C8689ED3-310C-46E5-9516-25BA68B3EF7E}"/>
    <cellStyle name="Style 131 3 2 2 3" xfId="1317" xr:uid="{5B734DBC-DB5D-4A6D-AEC7-771A961F6EDC}"/>
    <cellStyle name="Style 131 3 2 2 3 2" xfId="8873" xr:uid="{5FC41C53-6E9A-4B97-8ACD-869D73EB5E92}"/>
    <cellStyle name="Style 131 3 2 2 4" xfId="8874" xr:uid="{5858110D-E5AF-4C63-80FB-CB39833C1535}"/>
    <cellStyle name="Style 131 3 2 3" xfId="1318" xr:uid="{281CFAB9-F21C-49AB-8B47-92AE7D31A02C}"/>
    <cellStyle name="Style 131 3 2 3 2" xfId="1319" xr:uid="{49AC58F5-11E6-4A2C-A36F-323AEB236D40}"/>
    <cellStyle name="Style 131 3 2 3 2 2" xfId="8875" xr:uid="{1EE18970-263D-47C8-A635-E471664BEF4B}"/>
    <cellStyle name="Style 131 3 2 3 3" xfId="8876" xr:uid="{F1B21E79-4DD6-4A94-B111-B09CAAE2D19C}"/>
    <cellStyle name="Style 131 3 2 4" xfId="1320" xr:uid="{F51E58EB-9B63-48B4-8658-4FFC665A85DD}"/>
    <cellStyle name="Style 131 3 2 4 2" xfId="8877" xr:uid="{27EF8AF6-FA4A-4EDD-A215-9FF3F60B0160}"/>
    <cellStyle name="Style 131 3 2 5" xfId="8878" xr:uid="{ADD3D5ED-2526-4D13-9861-6F2C366A9614}"/>
    <cellStyle name="Style 131 3 3" xfId="1321" xr:uid="{0D0B3C8A-127A-4C0B-968F-7727F4772120}"/>
    <cellStyle name="Style 131 3 3 2" xfId="1322" xr:uid="{E167B3F2-EDEA-4BA1-91B8-4B5B244E72C7}"/>
    <cellStyle name="Style 131 3 3 2 2" xfId="1323" xr:uid="{6E64613D-3CC6-48EE-A2AC-7AF1066BB7E4}"/>
    <cellStyle name="Style 131 3 3 2 2 2" xfId="1324" xr:uid="{7A629C73-77AD-4959-AB06-3332EAE879A9}"/>
    <cellStyle name="Style 131 3 3 2 2 2 2" xfId="8879" xr:uid="{19A1335D-550D-46E2-9F72-DF3C8F701655}"/>
    <cellStyle name="Style 131 3 3 2 2 3" xfId="8880" xr:uid="{835E213D-DD1D-4FAA-B280-3FF24CDEA959}"/>
    <cellStyle name="Style 131 3 3 2 3" xfId="1325" xr:uid="{FBC54775-A764-4D61-AC75-575AEE7DB34A}"/>
    <cellStyle name="Style 131 3 3 2 3 2" xfId="8881" xr:uid="{6306FB29-4690-4889-A555-CAB863BF5DBD}"/>
    <cellStyle name="Style 131 3 3 2 4" xfId="8882" xr:uid="{32B979D5-D1EA-4760-95F5-9A10D5AE80A8}"/>
    <cellStyle name="Style 131 3 3 3" xfId="1326" xr:uid="{862F6AB9-DA72-41A4-9077-63FC9FE6BC9E}"/>
    <cellStyle name="Style 131 3 3 3 2" xfId="8883" xr:uid="{F92D7A9D-EE78-4E4F-81D9-D9C20041FC39}"/>
    <cellStyle name="Style 131 3 3 4" xfId="5488" xr:uid="{A98FB567-2C5A-4A7D-B0B5-B60E893133F5}"/>
    <cellStyle name="Style 131 3 3 5" xfId="8884" xr:uid="{497E1B84-B0E4-4C17-BE2E-4A220962CD65}"/>
    <cellStyle name="Style 131 3 4" xfId="1327" xr:uid="{A61E7418-E4DE-4327-A4E6-0EA75703F1A5}"/>
    <cellStyle name="Style 131 3 4 2" xfId="1328" xr:uid="{D6DBAD3D-51EA-4EE4-9926-0DF5C973FA79}"/>
    <cellStyle name="Style 131 3 4 2 2" xfId="8885" xr:uid="{04E81FD8-63AE-4B9E-91BD-34AB567E00F9}"/>
    <cellStyle name="Style 131 3 4 3" xfId="8886" xr:uid="{1A1E2DF6-7A86-4291-810F-5FD1B443C1FB}"/>
    <cellStyle name="Style 131 3 5" xfId="1329" xr:uid="{9F6DBC31-9320-4DCC-91E5-1398BB7D36F6}"/>
    <cellStyle name="Style 131 3 5 2" xfId="8887" xr:uid="{BCCC8584-0D66-4FAD-9892-16A9984A6684}"/>
    <cellStyle name="Style 131 3 6" xfId="8888" xr:uid="{FC2797C4-2DA3-45C8-A1AE-EF3FBE7CABAA}"/>
    <cellStyle name="Style 131 4" xfId="1330" xr:uid="{D17CFF5B-5EA0-4914-B99D-717B2716BA89}"/>
    <cellStyle name="Style 131 4 2" xfId="1331" xr:uid="{4393CE37-BF7B-4080-9A56-CFFE215E9414}"/>
    <cellStyle name="Style 131 4 2 2" xfId="1332" xr:uid="{772AEEC3-B175-4EB6-B60C-1E77321EF421}"/>
    <cellStyle name="Style 131 4 2 2 2" xfId="1333" xr:uid="{A88DF012-6922-48D6-B97D-6EDCA9A47BF7}"/>
    <cellStyle name="Style 131 4 2 2 2 2" xfId="8889" xr:uid="{FBF318E3-0BE5-4042-8A8A-7789EDC3D3FF}"/>
    <cellStyle name="Style 131 4 2 2 3" xfId="8890" xr:uid="{59324882-ACDF-4B97-8B64-86C2319E25E6}"/>
    <cellStyle name="Style 131 4 2 3" xfId="1334" xr:uid="{484F124F-7465-41DD-954F-B7D65950100E}"/>
    <cellStyle name="Style 131 4 2 3 2" xfId="8891" xr:uid="{03A19FFF-A285-4A80-9D88-27453EED3FE2}"/>
    <cellStyle name="Style 131 4 2 4" xfId="8892" xr:uid="{FA179BA1-9A4C-45F9-BEA0-9F3BEA848020}"/>
    <cellStyle name="Style 131 4 3" xfId="1335" xr:uid="{5E01C4F4-2A1C-4C8F-80F1-3F126FF74CEE}"/>
    <cellStyle name="Style 131 4 3 2" xfId="8893" xr:uid="{6D06F5CE-3487-457A-BB5D-0040E99BF8ED}"/>
    <cellStyle name="Style 131 4 4" xfId="5489" xr:uid="{21E3C79F-4098-433F-B37B-7A1813DD7832}"/>
    <cellStyle name="Style 131 4 5" xfId="8894" xr:uid="{B41B2F80-D85D-41B0-AFF0-77A97D566A7E}"/>
    <cellStyle name="Style 131 5" xfId="1336" xr:uid="{AB6269CB-07B0-4691-BA85-4D0BB0708E70}"/>
    <cellStyle name="Style 131 5 2" xfId="1337" xr:uid="{0AE82816-7F5E-42D8-8ADF-0D222F381BA4}"/>
    <cellStyle name="Style 131 5 2 2" xfId="8895" xr:uid="{F8961BC7-6B89-4864-AFCB-100AF096D77F}"/>
    <cellStyle name="Style 131 5 3" xfId="8896" xr:uid="{A15855B3-8340-4E78-8650-16E1B77A9FD8}"/>
    <cellStyle name="Style 131 6" xfId="1338" xr:uid="{32140028-3F57-4E83-BD48-D5A04F9438C5}"/>
    <cellStyle name="Style 131 6 2" xfId="4089" xr:uid="{B0E5D480-5236-4EE7-B958-627CA5138280}"/>
    <cellStyle name="Style 131 6 2 2" xfId="5490" xr:uid="{D6D9979A-595B-4758-B269-824C4B075659}"/>
    <cellStyle name="Style 131 6 3" xfId="8897" xr:uid="{5D0A3B2C-716F-40FA-BB20-F0DE5C066570}"/>
    <cellStyle name="Style 131 7" xfId="4088" xr:uid="{32C01381-8884-4429-B9B6-89AB9899A6BF}"/>
    <cellStyle name="Style 131 7 2" xfId="5492" xr:uid="{516B8EDD-92FE-4412-9CFB-180ABDBA3873}"/>
    <cellStyle name="Style 131 7 3" xfId="5491" xr:uid="{FF868D3A-78AB-4898-8929-4F3C012163B5}"/>
    <cellStyle name="Style 131 8" xfId="5493" xr:uid="{70209716-C7EF-43FF-AE26-4C25E61D5D15}"/>
    <cellStyle name="Style 131 9" xfId="8898" xr:uid="{6D4CEFD6-6B53-4B47-8549-ED4AFB0FC510}"/>
    <cellStyle name="Style 131 9 2" xfId="26557" xr:uid="{7707A3D6-868C-42C9-9973-1A31D7918C1B}"/>
    <cellStyle name="Style 131_ADDON" xfId="25767" xr:uid="{2CF367DF-B133-41A1-9E32-3836B3DA69A7}"/>
    <cellStyle name="Style 132" xfId="1339" xr:uid="{DF618CA5-1A9B-470E-ACD5-877553E1D02D}"/>
    <cellStyle name="Style 132 2" xfId="1340" xr:uid="{2AA7EBA2-9772-4A12-B776-DF6591D5B5EB}"/>
    <cellStyle name="Style 132 2 2" xfId="1341" xr:uid="{533B1038-7BD1-465F-98BA-9D580FCBE0FB}"/>
    <cellStyle name="Style 132 2 2 2" xfId="1342" xr:uid="{4D24ABDE-82E2-4734-83D1-A4C9A44B321F}"/>
    <cellStyle name="Style 132 2 2 2 2" xfId="1343" xr:uid="{46E04AE4-4D64-4020-846B-AEFA00A33417}"/>
    <cellStyle name="Style 132 2 2 2 2 2" xfId="1344" xr:uid="{1CFA398B-FB93-46B3-AA4C-BBC4C037EEF0}"/>
    <cellStyle name="Style 132 2 2 2 2 2 2" xfId="8899" xr:uid="{DDBFB449-EE5D-4F59-881F-00FBE6F85AA0}"/>
    <cellStyle name="Style 132 2 2 2 2 3" xfId="8900" xr:uid="{731B351C-9E11-479F-8351-1146731EDDBC}"/>
    <cellStyle name="Style 132 2 2 2 3" xfId="1345" xr:uid="{147DBF30-BA80-4FCA-9725-CF46C1125D09}"/>
    <cellStyle name="Style 132 2 2 2 3 2" xfId="8901" xr:uid="{724776C3-9804-4858-88DD-EE37F9EC4628}"/>
    <cellStyle name="Style 132 2 2 2 4" xfId="8902" xr:uid="{3C3F608A-C960-434E-89CD-96B61921856D}"/>
    <cellStyle name="Style 132 2 2 3" xfId="1346" xr:uid="{6E5C661C-ED35-43D1-8A77-BC6E7842107D}"/>
    <cellStyle name="Style 132 2 2 3 2" xfId="1347" xr:uid="{459847CC-E1CE-4491-954C-26284F1B0A56}"/>
    <cellStyle name="Style 132 2 2 3 2 2" xfId="8903" xr:uid="{D6F97871-E705-41A0-9D98-75815537A67D}"/>
    <cellStyle name="Style 132 2 2 3 3" xfId="8904" xr:uid="{2745220D-540F-4949-A46A-DBDCC097066B}"/>
    <cellStyle name="Style 132 2 2 4" xfId="1348" xr:uid="{26648760-113D-4F66-8345-7CAF27A07CC7}"/>
    <cellStyle name="Style 132 2 2 4 2" xfId="8905" xr:uid="{690935D0-E251-4D30-9004-1C738D9CD0AA}"/>
    <cellStyle name="Style 132 2 2 5" xfId="8906" xr:uid="{79B1E858-9E61-425E-BA48-99F3F47DBA16}"/>
    <cellStyle name="Style 132 2 3" xfId="1349" xr:uid="{275915D6-A383-4A31-A613-43F9D7E694DD}"/>
    <cellStyle name="Style 132 2 3 2" xfId="1350" xr:uid="{CC530EBE-2049-4682-B1BD-47549F6D7675}"/>
    <cellStyle name="Style 132 2 3 2 2" xfId="1351" xr:uid="{E6829C98-B9A8-4E34-8845-73755F823FEA}"/>
    <cellStyle name="Style 132 2 3 2 2 2" xfId="8907" xr:uid="{F9A7EBF8-0B0E-434C-B951-183535DCAF00}"/>
    <cellStyle name="Style 132 2 3 2 3" xfId="8908" xr:uid="{670E4800-11C4-4DE6-8C1A-3484DA8D64DF}"/>
    <cellStyle name="Style 132 2 3 3" xfId="1352" xr:uid="{869C13E8-D20B-448F-B0F0-26FFFBD20CB6}"/>
    <cellStyle name="Style 132 2 3 3 2" xfId="8909" xr:uid="{253945FE-A5AA-45F1-9E78-73473921BE7C}"/>
    <cellStyle name="Style 132 2 3 4" xfId="8910" xr:uid="{81254236-2618-425E-81CD-85650648BF47}"/>
    <cellStyle name="Style 132 2 4" xfId="1353" xr:uid="{1B3C2D0B-1D87-461A-AB07-7117D369C032}"/>
    <cellStyle name="Style 132 2 4 2" xfId="1354" xr:uid="{049D786B-D153-49B4-A75B-5AE1B0E2A228}"/>
    <cellStyle name="Style 132 2 4 2 2" xfId="8911" xr:uid="{3276F7B0-825B-4DAF-962D-1295D8AAECA4}"/>
    <cellStyle name="Style 132 2 4 3" xfId="8912" xr:uid="{7E974715-C1F1-4DAF-A8F4-BFDD948FF0E0}"/>
    <cellStyle name="Style 132 2 5" xfId="1355" xr:uid="{7F272742-027D-446E-BAB9-9E99341D76C7}"/>
    <cellStyle name="Style 132 2 5 2" xfId="8913" xr:uid="{3E3DD709-E55F-46CF-B3B3-7D8627F091F4}"/>
    <cellStyle name="Style 132 2 6" xfId="8914" xr:uid="{9C789095-1EF3-422E-B5F8-3205D637CFD7}"/>
    <cellStyle name="Style 132 3" xfId="1356" xr:uid="{D23EF484-AE1C-47A1-A9AE-FC3EAD84A4D2}"/>
    <cellStyle name="Style 132 3 2" xfId="1357" xr:uid="{ED401EF4-949C-43F8-ACA4-2C0873DF676B}"/>
    <cellStyle name="Style 132 3 2 2" xfId="1358" xr:uid="{2A0F3506-1550-4C42-AB6A-85788A330A7C}"/>
    <cellStyle name="Style 132 3 2 2 2" xfId="1359" xr:uid="{2D11A5E6-906F-4317-9E33-D081DB678506}"/>
    <cellStyle name="Style 132 3 2 2 2 2" xfId="1360" xr:uid="{0C2C32C7-528D-4EBA-9F72-CA1C4559310E}"/>
    <cellStyle name="Style 132 3 2 2 2 2 2" xfId="8915" xr:uid="{3669C2AF-F3AF-4BD9-9BEF-0CFCB616106F}"/>
    <cellStyle name="Style 132 3 2 2 2 3" xfId="8916" xr:uid="{BAE04EFB-FB42-4E12-AAC1-4F49EB6A9918}"/>
    <cellStyle name="Style 132 3 2 2 3" xfId="1361" xr:uid="{E08EB057-38D1-4D9F-9ACF-1665C0D896F7}"/>
    <cellStyle name="Style 132 3 2 2 3 2" xfId="8917" xr:uid="{79604263-6BE7-4B1B-9118-3FC0CE1C116F}"/>
    <cellStyle name="Style 132 3 2 2 4" xfId="8918" xr:uid="{04A6FD48-F0F1-4910-9E8B-8455132D60F2}"/>
    <cellStyle name="Style 132 3 2 3" xfId="1362" xr:uid="{C1BD4DEF-7755-40AF-A77F-68D4B3A09D5B}"/>
    <cellStyle name="Style 132 3 2 3 2" xfId="1363" xr:uid="{80F433CA-61CE-4DD9-92F7-468C80E58968}"/>
    <cellStyle name="Style 132 3 2 3 2 2" xfId="8919" xr:uid="{4C48E592-CEB3-4449-BFC9-72FC4F183A17}"/>
    <cellStyle name="Style 132 3 2 3 3" xfId="8920" xr:uid="{4DDBCBF4-B28F-4A73-9B80-2BD3C677C112}"/>
    <cellStyle name="Style 132 3 2 4" xfId="1364" xr:uid="{06068CA0-9B34-4DAF-AA8E-7FE259688D8F}"/>
    <cellStyle name="Style 132 3 2 4 2" xfId="8921" xr:uid="{F415CB7B-B43D-489E-9B45-B9391F556FBD}"/>
    <cellStyle name="Style 132 3 2 5" xfId="8922" xr:uid="{0AE67B2C-D106-49CC-AC30-B15732384337}"/>
    <cellStyle name="Style 132 3 3" xfId="1365" xr:uid="{669AC583-D2CA-45E1-BBBD-4FA20F4173CC}"/>
    <cellStyle name="Style 132 3 3 2" xfId="1366" xr:uid="{FEED5257-2282-4EFF-B377-B546ADC04B32}"/>
    <cellStyle name="Style 132 3 3 2 2" xfId="1367" xr:uid="{542243FC-5176-4F39-ACFB-A8500E178A17}"/>
    <cellStyle name="Style 132 3 3 2 2 2" xfId="1368" xr:uid="{C0539774-5122-4B0D-80D4-0D74EE90D9FC}"/>
    <cellStyle name="Style 132 3 3 2 2 2 2" xfId="8923" xr:uid="{61C537AD-9DCC-42D3-A42C-0FC39F312B4D}"/>
    <cellStyle name="Style 132 3 3 2 2 3" xfId="8924" xr:uid="{48410B66-9044-40AC-AAB5-3792A725B127}"/>
    <cellStyle name="Style 132 3 3 2 3" xfId="1369" xr:uid="{54D43E53-82F0-420F-9382-958C258E339B}"/>
    <cellStyle name="Style 132 3 3 2 3 2" xfId="8925" xr:uid="{033D84A2-A442-42D9-A201-8DC3795CA2D0}"/>
    <cellStyle name="Style 132 3 3 2 4" xfId="8926" xr:uid="{0BACBCD8-8A10-438D-A8A5-4D346357A9D0}"/>
    <cellStyle name="Style 132 3 3 3" xfId="1370" xr:uid="{7730A4A7-7D76-4B7C-8445-7551AB10F379}"/>
    <cellStyle name="Style 132 3 3 3 2" xfId="8927" xr:uid="{F58D78FE-A679-4C13-BC0B-2A7BAB5BC13B}"/>
    <cellStyle name="Style 132 3 3 4" xfId="5494" xr:uid="{4DCD23FE-7B62-4EAD-8F4F-1DC537D36009}"/>
    <cellStyle name="Style 132 3 3 5" xfId="8928" xr:uid="{E6F87832-E543-4E4C-8996-78933273A4AB}"/>
    <cellStyle name="Style 132 3 4" xfId="1371" xr:uid="{3800CB9A-40B2-4E41-A4B9-1587DCE006AC}"/>
    <cellStyle name="Style 132 3 4 2" xfId="1372" xr:uid="{19A29C2F-B2DF-4E3B-A38C-E18ECF5403F1}"/>
    <cellStyle name="Style 132 3 4 2 2" xfId="8929" xr:uid="{234D6255-30A1-4DF6-A22C-92D1FE8D4C40}"/>
    <cellStyle name="Style 132 3 4 3" xfId="8930" xr:uid="{75C92FEB-111E-4885-A17F-C4F06D4E9744}"/>
    <cellStyle name="Style 132 3 5" xfId="1373" xr:uid="{79D4ADC4-96E1-473E-A14A-4B3B11CA2BBD}"/>
    <cellStyle name="Style 132 3 5 2" xfId="8931" xr:uid="{4187851D-78A7-4BB6-B430-74CA5E63EA4E}"/>
    <cellStyle name="Style 132 3 6" xfId="8932" xr:uid="{D694C235-77D0-4CD3-8C71-6B30CF601D94}"/>
    <cellStyle name="Style 132 4" xfId="1374" xr:uid="{0DE6E5C4-EC80-4FF8-8982-1A9688FAB902}"/>
    <cellStyle name="Style 132 4 2" xfId="1375" xr:uid="{BF7507C6-29D5-4525-8674-F9605E91CBA3}"/>
    <cellStyle name="Style 132 4 2 2" xfId="1376" xr:uid="{6407BBC6-2BF3-4ED3-AEFE-5629062BB674}"/>
    <cellStyle name="Style 132 4 2 2 2" xfId="1377" xr:uid="{E3599818-8A13-4743-8FE4-BB54A7BB41BE}"/>
    <cellStyle name="Style 132 4 2 2 2 2" xfId="8933" xr:uid="{C686D672-92C0-4277-BE3B-A1A2C04A1A6A}"/>
    <cellStyle name="Style 132 4 2 2 3" xfId="8934" xr:uid="{BBCD509E-943E-42C2-B979-9F4EE1AF8E33}"/>
    <cellStyle name="Style 132 4 2 3" xfId="1378" xr:uid="{CFF6ADE3-ED6A-45C3-812E-3E922BA1DA96}"/>
    <cellStyle name="Style 132 4 2 3 2" xfId="8935" xr:uid="{5CAA9CCF-31BC-49D5-9232-2F1A19EC6F8D}"/>
    <cellStyle name="Style 132 4 2 4" xfId="8936" xr:uid="{F6DCE0E8-115E-47CE-9E0A-C1905DBF09BD}"/>
    <cellStyle name="Style 132 4 3" xfId="1379" xr:uid="{E7613228-73AA-469C-82D3-D4F9B2E9B319}"/>
    <cellStyle name="Style 132 4 3 2" xfId="8937" xr:uid="{D0DB87CB-B600-4CEB-94F9-71E40D57DF21}"/>
    <cellStyle name="Style 132 4 4" xfId="5495" xr:uid="{46CBA721-D414-4468-AD1B-1C875ADB4C54}"/>
    <cellStyle name="Style 132 4 5" xfId="8938" xr:uid="{FE1B3677-7F35-4809-BB17-18D7A5908CA8}"/>
    <cellStyle name="Style 132 5" xfId="1380" xr:uid="{71B90AAD-00BB-4943-9BB6-58D53314617B}"/>
    <cellStyle name="Style 132 5 2" xfId="1381" xr:uid="{A76E05AA-E9B4-41F3-A81F-D2D003E809DE}"/>
    <cellStyle name="Style 132 5 2 2" xfId="8939" xr:uid="{88A501D9-0183-4B02-86AE-DB83C969E1D7}"/>
    <cellStyle name="Style 132 5 3" xfId="8940" xr:uid="{03EE4014-0FAB-4F25-A6B2-ACC4760618EE}"/>
    <cellStyle name="Style 132 6" xfId="1382" xr:uid="{98E3188A-DC1E-430E-8929-F5FFE3B85D76}"/>
    <cellStyle name="Style 132 6 2" xfId="4091" xr:uid="{215B9983-6ABA-44A4-A72A-FC60C1D7DDBD}"/>
    <cellStyle name="Style 132 6 2 2" xfId="5496" xr:uid="{91129AB9-3A00-414D-A0EC-9082C418199C}"/>
    <cellStyle name="Style 132 6 3" xfId="8941" xr:uid="{296B3170-B97E-4A4A-8A49-448D9DFE6CCA}"/>
    <cellStyle name="Style 132 7" xfId="4090" xr:uid="{FAA58FBB-6DD5-4D01-8663-BA3DE1E6FAD4}"/>
    <cellStyle name="Style 132 7 2" xfId="5498" xr:uid="{D8291490-39EF-419D-8809-9DC834A3C69E}"/>
    <cellStyle name="Style 132 7 3" xfId="5497" xr:uid="{00DAEE04-9AC3-463C-BBE5-6C74E9B2F429}"/>
    <cellStyle name="Style 132 8" xfId="5499" xr:uid="{F8CB9DFB-167D-4904-B3A4-F8D1ED571D02}"/>
    <cellStyle name="Style 132 9" xfId="8942" xr:uid="{94D23825-E990-48D2-89DA-37417AB04150}"/>
    <cellStyle name="Style 132 9 2" xfId="26558" xr:uid="{2796DB89-508C-4C87-AAD5-4CA13B093279}"/>
    <cellStyle name="Style 132_ADDON" xfId="25768" xr:uid="{197AE48A-7B92-4804-818D-BC1F083A493C}"/>
    <cellStyle name="Style 137" xfId="1383" xr:uid="{CBB25C80-5713-4D6E-82B8-7B1F364E4701}"/>
    <cellStyle name="Style 137 10" xfId="1384" xr:uid="{51CC7248-D1E1-441F-9AC8-71190D3256EC}"/>
    <cellStyle name="Style 137 10 2" xfId="1385" xr:uid="{CD357212-BAC9-4F27-8B54-068F9C39AA0F}"/>
    <cellStyle name="Style 137 10 2 2" xfId="5500" xr:uid="{1BAAAD6B-9AC8-45AD-9079-736B007043A4}"/>
    <cellStyle name="Style 137 10 2 2 2" xfId="27249" xr:uid="{24BC62B2-070F-4989-82FD-BECACC96CE95}"/>
    <cellStyle name="Style 137 10 2 3" xfId="24482" xr:uid="{9D3B5C4C-E500-456B-9148-E2E7584D862A}"/>
    <cellStyle name="Style 137 10 3" xfId="4092" xr:uid="{AD203277-C6B9-4CFD-8870-2D7E55FC0D99}"/>
    <cellStyle name="Style 137 10 3 2" xfId="27248" xr:uid="{6A5AB3D1-602F-4AEE-9F34-D4FAC9BBE55F}"/>
    <cellStyle name="Style 137 10 4" xfId="22902" xr:uid="{A2DDA837-0CE9-4256-A78C-A2E545AF4A9A}"/>
    <cellStyle name="Style 137 11" xfId="1386" xr:uid="{13550AB5-B5C7-4ED4-ACAC-105655A5D02C}"/>
    <cellStyle name="Style 137 11 2" xfId="1387" xr:uid="{8F32654D-72C4-4007-8F91-2F2F981BAD63}"/>
    <cellStyle name="Style 137 11 2 2" xfId="5502" xr:uid="{0321FD6A-7649-473A-A6E5-6DF14C90B2E2}"/>
    <cellStyle name="Style 137 11 2 2 2" xfId="27251" xr:uid="{E4903FE3-3CB4-4DF6-AECE-4AD0908BD848}"/>
    <cellStyle name="Style 137 11 2 3" xfId="24483" xr:uid="{CF85FCAA-90CB-4A2E-AE46-5D39B2408DD3}"/>
    <cellStyle name="Style 137 11 3" xfId="5501" xr:uid="{36BE77CA-D20E-4787-AF60-6DA0BD862865}"/>
    <cellStyle name="Style 137 11 3 2" xfId="27250" xr:uid="{F2A8E214-AFE1-4301-AC3E-85427E1DC445}"/>
    <cellStyle name="Style 137 11 4" xfId="22903" xr:uid="{34AD67DE-5E2E-4A87-B89C-C8A4C2EF38E4}"/>
    <cellStyle name="Style 137 12" xfId="1388" xr:uid="{6065983C-3631-444D-A6F9-9FDA34B147B4}"/>
    <cellStyle name="Style 137 12 2" xfId="5503" xr:uid="{4B26DA5A-442E-4B3D-B821-C2431C0DF1E8}"/>
    <cellStyle name="Style 137 12 2 2" xfId="27252" xr:uid="{40199E3F-8D91-487A-A354-AC30EECCB21C}"/>
    <cellStyle name="Style 137 12 3" xfId="8943" xr:uid="{92A63BE4-8772-47E2-98A0-6491EC56F8BB}"/>
    <cellStyle name="Style 137 12 3 2" xfId="28868" xr:uid="{69F1D886-1A39-4C5E-B744-EA004354C761}"/>
    <cellStyle name="Style 137 12 4" xfId="8944" xr:uid="{FD6290B0-D8C6-45BF-B129-B4B6AA6B8437}"/>
    <cellStyle name="Style 137 12 4 2" xfId="28869" xr:uid="{8E319627-A4D0-4CC7-BC04-57C200E422AA}"/>
    <cellStyle name="Style 137 12 5" xfId="8945" xr:uid="{C1053919-40E8-4362-A100-8ED9D81973C9}"/>
    <cellStyle name="Style 137 12 5 2" xfId="28870" xr:uid="{48C47202-73B2-4BA1-B589-0881EBC1E7CE}"/>
    <cellStyle name="Style 137 12 6" xfId="8946" xr:uid="{DEB4F4E5-F6B1-408C-9179-B5C5632559DE}"/>
    <cellStyle name="Style 137 12 6 2" xfId="28871" xr:uid="{693423DD-0280-4B27-B8BE-B6694E593414}"/>
    <cellStyle name="Style 137 12 7" xfId="24484" xr:uid="{29E0F31F-33BC-4676-BC97-7A9CD8AE3436}"/>
    <cellStyle name="Style 137 13" xfId="8947" xr:uid="{2675641D-F435-4F68-9FD7-69DC861094A1}"/>
    <cellStyle name="Style 137 13 2" xfId="8948" xr:uid="{3A00B0EF-B91E-4E7F-98CA-608C20951114}"/>
    <cellStyle name="Style 137 13 2 2" xfId="28872" xr:uid="{010D8D2A-9FEC-4C09-908A-435FC0672ACD}"/>
    <cellStyle name="Style 137 13 3" xfId="8949" xr:uid="{FB92DCC3-BDAB-4C1B-90AB-9BC1C7D85B3D}"/>
    <cellStyle name="Style 137 13 3 2" xfId="28873" xr:uid="{6438C267-6F10-4353-AEB8-9B6638B3767B}"/>
    <cellStyle name="Style 137 13 4" xfId="26559" xr:uid="{39E04871-4CB6-4F15-A1D8-96CF61587031}"/>
    <cellStyle name="Style 137 14" xfId="8950" xr:uid="{9CDAB5F1-13C8-4050-94C2-EC5C3EF08B45}"/>
    <cellStyle name="Style 137 14 2" xfId="8951" xr:uid="{630D940F-1BAC-4078-AEF5-FF09A8778081}"/>
    <cellStyle name="Style 137 14 2 2" xfId="28875" xr:uid="{F0BBE016-53A7-4BE0-8994-13D8DC2AC225}"/>
    <cellStyle name="Style 137 14 3" xfId="28874" xr:uid="{67DA088D-4AE3-4385-BB33-1FC084B40EA2}"/>
    <cellStyle name="Style 137 15" xfId="8952" xr:uid="{A394DF62-320E-45D8-84B7-1285252FF296}"/>
    <cellStyle name="Style 137 15 2" xfId="8953" xr:uid="{D2A807F0-368F-4EB6-8E0B-9ED7B4460109}"/>
    <cellStyle name="Style 137 15 2 2" xfId="28877" xr:uid="{31E03F69-66D8-44BD-9D85-8001A19E8439}"/>
    <cellStyle name="Style 137 15 3" xfId="28876" xr:uid="{F4DEA550-D558-40A6-AF2B-B1484FD6A077}"/>
    <cellStyle name="Style 137 16" xfId="22901" xr:uid="{CE3DD821-A6F8-42C2-84A0-0BEBC00081DE}"/>
    <cellStyle name="Style 137 2" xfId="1389" xr:uid="{4932ED04-D7D3-4E66-A854-FC164B7BF161}"/>
    <cellStyle name="Style 137 2 2" xfId="4355" xr:uid="{56705DB0-990C-49E3-8AEE-335D47861326}"/>
    <cellStyle name="Style 137 2 2 2" xfId="26560" xr:uid="{2FAAD8CD-6096-4F46-B62A-4B8212A45B94}"/>
    <cellStyle name="Style 137 2 3" xfId="22904" xr:uid="{BADFAE96-F070-4776-A151-3E12F66F04C4}"/>
    <cellStyle name="Style 137 3" xfId="1390" xr:uid="{310BE623-6801-4933-BA37-E8B46B544FBA}"/>
    <cellStyle name="Style 137 3 2" xfId="1391" xr:uid="{0087C765-1B2F-495C-9DC3-6F66F1F0C506}"/>
    <cellStyle name="Style 137 3 2 2" xfId="1392" xr:uid="{B0319E13-4582-4A3D-BC83-3F291FE3E674}"/>
    <cellStyle name="Style 137 3 2 2 2" xfId="5504" xr:uid="{E66D08AD-D26A-48EA-97F4-CB33DFB9DD14}"/>
    <cellStyle name="Style 137 3 2 2 2 2" xfId="27253" xr:uid="{86AA6182-B7B1-4018-922E-B016EDAAB4BB}"/>
    <cellStyle name="Style 137 3 2 2 3" xfId="22907" xr:uid="{EE96BC6E-DB4D-4D7E-933A-E498DFFB2DA6}"/>
    <cellStyle name="Style 137 3 2 3" xfId="4357" xr:uid="{16451124-D5C3-4E77-B8E4-130B96C9190F}"/>
    <cellStyle name="Style 137 3 2 3 2" xfId="26562" xr:uid="{EB956F2B-7F8F-48B3-B3C5-81724FF67CFA}"/>
    <cellStyle name="Style 137 3 2 4" xfId="22906" xr:uid="{BE92060C-59EB-444F-8F9A-6B7E07E87A65}"/>
    <cellStyle name="Style 137 3 3" xfId="1393" xr:uid="{018464E0-C384-491A-A6F4-C61E6589173F}"/>
    <cellStyle name="Style 137 3 3 2" xfId="1394" xr:uid="{050386F6-5593-4ACD-8649-939EFC2D18CF}"/>
    <cellStyle name="Style 137 3 3 2 2" xfId="5506" xr:uid="{44952114-C605-4ABB-B0CF-BC804E8A5B56}"/>
    <cellStyle name="Style 137 3 3 2 2 2" xfId="27255" xr:uid="{73D2F7A8-F00E-4C75-A8B5-39C964DFBEAA}"/>
    <cellStyle name="Style 137 3 3 2 3" xfId="22909" xr:uid="{99CC83D3-25F2-43E0-A23F-EE05ACC3FE9C}"/>
    <cellStyle name="Style 137 3 3 3" xfId="1395" xr:uid="{717A8926-321A-49DB-A490-A66E66E29A85}"/>
    <cellStyle name="Style 137 3 3 3 2" xfId="1396" xr:uid="{1DCA3CD9-E051-4B15-9E81-56D0714BAC62}"/>
    <cellStyle name="Style 137 3 3 3 2 2" xfId="5508" xr:uid="{3D23FA22-7281-497C-8D26-88AD13A1355C}"/>
    <cellStyle name="Style 137 3 3 3 2 2 2" xfId="27257" xr:uid="{0D028AA4-797C-4864-88DD-85F6983FC486}"/>
    <cellStyle name="Style 137 3 3 3 2 3" xfId="22911" xr:uid="{B3CFEF5A-6F94-493C-8C9E-E1889E397F0B}"/>
    <cellStyle name="Style 137 3 3 3 3" xfId="5509" xr:uid="{222AFD08-F628-4815-846C-8841B806D608}"/>
    <cellStyle name="Style 137 3 3 3 3 2" xfId="22912" xr:uid="{EC7328EA-52BA-461B-8D8C-54AD56EFF95C}"/>
    <cellStyle name="Style 137 3 3 3 4" xfId="5510" xr:uid="{D4134AD1-F49B-43CD-B74C-F8141E765D02}"/>
    <cellStyle name="Style 137 3 3 3 4 2" xfId="24485" xr:uid="{0D0EF475-CFEB-446D-9038-4087CD666017}"/>
    <cellStyle name="Style 137 3 3 3 5" xfId="5507" xr:uid="{6580AF30-72A6-4314-83E8-94BB013F4C06}"/>
    <cellStyle name="Style 137 3 3 3 5 2" xfId="27256" xr:uid="{125AD775-1B5C-424C-B499-6E0B2433CC60}"/>
    <cellStyle name="Style 137 3 3 3 6" xfId="22910" xr:uid="{608F8D4D-4229-48C0-A871-094AC948341F}"/>
    <cellStyle name="Style 137 3 3 4" xfId="1397" xr:uid="{E2C4BA5B-EB7E-4EDB-81BB-9A4BF6380A88}"/>
    <cellStyle name="Style 137 3 3 4 2" xfId="1398" xr:uid="{048F9F1A-6608-44F9-A592-5F0874126B09}"/>
    <cellStyle name="Style 137 3 3 4 2 2" xfId="5512" xr:uid="{2F5B4B13-C2C3-4499-8866-7B363E10F3F9}"/>
    <cellStyle name="Style 137 3 3 4 2 2 2" xfId="27259" xr:uid="{BB20D3C5-A4B9-48AD-9FFE-7DF3A5BBF8A8}"/>
    <cellStyle name="Style 137 3 3 4 2 3" xfId="22914" xr:uid="{2573FD71-EACD-4434-8533-50025361B428}"/>
    <cellStyle name="Style 137 3 3 4 3" xfId="5511" xr:uid="{EFAE575D-DB89-4E53-8FA7-B7F72D268BE4}"/>
    <cellStyle name="Style 137 3 3 4 3 2" xfId="27258" xr:uid="{DCB0264A-9C1C-496F-B710-039EB77657D0}"/>
    <cellStyle name="Style 137 3 3 4 4" xfId="22913" xr:uid="{5C8BF325-A52E-437B-BD54-93C3B4F9B990}"/>
    <cellStyle name="Style 137 3 3 5" xfId="5513" xr:uid="{3B9BBCC9-ECBC-4D43-B1C7-7BE02222E6CD}"/>
    <cellStyle name="Style 137 3 3 5 2" xfId="24486" xr:uid="{357CE656-A363-4C11-ABB0-C10D31018798}"/>
    <cellStyle name="Style 137 3 3 6" xfId="5505" xr:uid="{5002FD53-4101-4227-9B95-66AF73D18996}"/>
    <cellStyle name="Style 137 3 3 6 2" xfId="27254" xr:uid="{78603F35-8084-4E16-BDA8-1F3C3AC2DDD2}"/>
    <cellStyle name="Style 137 3 3 7" xfId="22908" xr:uid="{EBCB7515-E793-463A-9311-86C15CE8F350}"/>
    <cellStyle name="Style 137 3 4" xfId="1399" xr:uid="{70BAEB67-1367-4B3B-AD7E-2F4DA3CB3E44}"/>
    <cellStyle name="Style 137 3 4 2" xfId="5515" xr:uid="{4563483F-A12E-4D13-B75E-81C4E0ADEFEF}"/>
    <cellStyle name="Style 137 3 4 2 2" xfId="22916" xr:uid="{CFCD8EEA-E58C-4A86-A5E4-8A01ABE09C1C}"/>
    <cellStyle name="Style 137 3 4 3" xfId="5516" xr:uid="{00172E67-B492-4215-AD14-76FE1A2EE8D9}"/>
    <cellStyle name="Style 137 3 4 3 2" xfId="24487" xr:uid="{91E82473-5931-4733-A88A-D8DD4D386F7C}"/>
    <cellStyle name="Style 137 3 4 4" xfId="5514" xr:uid="{B706D0B2-8D95-4AB6-9B08-0500A52BFF8E}"/>
    <cellStyle name="Style 137 3 4 4 2" xfId="27260" xr:uid="{D681234D-AA6A-44C9-98F0-BB710E57553D}"/>
    <cellStyle name="Style 137 3 4 5" xfId="22915" xr:uid="{776ED3B2-AB9B-492A-94FD-5CFAD121ADE5}"/>
    <cellStyle name="Style 137 3 5" xfId="5517" xr:uid="{EA9C7423-389E-46C0-A089-FE1D8F17B289}"/>
    <cellStyle name="Style 137 3 5 2" xfId="8954" xr:uid="{354CF071-4F7A-4CCF-97D1-E96E7F34B33F}"/>
    <cellStyle name="Style 137 3 5 2 2" xfId="27261" xr:uid="{DE973E71-CE86-486F-B2E4-CB8830D37A2D}"/>
    <cellStyle name="Style 137 3 5 3" xfId="22917" xr:uid="{50B9EB8F-CA84-49F5-A511-805F80C8E26A}"/>
    <cellStyle name="Style 137 3 6" xfId="4356" xr:uid="{7AFE5589-8261-4A87-87A9-C9CBA8937461}"/>
    <cellStyle name="Style 137 3 6 2" xfId="26561" xr:uid="{217ED3F6-0433-45B3-A446-CA4905CB5EB6}"/>
    <cellStyle name="Style 137 3 7" xfId="22905" xr:uid="{473FCBA0-E8FA-4C9F-9AC4-A5AB16A36E6F}"/>
    <cellStyle name="Style 137 4" xfId="1400" xr:uid="{F34CFD2B-3CD6-4799-BEAF-AE942E1E8ACD}"/>
    <cellStyle name="Style 137 4 2" xfId="1401" xr:uid="{98E42038-F040-4114-8D6D-8F9942D249F9}"/>
    <cellStyle name="Style 137 4 2 2" xfId="1402" xr:uid="{BB418601-C2D6-4B76-B693-C5BDB51B1F62}"/>
    <cellStyle name="Style 137 4 2 2 2" xfId="5520" xr:uid="{3ACE275E-67EB-4A25-801A-8A3145195EEC}"/>
    <cellStyle name="Style 137 4 2 2 2 2" xfId="27263" xr:uid="{268C27E9-BC10-45BF-A4A4-2753F1BE0F65}"/>
    <cellStyle name="Style 137 4 2 2 3" xfId="22920" xr:uid="{D12B7944-58FC-4C51-B835-981AEE0F15E5}"/>
    <cellStyle name="Style 137 4 2 3" xfId="1403" xr:uid="{ADA99569-2FA4-4683-8EDB-3F0528293421}"/>
    <cellStyle name="Style 137 4 2 3 2" xfId="1404" xr:uid="{CE46ED29-11E0-48FA-AC9D-4DC2976EC35A}"/>
    <cellStyle name="Style 137 4 2 3 2 2" xfId="5522" xr:uid="{EEE40FC6-1888-4269-9780-7FB49E1E4884}"/>
    <cellStyle name="Style 137 4 2 3 2 2 2" xfId="27265" xr:uid="{A43F155F-FF8A-45D8-9C56-9B6DE4CEB28C}"/>
    <cellStyle name="Style 137 4 2 3 2 3" xfId="22922" xr:uid="{9E69866C-65ED-4B27-94E7-765663A3E485}"/>
    <cellStyle name="Style 137 4 2 3 3" xfId="5523" xr:uid="{065344B1-D52E-4D20-961D-9574E1EEFF24}"/>
    <cellStyle name="Style 137 4 2 3 3 2" xfId="22923" xr:uid="{72476895-8828-4F42-9760-FED478DF02B2}"/>
    <cellStyle name="Style 137 4 2 3 4" xfId="5524" xr:uid="{B259EA74-8C91-4F4D-960D-E78CC0DBF562}"/>
    <cellStyle name="Style 137 4 2 3 4 2" xfId="24488" xr:uid="{FC4E50F5-C117-45BD-A71B-62CBC3D7A1EA}"/>
    <cellStyle name="Style 137 4 2 3 5" xfId="5521" xr:uid="{B0143062-8ECB-44C4-AC08-4881846B3047}"/>
    <cellStyle name="Style 137 4 2 3 5 2" xfId="27264" xr:uid="{F3C8275B-0D99-4E9D-8806-BE4D2C93D6FE}"/>
    <cellStyle name="Style 137 4 2 3 6" xfId="22921" xr:uid="{F82642F8-2C92-4751-A0AD-3A6FEB107237}"/>
    <cellStyle name="Style 137 4 2 4" xfId="1405" xr:uid="{466DADE0-6701-4297-8DC6-7BE69A9A4EC5}"/>
    <cellStyle name="Style 137 4 2 4 2" xfId="1406" xr:uid="{4F50CFED-706A-43D7-86BE-B5723A0B4B21}"/>
    <cellStyle name="Style 137 4 2 4 2 2" xfId="5526" xr:uid="{E944BC1A-357E-4F62-8FF0-A8BEAF7B16F0}"/>
    <cellStyle name="Style 137 4 2 4 2 2 2" xfId="27267" xr:uid="{6E5E24C9-90C6-4202-9A9B-6BCC73C44D0C}"/>
    <cellStyle name="Style 137 4 2 4 2 3" xfId="22925" xr:uid="{1CD66714-88F7-411E-849B-774482F925DE}"/>
    <cellStyle name="Style 137 4 2 4 3" xfId="5525" xr:uid="{0194A7EF-587C-40FD-959C-6BB6B6A30DD2}"/>
    <cellStyle name="Style 137 4 2 4 3 2" xfId="27266" xr:uid="{265429A2-FFF2-4A50-8A61-84D05E0823AF}"/>
    <cellStyle name="Style 137 4 2 4 4" xfId="22924" xr:uid="{7050E803-876E-460A-AE3D-4D7D0E9CE50F}"/>
    <cellStyle name="Style 137 4 2 5" xfId="5527" xr:uid="{D39C3E5C-1DA5-47F4-85C2-BD05E1776882}"/>
    <cellStyle name="Style 137 4 2 5 2" xfId="24489" xr:uid="{D1FB8A2A-30D4-4D59-A3C3-C1BF6E79D368}"/>
    <cellStyle name="Style 137 4 2 6" xfId="5519" xr:uid="{645D779D-CAAF-4628-90E3-DDD5BC1DB6A3}"/>
    <cellStyle name="Style 137 4 2 6 2" xfId="27262" xr:uid="{82B0BBC2-6F1C-41F3-95BB-D9383500AE56}"/>
    <cellStyle name="Style 137 4 2 7" xfId="22919" xr:uid="{70314F56-3953-413E-A8EF-E7E296669FC7}"/>
    <cellStyle name="Style 137 4 3" xfId="1407" xr:uid="{8C34F660-1145-4C41-888D-431F78804487}"/>
    <cellStyle name="Style 137 4 3 2" xfId="5528" xr:uid="{59384E33-0148-4D1F-97BC-0D17F7C5EA76}"/>
    <cellStyle name="Style 137 4 3 2 2" xfId="27268" xr:uid="{D2F4C599-EB11-45AE-9723-156F3DDF2A7D}"/>
    <cellStyle name="Style 137 4 3 3" xfId="22926" xr:uid="{F7FCAABE-A617-41A0-9150-01BA20FF7197}"/>
    <cellStyle name="Style 137 4 4" xfId="5529" xr:uid="{4928A543-9920-43B2-9F42-BA39B32B21F1}"/>
    <cellStyle name="Style 137 4 4 2" xfId="5530" xr:uid="{B5C32483-A52C-48AE-862C-11985BC8B71A}"/>
    <cellStyle name="Style 137 4 4 2 2" xfId="24490" xr:uid="{27C8AC2D-0C6B-48BC-B80F-553996415CF8}"/>
    <cellStyle name="Style 137 4 4 3" xfId="22927" xr:uid="{A96CA5A9-A979-4D5D-B905-573347A55E98}"/>
    <cellStyle name="Style 137 4 5" xfId="5518" xr:uid="{D9133F3B-7BCD-4893-907A-C07BEB35DA0B}"/>
    <cellStyle name="Style 137 4 5 2" xfId="25927" xr:uid="{859EFCBE-3FD3-497D-A7D5-AAAE4E1A2049}"/>
    <cellStyle name="Style 137 4 6" xfId="4358" xr:uid="{1369644D-3A2F-47F5-9B7D-9FE2A4ED8048}"/>
    <cellStyle name="Style 137 4 6 2" xfId="26563" xr:uid="{16578190-4256-42BE-ACF4-C37FD7784D46}"/>
    <cellStyle name="Style 137 4 7" xfId="22918" xr:uid="{AED10B0B-DBD2-480D-9A2E-DB0457AF1D81}"/>
    <cellStyle name="Style 137 5" xfId="1408" xr:uid="{24F88E43-10E5-484F-8B92-DC62AF2F54F1}"/>
    <cellStyle name="Style 137 5 2" xfId="1409" xr:uid="{D5DAB4A6-ED04-42A0-8593-3B1316A6324D}"/>
    <cellStyle name="Style 137 5 2 2" xfId="1410" xr:uid="{6DA68B30-DB2A-4EF8-8073-A159B2938C99}"/>
    <cellStyle name="Style 137 5 2 2 2" xfId="5533" xr:uid="{D07223BC-4F80-43A7-9C6F-DAB706DC4D64}"/>
    <cellStyle name="Style 137 5 2 2 2 2" xfId="27270" xr:uid="{EFD6DE37-3C5C-475D-970C-4BA188377E58}"/>
    <cellStyle name="Style 137 5 2 2 3" xfId="22930" xr:uid="{441915DD-4AC8-4753-A364-9B80870B82C1}"/>
    <cellStyle name="Style 137 5 2 3" xfId="1411" xr:uid="{7CD90E76-863F-4720-8C86-789E31FD7414}"/>
    <cellStyle name="Style 137 5 2 3 2" xfId="1412" xr:uid="{6C363E91-65A4-4CE3-9A01-94554FDD1F12}"/>
    <cellStyle name="Style 137 5 2 3 2 2" xfId="5535" xr:uid="{B121CAE0-A8A1-42C8-82CA-4234E87626D5}"/>
    <cellStyle name="Style 137 5 2 3 2 2 2" xfId="27272" xr:uid="{A9CD872C-CDA1-4112-8200-5B511325E529}"/>
    <cellStyle name="Style 137 5 2 3 2 3" xfId="22932" xr:uid="{668FC919-5616-48DF-9455-1C9B20F78917}"/>
    <cellStyle name="Style 137 5 2 3 3" xfId="5536" xr:uid="{D01EAB5A-E981-414E-BFEB-42A7FCBE4A95}"/>
    <cellStyle name="Style 137 5 2 3 3 2" xfId="22933" xr:uid="{EF8149AF-F04C-4D60-9EB5-BF1A3955BCF4}"/>
    <cellStyle name="Style 137 5 2 3 4" xfId="5537" xr:uid="{FE04BD6C-ABA0-4263-BAF1-432A8D426B4F}"/>
    <cellStyle name="Style 137 5 2 3 4 2" xfId="24491" xr:uid="{23FF2CAE-F2B0-48D4-80B9-02AB76DF3EAD}"/>
    <cellStyle name="Style 137 5 2 3 5" xfId="5534" xr:uid="{3AEB9F9E-4163-4FEF-8F1C-03440056E131}"/>
    <cellStyle name="Style 137 5 2 3 5 2" xfId="27271" xr:uid="{3A86CE7D-5E90-476D-A0D7-2129B087BA39}"/>
    <cellStyle name="Style 137 5 2 3 6" xfId="22931" xr:uid="{F1A1A9F5-EE77-4F23-AF19-BE17EEDF4171}"/>
    <cellStyle name="Style 137 5 2 4" xfId="1413" xr:uid="{45FF0971-85ED-45BC-B079-F85E06D8C9D6}"/>
    <cellStyle name="Style 137 5 2 4 2" xfId="1414" xr:uid="{72B2828C-0468-4FCA-9EDD-1FF9917C6F3F}"/>
    <cellStyle name="Style 137 5 2 4 2 2" xfId="5539" xr:uid="{B2325908-4C89-43A4-9B0D-625C74693A57}"/>
    <cellStyle name="Style 137 5 2 4 2 2 2" xfId="27274" xr:uid="{5EDBCB41-5E73-4380-993B-132ECD992C4D}"/>
    <cellStyle name="Style 137 5 2 4 2 3" xfId="22935" xr:uid="{511196EC-8EED-4715-8247-7485517A03E3}"/>
    <cellStyle name="Style 137 5 2 4 3" xfId="5538" xr:uid="{EE32B94A-3345-4964-842F-44B9095F5495}"/>
    <cellStyle name="Style 137 5 2 4 3 2" xfId="27273" xr:uid="{2FF11249-87D0-400E-8200-08E92A59C27A}"/>
    <cellStyle name="Style 137 5 2 4 4" xfId="22934" xr:uid="{0ED6A83E-9A66-4FC0-AEA8-94F79F97CBD1}"/>
    <cellStyle name="Style 137 5 2 5" xfId="5540" xr:uid="{7A5AD701-49E2-485D-9A25-F0B57C4AF2D2}"/>
    <cellStyle name="Style 137 5 2 5 2" xfId="24492" xr:uid="{23A21A56-FB9A-4392-9600-E2DE5402120A}"/>
    <cellStyle name="Style 137 5 2 6" xfId="5532" xr:uid="{CA7FEE5C-7420-4598-B0FE-3891B2A452B7}"/>
    <cellStyle name="Style 137 5 2 6 2" xfId="27269" xr:uid="{EEE61475-286F-418D-BFB2-2F4B903E869B}"/>
    <cellStyle name="Style 137 5 2 7" xfId="22929" xr:uid="{CF720509-165D-4B39-9ACD-C57E3FF77B27}"/>
    <cellStyle name="Style 137 5 3" xfId="1415" xr:uid="{389632F7-4D77-4D2C-9DE2-07F33588A0CF}"/>
    <cellStyle name="Style 137 5 3 2" xfId="5541" xr:uid="{5DCCB08A-BDF6-47DF-AAA1-12FC2110547A}"/>
    <cellStyle name="Style 137 5 3 2 2" xfId="27275" xr:uid="{DB5F7CD4-AC69-48B4-9533-679CF394B188}"/>
    <cellStyle name="Style 137 5 3 3" xfId="22936" xr:uid="{51BEE278-6362-423D-972F-C3BB9246ABEC}"/>
    <cellStyle name="Style 137 5 4" xfId="5542" xr:uid="{6D5C1CF2-E956-40CA-9E73-B7612CC736D7}"/>
    <cellStyle name="Style 137 5 4 2" xfId="5543" xr:uid="{27C35A90-0B43-4415-8DC2-B62A6317C58D}"/>
    <cellStyle name="Style 137 5 4 2 2" xfId="24493" xr:uid="{12F1CB6D-3B18-4F1A-BFBB-3FAAC463CBD0}"/>
    <cellStyle name="Style 137 5 4 3" xfId="22937" xr:uid="{8E3CF979-BFA7-43CD-98BC-D5A2DFE6785B}"/>
    <cellStyle name="Style 137 5 5" xfId="5531" xr:uid="{9B3896D9-92DF-4207-8AD5-841823695FFC}"/>
    <cellStyle name="Style 137 5 5 2" xfId="25928" xr:uid="{935E9171-8CF6-47BA-9563-10CBC2DDC75B}"/>
    <cellStyle name="Style 137 5 6" xfId="4359" xr:uid="{D801642C-DB1D-40F6-BBEE-9839912E4DBE}"/>
    <cellStyle name="Style 137 5 6 2" xfId="26564" xr:uid="{EFA67E0D-C2E5-42FC-B544-2BB3F5723BB2}"/>
    <cellStyle name="Style 137 5 7" xfId="22928" xr:uid="{132E3589-B48B-4CE0-B5CC-C6262D3A1171}"/>
    <cellStyle name="Style 137 6" xfId="1416" xr:uid="{016682EB-0CE9-4349-B42B-008424B6B1E0}"/>
    <cellStyle name="Style 137 6 2" xfId="1417" xr:uid="{41AB6442-BF45-4D30-B41D-BA6CBE7F3B76}"/>
    <cellStyle name="Style 137 6 2 2" xfId="5545" xr:uid="{091162A5-1770-4027-A95D-1A1A65A5E21A}"/>
    <cellStyle name="Style 137 6 2 2 2" xfId="27277" xr:uid="{ABC0646E-ED32-4667-9828-8EB72B77E563}"/>
    <cellStyle name="Style 137 6 2 3" xfId="22939" xr:uid="{E7561DB3-EBA3-4C2D-A683-B27EFFC7DBE9}"/>
    <cellStyle name="Style 137 6 3" xfId="1418" xr:uid="{EE00FEC5-4C84-4E74-874E-EF0531DC4CA0}"/>
    <cellStyle name="Style 137 6 3 2" xfId="1419" xr:uid="{E3F22D59-5789-4396-AC72-77A98DF24B02}"/>
    <cellStyle name="Style 137 6 3 2 2" xfId="5547" xr:uid="{C9A0333C-D798-4781-BBE3-50A2CC2BFBFD}"/>
    <cellStyle name="Style 137 6 3 2 2 2" xfId="27279" xr:uid="{96546E2F-2C83-4A25-A58E-7DD920488F11}"/>
    <cellStyle name="Style 137 6 3 2 3" xfId="22941" xr:uid="{B2B10F2C-C70A-4795-A479-6CB0929DD3DA}"/>
    <cellStyle name="Style 137 6 3 3" xfId="5548" xr:uid="{AA5B34D9-82D8-4592-874E-DDE03DEA7EEE}"/>
    <cellStyle name="Style 137 6 3 3 2" xfId="22942" xr:uid="{F6053003-1F74-476F-8D43-BC4790209C0F}"/>
    <cellStyle name="Style 137 6 3 4" xfId="5549" xr:uid="{ECB3A2F7-7F10-467E-A331-D444937FC0AA}"/>
    <cellStyle name="Style 137 6 3 4 2" xfId="24494" xr:uid="{D443D26B-1D40-4D77-AEC9-303C21BBD1E1}"/>
    <cellStyle name="Style 137 6 3 5" xfId="5546" xr:uid="{B1D8CB8C-06F0-46FD-AE89-B12BB04A8CAA}"/>
    <cellStyle name="Style 137 6 3 5 2" xfId="27278" xr:uid="{83BDFAA4-E11C-4273-932B-3FDF539E9ABF}"/>
    <cellStyle name="Style 137 6 3 6" xfId="22940" xr:uid="{B17742D7-D0CA-4119-AC7B-F9795CFCE4CD}"/>
    <cellStyle name="Style 137 6 4" xfId="1420" xr:uid="{807CB7FB-3B91-412F-A94F-2BF2295FE978}"/>
    <cellStyle name="Style 137 6 4 2" xfId="1421" xr:uid="{FBA3BB09-D807-4C4C-BBF0-5D688C60D55E}"/>
    <cellStyle name="Style 137 6 4 2 2" xfId="5551" xr:uid="{1F2B0290-1F71-486C-9F07-752472D175DE}"/>
    <cellStyle name="Style 137 6 4 2 2 2" xfId="27281" xr:uid="{7CEC18A7-F32A-49B7-8E4F-E99D5BA7D865}"/>
    <cellStyle name="Style 137 6 4 2 3" xfId="22944" xr:uid="{B3135DC8-6F1A-4281-ADB2-EAB18FA707D8}"/>
    <cellStyle name="Style 137 6 4 3" xfId="5550" xr:uid="{A3CF456B-A544-4CDA-B970-318896122C53}"/>
    <cellStyle name="Style 137 6 4 3 2" xfId="27280" xr:uid="{42968A6F-74FD-42F4-9C4E-A1CD281DF32E}"/>
    <cellStyle name="Style 137 6 4 4" xfId="22943" xr:uid="{DC4C7E67-C589-4663-AA49-BD6133949E6E}"/>
    <cellStyle name="Style 137 6 5" xfId="5552" xr:uid="{F50F3720-8C40-4FF7-BF98-5AC996387A3A}"/>
    <cellStyle name="Style 137 6 5 2" xfId="24495" xr:uid="{97C26EE3-88CE-44C6-B3D5-4229B6E7A9C6}"/>
    <cellStyle name="Style 137 6 6" xfId="5544" xr:uid="{33608A9F-89B5-46D2-89E5-449B2B6FD1EC}"/>
    <cellStyle name="Style 137 6 6 2" xfId="27276" xr:uid="{3107DDE6-441F-4A5B-A99F-2632F844CAB8}"/>
    <cellStyle name="Style 137 6 7" xfId="22938" xr:uid="{98E1B775-B9D7-4492-9F1D-F47FE49400D4}"/>
    <cellStyle name="Style 137 7" xfId="1422" xr:uid="{7C24647A-E630-4924-ADD7-21A67BA73DEF}"/>
    <cellStyle name="Style 137 7 2" xfId="1423" xr:uid="{45D59C53-9CBC-4FFD-86DC-6FB141655E35}"/>
    <cellStyle name="Style 137 7 2 2" xfId="5554" xr:uid="{4EE6EF52-F54A-4210-B96E-294E854DA1DC}"/>
    <cellStyle name="Style 137 7 2 2 2" xfId="27283" xr:uid="{EAFBB793-6B36-4746-B9B5-86B743C5C6E9}"/>
    <cellStyle name="Style 137 7 2 3" xfId="22946" xr:uid="{C6358AB4-782C-434B-B646-C7213FA8DD62}"/>
    <cellStyle name="Style 137 7 3" xfId="5555" xr:uid="{724A88E7-A663-43C6-A52D-7106F94712FF}"/>
    <cellStyle name="Style 137 7 3 2" xfId="22947" xr:uid="{ECFBC0A9-4D48-4D78-B41C-B65AF3BAE3D6}"/>
    <cellStyle name="Style 137 7 4" xfId="5556" xr:uid="{8DC06C31-0BE8-4B6F-A04A-D881AC23545E}"/>
    <cellStyle name="Style 137 7 4 2" xfId="24496" xr:uid="{F7CE4060-D9B7-401A-815E-8BEE157C0374}"/>
    <cellStyle name="Style 137 7 5" xfId="5553" xr:uid="{3B155C2F-A682-408F-8734-C0238155881F}"/>
    <cellStyle name="Style 137 7 5 2" xfId="27282" xr:uid="{071C2275-F9E9-453E-BD55-A38BDAA4FE60}"/>
    <cellStyle name="Style 137 7 6" xfId="22945" xr:uid="{51D96ECC-4CC8-40CA-B297-B43901DF4272}"/>
    <cellStyle name="Style 137 8" xfId="1424" xr:uid="{D7FBE121-8C29-48F5-8B50-AB2AC6E407C0}"/>
    <cellStyle name="Style 137 8 2" xfId="1425" xr:uid="{D7B50670-E427-4A78-99DD-4706755C9824}"/>
    <cellStyle name="Style 137 8 2 2" xfId="5558" xr:uid="{D692D4BC-D668-4D9B-AADF-3F722E84D5F3}"/>
    <cellStyle name="Style 137 8 2 2 2" xfId="27285" xr:uid="{B4A691BC-F434-4FC1-9DD2-8DA51C78AF6C}"/>
    <cellStyle name="Style 137 8 2 3" xfId="22949" xr:uid="{9EE9996F-F8EC-4370-A2C6-F96D9B9243DF}"/>
    <cellStyle name="Style 137 8 3" xfId="5559" xr:uid="{B62B4627-E7B7-42DA-A3C3-166861838F4F}"/>
    <cellStyle name="Style 137 8 3 2" xfId="22950" xr:uid="{A0F0E4EE-F505-44AB-9C64-36B195B146B5}"/>
    <cellStyle name="Style 137 8 4" xfId="5560" xr:uid="{D5704A39-C158-4622-B549-48E109D4FC91}"/>
    <cellStyle name="Style 137 8 4 2" xfId="24497" xr:uid="{065AB25C-7A45-4AD2-ADDA-68A2AFF6E772}"/>
    <cellStyle name="Style 137 8 5" xfId="5557" xr:uid="{1C857AF6-3896-43DE-90B5-36231CCB26CE}"/>
    <cellStyle name="Style 137 8 5 2" xfId="27284" xr:uid="{CF04BA3B-3D9E-432B-BE46-301A4ABDD194}"/>
    <cellStyle name="Style 137 8 6" xfId="22948" xr:uid="{36727B8E-C4A6-41F7-AA3B-287ECFF0D964}"/>
    <cellStyle name="Style 137 9" xfId="1426" xr:uid="{E9A352B3-1B0E-4730-95BA-D6663CA4E47E}"/>
    <cellStyle name="Style 137 9 2" xfId="1427" xr:uid="{0A8173EF-C8EF-4583-A37F-BA0499826758}"/>
    <cellStyle name="Style 137 9 2 2" xfId="5561" xr:uid="{303970C2-F226-4D37-8EE9-034728E81F2B}"/>
    <cellStyle name="Style 137 9 2 2 2" xfId="27287" xr:uid="{943076FE-3E98-4852-AF53-3BD163EB9CC4}"/>
    <cellStyle name="Style 137 9 2 3" xfId="24498" xr:uid="{B582252D-AF8D-4B1E-941B-CC8B3B2FC0FA}"/>
    <cellStyle name="Style 137 9 3" xfId="4093" xr:uid="{52BE0306-AF02-4CB5-A7B8-A7282F3F9DB4}"/>
    <cellStyle name="Style 137 9 3 2" xfId="27286" xr:uid="{3CDF08D3-CFC6-4D47-8B27-52331EB81F39}"/>
    <cellStyle name="Style 137 9 4" xfId="22951" xr:uid="{2B1F65B0-CD23-4297-BDD5-647F85795805}"/>
    <cellStyle name="Style 137_ADDON" xfId="25769" xr:uid="{7D552577-743C-4442-AB45-474E51687BA1}"/>
    <cellStyle name="Style 138" xfId="1428" xr:uid="{56746F97-91DC-4E26-8149-82B7D46CB02A}"/>
    <cellStyle name="Style 138 10" xfId="22952" xr:uid="{2FD5EE63-E96A-4E64-B9B5-A43A0C1DD519}"/>
    <cellStyle name="Style 138 2" xfId="1429" xr:uid="{ADA53C50-18E9-4580-AAD7-FB1EF24BCB82}"/>
    <cellStyle name="Style 138 2 2" xfId="8955" xr:uid="{1C5FC0DF-FA7A-458E-9A3C-2A181F1C4DFA}"/>
    <cellStyle name="Style 138 2 2 2" xfId="28878" xr:uid="{1FA55E32-F8E0-488C-BA90-CDAC61E40901}"/>
    <cellStyle name="Style 138 2 3" xfId="22953" xr:uid="{A65387FC-E211-415D-8AB7-EEE1510C075F}"/>
    <cellStyle name="Style 138 3" xfId="1430" xr:uid="{EE0D8C73-B07C-4206-B592-299F59A95716}"/>
    <cellStyle name="Style 138 3 2" xfId="1431" xr:uid="{A0959286-1650-47BE-9714-6B73DE83C4AD}"/>
    <cellStyle name="Style 138 3 2 2" xfId="22955" xr:uid="{BAEF07FC-F467-43FE-89F3-9B5013F7ACE4}"/>
    <cellStyle name="Style 138 3 3" xfId="1432" xr:uid="{11318C28-7FF4-414B-BE90-88D12DBDBCBC}"/>
    <cellStyle name="Style 138 3 3 2" xfId="1433" xr:uid="{0FCD5642-590F-4AFC-9700-924200290C11}"/>
    <cellStyle name="Style 138 3 3 2 2" xfId="22957" xr:uid="{658089AE-19BA-47CA-B270-B4BED731B1DD}"/>
    <cellStyle name="Style 138 3 3 3" xfId="5562" xr:uid="{0647A62C-5655-43FE-BC3C-714D6AE6C92F}"/>
    <cellStyle name="Style 138 3 3 3 2" xfId="22958" xr:uid="{BD7B1F7C-27E8-45C5-B8EB-E916BFA2A21F}"/>
    <cellStyle name="Style 138 3 3 4" xfId="5563" xr:uid="{949C3B0E-C841-4FAD-95EA-052CE8C729B6}"/>
    <cellStyle name="Style 138 3 3 4 2" xfId="24499" xr:uid="{CED50255-D539-4E6F-8939-656766D45ABF}"/>
    <cellStyle name="Style 138 3 3 5" xfId="22956" xr:uid="{5FB69904-BD59-4379-8041-01521FA05C3B}"/>
    <cellStyle name="Style 138 3 4" xfId="1434" xr:uid="{85F86C04-1297-49AA-A893-48ADCF15F9E2}"/>
    <cellStyle name="Style 138 3 4 2" xfId="1435" xr:uid="{48F97FDB-D63F-4229-A6A6-CDE7BF40CAF9}"/>
    <cellStyle name="Style 138 3 4 2 2" xfId="22960" xr:uid="{D0D88225-52FD-42BD-B9E8-4B296BA348C8}"/>
    <cellStyle name="Style 138 3 4 3" xfId="22959" xr:uid="{43EFB03E-34E9-4CC1-A713-ADB0D9A4A209}"/>
    <cellStyle name="Style 138 3 5" xfId="5564" xr:uid="{4A84F0EF-408F-415E-AA02-17247782FE5C}"/>
    <cellStyle name="Style 138 3 5 2" xfId="24500" xr:uid="{2C6CE9C3-F100-49BF-96D2-D814FEBD6F14}"/>
    <cellStyle name="Style 138 3 6" xfId="22954" xr:uid="{1A7E43EB-B861-435D-A401-EBF4A94E035E}"/>
    <cellStyle name="Style 138 4" xfId="1436" xr:uid="{43C7CF76-C69B-4F51-AE30-AFBC7817D581}"/>
    <cellStyle name="Style 138 4 2" xfId="1437" xr:uid="{8DE7C031-4043-4633-87AE-CAA5ED14BC52}"/>
    <cellStyle name="Style 138 4 2 2" xfId="22962" xr:uid="{22904274-1C23-4793-826A-8D5C8791624D}"/>
    <cellStyle name="Style 138 4 3" xfId="5565" xr:uid="{13EC1652-E177-4EE3-9596-30DBA4DB1720}"/>
    <cellStyle name="Style 138 4 3 2" xfId="22963" xr:uid="{025A7866-FA0B-4EEC-BE87-4AA56688EF3C}"/>
    <cellStyle name="Style 138 4 4" xfId="5566" xr:uid="{159F4B1D-E37B-4DBC-BF8F-5D1FD5EE4F9C}"/>
    <cellStyle name="Style 138 4 4 2" xfId="24501" xr:uid="{92FD70A9-F8DE-48DA-B34F-55D5A1DC0F0B}"/>
    <cellStyle name="Style 138 4 5" xfId="22961" xr:uid="{1EC1A246-FC96-4E1F-820D-6D69499EC9FF}"/>
    <cellStyle name="Style 138 5" xfId="1438" xr:uid="{BC178901-C643-4BE0-9274-7CBE78FDEE11}"/>
    <cellStyle name="Style 138 5 2" xfId="1439" xr:uid="{1481543F-016F-457B-8AE3-AF41E63EDA15}"/>
    <cellStyle name="Style 138 5 2 2" xfId="22965" xr:uid="{D36BADB2-2D80-4EBB-8F9F-C13DC5183450}"/>
    <cellStyle name="Style 138 5 3" xfId="22964" xr:uid="{C7A6BA85-8CFA-4B32-B688-2F95AB5B8E1A}"/>
    <cellStyle name="Style 138 6" xfId="1440" xr:uid="{A9E587D3-0866-4CF6-8F8A-BD074FCE39CE}"/>
    <cellStyle name="Style 138 6 2" xfId="1441" xr:uid="{06F81116-9CE3-4CE1-B8BC-113D138D3FB5}"/>
    <cellStyle name="Style 138 6 2 2" xfId="24502" xr:uid="{FFFF07C1-258F-42EB-A1B3-BF082DD40B70}"/>
    <cellStyle name="Style 138 6 3" xfId="4095" xr:uid="{7DB3D305-BCDC-4DFA-8E63-C7792048211A}"/>
    <cellStyle name="Style 138 6 3 2" xfId="28317" xr:uid="{F05A5704-B73F-49C8-8DB9-30A76CED2B2B}"/>
    <cellStyle name="Style 138 6 4" xfId="22966" xr:uid="{B52701D2-78EC-4B53-BD40-C093B7646B3C}"/>
    <cellStyle name="Style 138 7" xfId="4094" xr:uid="{5799871C-63F1-4ED1-A907-00B5802A1A36}"/>
    <cellStyle name="Style 138 7 2" xfId="5568" xr:uid="{DE443F1C-5F59-48AD-AAFF-B25513B53704}"/>
    <cellStyle name="Style 138 7 2 2" xfId="24503" xr:uid="{82328F8E-5C63-47BC-AECA-1A8C5CB13351}"/>
    <cellStyle name="Style 138 7 3" xfId="5567" xr:uid="{FAA3A089-C176-41AA-AB10-F9DC1D5E5269}"/>
    <cellStyle name="Style 138 7 3 2" xfId="40714" xr:uid="{58B76282-02B5-4043-B89F-F9A44E64B7A8}"/>
    <cellStyle name="Style 138 7 4" xfId="22967" xr:uid="{6DBD1EF8-E656-4241-8CA9-51D58BA7ED11}"/>
    <cellStyle name="Style 138 8" xfId="5569" xr:uid="{DFB84FAE-F366-46C9-A8A5-415FABC8E033}"/>
    <cellStyle name="Style 138 8 2" xfId="24504" xr:uid="{93B090BD-603D-44B2-A64B-696E69E649F3}"/>
    <cellStyle name="Style 138 9" xfId="8956" xr:uid="{1E02021E-3F27-4936-B486-617A2D6B83A8}"/>
    <cellStyle name="Style 138 9 2" xfId="26565" xr:uid="{D4F73AEC-CAD8-4A14-A929-9C03272337B3}"/>
    <cellStyle name="Style 138_ADDON" xfId="25736" xr:uid="{9AA25C7A-3B61-4B8F-A4A7-44769D6E8E16}"/>
    <cellStyle name="Style 139" xfId="1442" xr:uid="{AA0A0383-90B7-4A30-BAE1-D29209734E43}"/>
    <cellStyle name="Style 139 2" xfId="1443" xr:uid="{A6743B3D-7EF2-4CB6-A1A8-2CD3836DC340}"/>
    <cellStyle name="Style 139 2 2" xfId="1444" xr:uid="{CB2F75AB-662B-4AD8-B007-04F8F3F2EB55}"/>
    <cellStyle name="Style 139 2 2 2" xfId="1445" xr:uid="{426DB97D-2A1E-4093-9EAF-57D5304604C2}"/>
    <cellStyle name="Style 139 2 2 2 2" xfId="1446" xr:uid="{664D7AA0-39EB-40F0-9439-03BB5B8CC243}"/>
    <cellStyle name="Style 139 2 2 2 2 2" xfId="1447" xr:uid="{30E366DE-1D71-41F7-99F3-95723B8B543D}"/>
    <cellStyle name="Style 139 2 2 2 2 2 2" xfId="8957" xr:uid="{13BC8976-4E6A-46AD-B2F0-D8F9A38944EA}"/>
    <cellStyle name="Style 139 2 2 2 2 3" xfId="8958" xr:uid="{1C94120F-12D1-47DA-A08F-5797FC04A782}"/>
    <cellStyle name="Style 139 2 2 2 3" xfId="1448" xr:uid="{F2AE528C-B886-4D5D-BC47-05CEDCE8E478}"/>
    <cellStyle name="Style 139 2 2 2 3 2" xfId="8959" xr:uid="{81613C52-0BC9-4C1F-A976-9126FD492E5B}"/>
    <cellStyle name="Style 139 2 2 2 4" xfId="8960" xr:uid="{4524ADCA-6857-46DE-B97D-F6336D60C774}"/>
    <cellStyle name="Style 139 2 2 3" xfId="1449" xr:uid="{A5407BB5-66AC-49E5-A3B4-25E84DD0735C}"/>
    <cellStyle name="Style 139 2 2 3 2" xfId="1450" xr:uid="{2C6056DC-7886-42C0-BE44-CE69A4ACC135}"/>
    <cellStyle name="Style 139 2 2 3 2 2" xfId="8961" xr:uid="{B7B4BEEC-BD23-4A36-A673-ECAAABF15DF2}"/>
    <cellStyle name="Style 139 2 2 3 3" xfId="8962" xr:uid="{62D4CDB4-0359-4532-9926-5929F727965A}"/>
    <cellStyle name="Style 139 2 2 4" xfId="1451" xr:uid="{934B7EA0-03ED-4FD3-A2A5-A78A3C637BB0}"/>
    <cellStyle name="Style 139 2 2 4 2" xfId="8963" xr:uid="{35D9DE11-843C-4282-A6D5-F53FE01E9B8A}"/>
    <cellStyle name="Style 139 2 2 5" xfId="8964" xr:uid="{7DE662FA-4186-4B2C-A34C-FCFE7321EF39}"/>
    <cellStyle name="Style 139 2 3" xfId="1452" xr:uid="{6AF629CA-472D-4183-AA2B-C5191D0378C5}"/>
    <cellStyle name="Style 139 2 3 2" xfId="1453" xr:uid="{3DB7D537-AEBD-44FC-83EA-A7AD92A8902E}"/>
    <cellStyle name="Style 139 2 3 2 2" xfId="1454" xr:uid="{BFAFF680-499B-4FC5-B677-3EAF562B4879}"/>
    <cellStyle name="Style 139 2 3 2 2 2" xfId="8965" xr:uid="{CE0E7785-290A-45E2-B454-790199430FDA}"/>
    <cellStyle name="Style 139 2 3 2 3" xfId="8966" xr:uid="{7E3B2980-B193-4618-B2B6-BF65C30D83EE}"/>
    <cellStyle name="Style 139 2 3 3" xfId="1455" xr:uid="{335D4EED-DE86-447A-AF33-0AF34C8406DC}"/>
    <cellStyle name="Style 139 2 3 3 2" xfId="8967" xr:uid="{ABAAB6C2-F748-404A-9DD9-1C540E82F0BD}"/>
    <cellStyle name="Style 139 2 3 4" xfId="8968" xr:uid="{1202F26A-6BE7-4532-8B4B-CA537348265B}"/>
    <cellStyle name="Style 139 2 4" xfId="1456" xr:uid="{D100371B-D7F9-450C-9057-BDA44E950D6A}"/>
    <cellStyle name="Style 139 2 4 2" xfId="1457" xr:uid="{41032C55-3065-4910-8762-2F28D022B418}"/>
    <cellStyle name="Style 139 2 4 2 2" xfId="8969" xr:uid="{DC21ED2D-D5AB-43F1-820F-4204005C429C}"/>
    <cellStyle name="Style 139 2 4 3" xfId="8970" xr:uid="{38F06D1C-C2E5-4A91-883B-0DAAA7CC07C9}"/>
    <cellStyle name="Style 139 2 5" xfId="1458" xr:uid="{1A8DA7E3-B215-414E-9B70-46DB4E6D0D97}"/>
    <cellStyle name="Style 139 2 5 2" xfId="8971" xr:uid="{08E1ECD5-60C3-4E2F-8161-A57E57A5DBDC}"/>
    <cellStyle name="Style 139 2 6" xfId="8972" xr:uid="{A1E7E454-1C6F-4801-8D9A-8C668F79524D}"/>
    <cellStyle name="Style 139 3" xfId="1459" xr:uid="{BAB80783-E052-4340-A9B6-346E20DD686B}"/>
    <cellStyle name="Style 139 3 2" xfId="1460" xr:uid="{A996ED35-FB07-49F0-B13A-62260361B855}"/>
    <cellStyle name="Style 139 3 2 2" xfId="1461" xr:uid="{D1893F3C-ECE4-4504-B2C1-B3D66A849C05}"/>
    <cellStyle name="Style 139 3 2 2 2" xfId="1462" xr:uid="{730F2F8D-014D-40EC-98AD-FD14791935BB}"/>
    <cellStyle name="Style 139 3 2 2 2 2" xfId="1463" xr:uid="{AF2E2113-6680-4D12-A385-66BBABF3F3EA}"/>
    <cellStyle name="Style 139 3 2 2 2 2 2" xfId="8973" xr:uid="{784A66F9-E5DC-4F7B-A43C-E6A791163B8B}"/>
    <cellStyle name="Style 139 3 2 2 2 3" xfId="8974" xr:uid="{80E2A22B-15A4-4E67-835C-4E125FAC149D}"/>
    <cellStyle name="Style 139 3 2 2 3" xfId="1464" xr:uid="{89868D06-CE92-45CF-B356-1C3B83EE5B96}"/>
    <cellStyle name="Style 139 3 2 2 3 2" xfId="8975" xr:uid="{52A47ADC-3D84-494A-88AC-1D152766ACB3}"/>
    <cellStyle name="Style 139 3 2 2 4" xfId="8976" xr:uid="{D2644B60-9E4F-474D-A583-312FB417DB3B}"/>
    <cellStyle name="Style 139 3 2 3" xfId="1465" xr:uid="{7AF63E38-F621-4B10-88D6-F55BA3230775}"/>
    <cellStyle name="Style 139 3 2 3 2" xfId="1466" xr:uid="{FB6DC32B-54FD-4912-B45F-A66D95BA7C29}"/>
    <cellStyle name="Style 139 3 2 3 2 2" xfId="8977" xr:uid="{62270D1F-BF94-4617-823B-944D21C25EE4}"/>
    <cellStyle name="Style 139 3 2 3 3" xfId="8978" xr:uid="{BBCCB08C-324F-462A-8106-96B005081679}"/>
    <cellStyle name="Style 139 3 2 4" xfId="1467" xr:uid="{4DEF0F65-9BF0-4DB9-994F-BE15EEAF9389}"/>
    <cellStyle name="Style 139 3 2 4 2" xfId="8979" xr:uid="{80448372-41A0-4831-9B28-7D42893F6E01}"/>
    <cellStyle name="Style 139 3 2 5" xfId="8980" xr:uid="{FEAABB3C-BE6D-4FBA-BD67-38FAF616C0E3}"/>
    <cellStyle name="Style 139 3 3" xfId="1468" xr:uid="{5C1B0AD4-7F2C-4D00-A806-FDAD30AD75FE}"/>
    <cellStyle name="Style 139 3 3 2" xfId="1469" xr:uid="{83F1E04F-F625-49CF-9EBD-E0418D167745}"/>
    <cellStyle name="Style 139 3 3 2 2" xfId="1470" xr:uid="{CE541A30-42DF-4F9F-8B34-7DD17DDC912E}"/>
    <cellStyle name="Style 139 3 3 2 2 2" xfId="1471" xr:uid="{0894DCD0-DD52-493B-BC85-8222240D9D7D}"/>
    <cellStyle name="Style 139 3 3 2 2 2 2" xfId="8981" xr:uid="{C800FE0E-1999-48F4-BC5C-941E68191D17}"/>
    <cellStyle name="Style 139 3 3 2 2 3" xfId="8982" xr:uid="{3E87F1C2-6667-437C-8938-48119D32308E}"/>
    <cellStyle name="Style 139 3 3 2 3" xfId="1472" xr:uid="{C512D2CA-CFD1-4B4A-8F94-3EB06904A7EC}"/>
    <cellStyle name="Style 139 3 3 2 3 2" xfId="8983" xr:uid="{06822EE4-CB2B-418C-9CB7-E040A69590FD}"/>
    <cellStyle name="Style 139 3 3 2 4" xfId="8984" xr:uid="{F79B1DEB-A31D-4D3D-877D-AF96BE38D677}"/>
    <cellStyle name="Style 139 3 3 3" xfId="1473" xr:uid="{0550605A-D311-46C1-B224-22C792B50099}"/>
    <cellStyle name="Style 139 3 3 3 2" xfId="8985" xr:uid="{910368CD-8077-4BD9-A120-96D5D4008683}"/>
    <cellStyle name="Style 139 3 3 4" xfId="5570" xr:uid="{BC6898B2-7F6D-47DB-A175-FB1AA28A130B}"/>
    <cellStyle name="Style 139 3 3 5" xfId="8986" xr:uid="{99822490-940C-48FB-999B-9D2C453C6D92}"/>
    <cellStyle name="Style 139 3 4" xfId="1474" xr:uid="{F5F42BA4-555E-4133-B505-07DCC0FE9FC8}"/>
    <cellStyle name="Style 139 3 4 2" xfId="1475" xr:uid="{A49D7AD9-19B7-4C3C-92A2-1E87D2C946E8}"/>
    <cellStyle name="Style 139 3 4 2 2" xfId="8987" xr:uid="{B4A99FF0-5795-488F-8BA5-ACBEC083080B}"/>
    <cellStyle name="Style 139 3 4 3" xfId="8988" xr:uid="{A31F4ABF-6901-4FE8-B7C4-0057E396723F}"/>
    <cellStyle name="Style 139 3 5" xfId="1476" xr:uid="{6141FBEA-9144-4FE3-BA5D-9A4166315769}"/>
    <cellStyle name="Style 139 3 5 2" xfId="8989" xr:uid="{9534670B-D9B9-4632-A943-769BC4817A72}"/>
    <cellStyle name="Style 139 3 6" xfId="8990" xr:uid="{23DBD24A-C21F-44F4-9104-2A497AD45F98}"/>
    <cellStyle name="Style 139 4" xfId="1477" xr:uid="{0E972926-B09D-4917-B35F-E3551340DC9E}"/>
    <cellStyle name="Style 139 4 2" xfId="1478" xr:uid="{8AD712F2-95AA-4492-9D8D-99F7260C9896}"/>
    <cellStyle name="Style 139 4 2 2" xfId="1479" xr:uid="{07050BC4-6592-436B-9760-83E82EC52E34}"/>
    <cellStyle name="Style 139 4 2 2 2" xfId="1480" xr:uid="{05A8BD50-8CE6-4E09-AB8A-070FA84A5062}"/>
    <cellStyle name="Style 139 4 2 2 2 2" xfId="8991" xr:uid="{B1E3F557-7CEB-40EA-A14E-4830B2A26EE8}"/>
    <cellStyle name="Style 139 4 2 2 3" xfId="8992" xr:uid="{850628DB-63E0-4590-80A9-244909876546}"/>
    <cellStyle name="Style 139 4 2 3" xfId="1481" xr:uid="{3E60E316-9F04-4301-9580-0DD24E6FC58E}"/>
    <cellStyle name="Style 139 4 2 3 2" xfId="8993" xr:uid="{5C59A086-E453-499E-8371-3F38B61F824D}"/>
    <cellStyle name="Style 139 4 2 4" xfId="8994" xr:uid="{E4173924-B4A9-4DB7-8C29-FAE130E8F57B}"/>
    <cellStyle name="Style 139 4 3" xfId="1482" xr:uid="{28C4487F-9E02-4412-8BF2-8E747038CB25}"/>
    <cellStyle name="Style 139 4 3 2" xfId="8995" xr:uid="{AFC3C844-45A2-431D-A21A-BD3151AF807E}"/>
    <cellStyle name="Style 139 4 4" xfId="5571" xr:uid="{91A9C884-F608-4397-AF11-BA6C3B32D5F7}"/>
    <cellStyle name="Style 139 4 5" xfId="8996" xr:uid="{88467826-24A8-4173-8DA1-F66D824891BD}"/>
    <cellStyle name="Style 139 5" xfId="1483" xr:uid="{B82D35F7-8C6A-414D-8476-AFC83A3A31FE}"/>
    <cellStyle name="Style 139 5 2" xfId="1484" xr:uid="{5525CDD6-4333-4F21-B618-BD41A552DCBD}"/>
    <cellStyle name="Style 139 5 2 2" xfId="8997" xr:uid="{9079D391-74DF-4267-9A5F-2F41D8B78084}"/>
    <cellStyle name="Style 139 5 3" xfId="8998" xr:uid="{B61040C8-56DB-490B-86F8-5E395D5D0D41}"/>
    <cellStyle name="Style 139 6" xfId="1485" xr:uid="{F75D016D-9F79-4847-A4CB-CF347BF27D06}"/>
    <cellStyle name="Style 139 6 2" xfId="4097" xr:uid="{6E20C77C-C980-4598-A1C9-CF22812EF7D3}"/>
    <cellStyle name="Style 139 6 2 2" xfId="5572" xr:uid="{0E0191AD-9967-433D-98A3-9C7208CDDCD4}"/>
    <cellStyle name="Style 139 6 3" xfId="8999" xr:uid="{B32BAD7D-D4D1-4B9A-8EB6-CC97B0478E2F}"/>
    <cellStyle name="Style 139 7" xfId="4096" xr:uid="{EB41C708-9E24-444D-986C-6B82A2AA6903}"/>
    <cellStyle name="Style 139 7 2" xfId="5574" xr:uid="{14577C58-20DA-4F67-B7BF-BAF9999E28B8}"/>
    <cellStyle name="Style 139 7 3" xfId="5573" xr:uid="{F36C8011-1E17-48E7-A4DA-AFC7799AA7B0}"/>
    <cellStyle name="Style 139 8" xfId="5575" xr:uid="{AB2ED454-F570-4B45-9DB0-DA18DEF3A193}"/>
    <cellStyle name="Style 139 9" xfId="9000" xr:uid="{06B0436E-FB86-4422-8FFF-960B17FC51F8}"/>
    <cellStyle name="Style 139 9 2" xfId="26566" xr:uid="{E5F180D7-C138-477B-A277-DDAB5DB846F6}"/>
    <cellStyle name="Style 139_ADDON" xfId="25770" xr:uid="{3A36A642-1E70-4B3B-B8A4-5471C1DCE926}"/>
    <cellStyle name="Style 140" xfId="1486" xr:uid="{AE3CAE96-F479-486B-B360-0258408A8BF8}"/>
    <cellStyle name="Style 140 10" xfId="22968" xr:uid="{2AFE73D2-87B0-42CA-8E30-2B10233FB051}"/>
    <cellStyle name="Style 140 2" xfId="1487" xr:uid="{17105ABD-ABCB-42D3-8D5B-AD1500B8B0A4}"/>
    <cellStyle name="Style 140 2 2" xfId="9001" xr:uid="{4144C789-13EF-42BC-BDB2-C854B8F871BF}"/>
    <cellStyle name="Style 140 2 2 2" xfId="28879" xr:uid="{C0E79698-0B5F-417B-86AE-9B8AF9E866A9}"/>
    <cellStyle name="Style 140 2 3" xfId="22969" xr:uid="{13D6B116-1DEF-4A02-A723-2AA3288713CB}"/>
    <cellStyle name="Style 140 3" xfId="1488" xr:uid="{67C0B6CB-A8DE-4D98-B6CA-1EF8D870301C}"/>
    <cellStyle name="Style 140 3 2" xfId="1489" xr:uid="{F357998B-E6A2-4CDA-97B3-7D08935621C5}"/>
    <cellStyle name="Style 140 3 2 2" xfId="22971" xr:uid="{9EDEBBB0-A7D2-4E19-BB66-B616C7049B96}"/>
    <cellStyle name="Style 140 3 3" xfId="1490" xr:uid="{8436D3BE-A465-4BCC-8198-6EE0FD30BE2E}"/>
    <cellStyle name="Style 140 3 3 2" xfId="1491" xr:uid="{089BAAE2-C43B-4B3C-80D7-42C065A63F29}"/>
    <cellStyle name="Style 140 3 3 2 2" xfId="22973" xr:uid="{AC5679A8-B879-4C82-8E69-EDA3AA3AE5F3}"/>
    <cellStyle name="Style 140 3 3 3" xfId="5576" xr:uid="{02C2306E-B0A8-455E-AA87-45B78E2B11A8}"/>
    <cellStyle name="Style 140 3 3 3 2" xfId="22974" xr:uid="{D7EB7D32-4433-42DA-952D-332F72C85672}"/>
    <cellStyle name="Style 140 3 3 4" xfId="5577" xr:uid="{881FCCDF-0E3C-424C-AA5A-87220D80527E}"/>
    <cellStyle name="Style 140 3 3 4 2" xfId="24505" xr:uid="{36AFA06C-1C24-428A-9C23-4C66B1B4408D}"/>
    <cellStyle name="Style 140 3 3 5" xfId="22972" xr:uid="{E711C8F7-C0A1-498A-B4F4-8516D1CD0D43}"/>
    <cellStyle name="Style 140 3 4" xfId="1492" xr:uid="{806DCE82-221C-49FA-82A4-B4AAE309FF74}"/>
    <cellStyle name="Style 140 3 4 2" xfId="1493" xr:uid="{059791BE-E318-41B5-AB5E-5261383283EA}"/>
    <cellStyle name="Style 140 3 4 2 2" xfId="22976" xr:uid="{DE0998B7-5E6C-4EC2-9782-3FF1E2CD58C9}"/>
    <cellStyle name="Style 140 3 4 3" xfId="22975" xr:uid="{326C33A2-F7FD-4FD6-8059-02F6FA8D572D}"/>
    <cellStyle name="Style 140 3 5" xfId="5578" xr:uid="{13BFC0BD-D1E7-43C8-BCE1-F52C66D66AC1}"/>
    <cellStyle name="Style 140 3 5 2" xfId="24506" xr:uid="{4259C0C2-F058-422D-9ECA-0B12611A01AE}"/>
    <cellStyle name="Style 140 3 6" xfId="22970" xr:uid="{3A22C751-5011-47DF-BFFB-7FE4351E0EB3}"/>
    <cellStyle name="Style 140 4" xfId="1494" xr:uid="{16AD95FC-7E32-452F-B867-8752698860BE}"/>
    <cellStyle name="Style 140 4 2" xfId="1495" xr:uid="{4B92007C-D7EF-4019-9638-FA4441FFF3A9}"/>
    <cellStyle name="Style 140 4 2 2" xfId="22978" xr:uid="{13398F9B-F4ED-4703-B68E-1517F5D15178}"/>
    <cellStyle name="Style 140 4 3" xfId="5579" xr:uid="{B8AECABB-7309-4F99-8D44-858CACD16BED}"/>
    <cellStyle name="Style 140 4 3 2" xfId="22979" xr:uid="{D1DADB11-1A2E-4A96-A66E-C25C141C12A5}"/>
    <cellStyle name="Style 140 4 4" xfId="5580" xr:uid="{C1E94BAF-63D2-4560-BA2D-8306406AE722}"/>
    <cellStyle name="Style 140 4 4 2" xfId="24507" xr:uid="{5AAF361A-721E-4360-A322-E21F3FD87946}"/>
    <cellStyle name="Style 140 4 5" xfId="22977" xr:uid="{91949369-020C-4063-AD8B-C1B971CEE060}"/>
    <cellStyle name="Style 140 5" xfId="1496" xr:uid="{30A9AD61-B18A-437A-9D8C-3DA997F69A75}"/>
    <cellStyle name="Style 140 5 2" xfId="1497" xr:uid="{099A2C50-C7A4-4121-97C0-6B4A2B172E02}"/>
    <cellStyle name="Style 140 5 2 2" xfId="22981" xr:uid="{3D86659A-9897-4378-AF88-8E122CF45399}"/>
    <cellStyle name="Style 140 5 3" xfId="22980" xr:uid="{FB628A4F-DB0C-4260-A3C0-35A8F760C684}"/>
    <cellStyle name="Style 140 6" xfId="1498" xr:uid="{A8D2F099-44C6-4250-916C-A9F31F8D9F38}"/>
    <cellStyle name="Style 140 6 2" xfId="1499" xr:uid="{A2A5F182-AD8C-474E-97CF-882649C8A213}"/>
    <cellStyle name="Style 140 6 2 2" xfId="24508" xr:uid="{8A1EBF38-35EF-4961-BB37-21FB4787CE19}"/>
    <cellStyle name="Style 140 6 3" xfId="4099" xr:uid="{2F4F5B92-97D6-4E9A-92D1-25B1FF6C7472}"/>
    <cellStyle name="Style 140 6 3 2" xfId="28318" xr:uid="{077AD507-547B-4FB2-B8C5-63F642A28A67}"/>
    <cellStyle name="Style 140 6 4" xfId="22982" xr:uid="{4609B2A2-DFDD-461E-A6ED-AA92504D3004}"/>
    <cellStyle name="Style 140 7" xfId="4098" xr:uid="{74E4DA57-991E-4976-AAD1-58B6621F1306}"/>
    <cellStyle name="Style 140 7 2" xfId="5582" xr:uid="{351AA59D-37E8-4736-AF63-17123EFCB7BB}"/>
    <cellStyle name="Style 140 7 2 2" xfId="24509" xr:uid="{775836FC-7EDE-49FC-8718-96066EBA425F}"/>
    <cellStyle name="Style 140 7 3" xfId="5581" xr:uid="{41FC49E2-4AE6-444D-BEB4-0886A62AC38E}"/>
    <cellStyle name="Style 140 7 3 2" xfId="40715" xr:uid="{FE997262-087A-4308-A09A-FD1D22F8D41A}"/>
    <cellStyle name="Style 140 7 4" xfId="22983" xr:uid="{76CAA9B5-A205-4979-9C83-12CE73BD6A49}"/>
    <cellStyle name="Style 140 8" xfId="5583" xr:uid="{AD87C896-3147-4E40-9EDB-C142492CE32B}"/>
    <cellStyle name="Style 140 8 2" xfId="24510" xr:uid="{DACA4F87-15AF-4E27-8A3E-8AB7D2ED709B}"/>
    <cellStyle name="Style 140 9" xfId="9002" xr:uid="{50B1A186-6419-4BE7-B931-FE8F1C57692B}"/>
    <cellStyle name="Style 140 9 2" xfId="26567" xr:uid="{29CD1E0C-C909-4B76-B97C-38C668F0D3CB}"/>
    <cellStyle name="Style 140_ADDON" xfId="25737" xr:uid="{ED730F85-790C-4456-A107-E49604C686D2}"/>
    <cellStyle name="Style 141" xfId="1500" xr:uid="{D3DDF46C-DB68-4AF1-8FE1-C5D70CC17367}"/>
    <cellStyle name="Style 141 10" xfId="1501" xr:uid="{D4B3D0FB-1D4B-4938-B94E-71CF07CD62DE}"/>
    <cellStyle name="Style 141 10 2" xfId="1502" xr:uid="{8AFF0B5E-88BC-4AD5-910B-8A8342EE0BFD}"/>
    <cellStyle name="Style 141 10 2 2" xfId="5584" xr:uid="{135A02F2-88FE-4181-974E-8B9ED20F3D82}"/>
    <cellStyle name="Style 141 10 2 2 2" xfId="27289" xr:uid="{7563CF9C-D343-4164-9F7E-343FF1B04F9B}"/>
    <cellStyle name="Style 141 10 2 3" xfId="24511" xr:uid="{B1C3D40E-57C4-440C-B38A-12BF74098A91}"/>
    <cellStyle name="Style 141 10 3" xfId="4100" xr:uid="{DA58FF3C-C809-470A-A93D-0EA95F376131}"/>
    <cellStyle name="Style 141 10 3 2" xfId="27288" xr:uid="{9FD30D22-A79B-4D01-9F4E-0EF0404E588B}"/>
    <cellStyle name="Style 141 10 4" xfId="22985" xr:uid="{69D94A13-0849-4909-A5EE-44B1A9E001A3}"/>
    <cellStyle name="Style 141 11" xfId="1503" xr:uid="{E91A422A-D7A6-4C4A-83AC-3492AEF4C73B}"/>
    <cellStyle name="Style 141 11 2" xfId="1504" xr:uid="{6AF71ADC-7D5E-4A23-9EB1-8CFC6501528A}"/>
    <cellStyle name="Style 141 11 2 2" xfId="5586" xr:uid="{936EC91B-B94E-42EA-8168-118DBD9BABFF}"/>
    <cellStyle name="Style 141 11 2 2 2" xfId="27291" xr:uid="{9287352B-CD8F-4220-91E8-E4F6F5A093AE}"/>
    <cellStyle name="Style 141 11 2 3" xfId="24512" xr:uid="{343EB92C-1EEA-4291-BB70-5C28E48D99A5}"/>
    <cellStyle name="Style 141 11 3" xfId="5585" xr:uid="{79F6A30C-62F9-4953-AB86-0D7F69BBE45B}"/>
    <cellStyle name="Style 141 11 3 2" xfId="27290" xr:uid="{438EBAE2-8950-4F05-91D2-64EDCA37F893}"/>
    <cellStyle name="Style 141 11 4" xfId="22986" xr:uid="{FF1B099B-1B46-49B5-B427-40B035A46355}"/>
    <cellStyle name="Style 141 12" xfId="1505" xr:uid="{8C0F9E4A-F503-4EDA-A7A3-44808D485B49}"/>
    <cellStyle name="Style 141 12 2" xfId="5587" xr:uid="{2BA53925-5978-48F4-94D9-FE221DA3F95C}"/>
    <cellStyle name="Style 141 12 2 2" xfId="27292" xr:uid="{2BBC58D6-F69A-480C-93E3-F9029A3331A4}"/>
    <cellStyle name="Style 141 12 3" xfId="9003" xr:uid="{03531EE5-34DF-4FBB-A3AC-B9C1C458C0A6}"/>
    <cellStyle name="Style 141 12 3 2" xfId="28880" xr:uid="{391181A1-7790-4180-8FEB-5EE8F58F4D19}"/>
    <cellStyle name="Style 141 12 4" xfId="9004" xr:uid="{A2097C21-F095-4495-BE3A-C4C4F9CE1A1F}"/>
    <cellStyle name="Style 141 12 4 2" xfId="28881" xr:uid="{A2DA6DB9-3BD7-40E4-924C-3FCDEC02F618}"/>
    <cellStyle name="Style 141 12 5" xfId="9005" xr:uid="{66B2C5CD-D4E5-4092-AA3D-49A0215E97E1}"/>
    <cellStyle name="Style 141 12 5 2" xfId="28882" xr:uid="{4D6EAEF8-9FA3-498C-B1B4-BAEA97619908}"/>
    <cellStyle name="Style 141 12 6" xfId="9006" xr:uid="{9C266ECB-6D94-4C9D-AEB7-67530FAF54BF}"/>
    <cellStyle name="Style 141 12 6 2" xfId="28883" xr:uid="{CC42EAD4-899B-4906-8948-40E426AC4A12}"/>
    <cellStyle name="Style 141 12 7" xfId="24513" xr:uid="{456B4D8D-C65B-4D3D-814B-BA5DD90D5CAA}"/>
    <cellStyle name="Style 141 13" xfId="9007" xr:uid="{A3360357-B6AF-4F26-9436-EA51A2ABA198}"/>
    <cellStyle name="Style 141 13 2" xfId="9008" xr:uid="{60E99F26-FEDE-45EF-B1F6-CA7F8F009E61}"/>
    <cellStyle name="Style 141 13 2 2" xfId="28884" xr:uid="{5DF9BACC-13BB-46AD-8CF1-3E5212DDCA83}"/>
    <cellStyle name="Style 141 13 3" xfId="9009" xr:uid="{16DAD661-A1CA-4663-8C1F-CAA1DD53692A}"/>
    <cellStyle name="Style 141 13 3 2" xfId="28885" xr:uid="{60BA866A-7513-4974-ADDB-F4375E7A68DA}"/>
    <cellStyle name="Style 141 13 4" xfId="26568" xr:uid="{1ACE2312-BABE-48A4-8E8A-5B30B49A2CBA}"/>
    <cellStyle name="Style 141 14" xfId="9010" xr:uid="{254F3223-C848-4AB7-BEE2-800B32D4DB78}"/>
    <cellStyle name="Style 141 14 2" xfId="9011" xr:uid="{67FD2C1F-45E3-410A-B3DB-B34BF97944E3}"/>
    <cellStyle name="Style 141 14 2 2" xfId="28887" xr:uid="{F0F0D7F5-27A8-4062-8EC2-07EE42BF688F}"/>
    <cellStyle name="Style 141 14 3" xfId="28886" xr:uid="{E936242B-CEDC-4AEA-9B64-0356697DB928}"/>
    <cellStyle name="Style 141 15" xfId="9012" xr:uid="{AC75CF24-76E4-4117-A740-F927151CB789}"/>
    <cellStyle name="Style 141 15 2" xfId="9013" xr:uid="{CB8FB7C9-1D6F-475B-A213-89AE00000C8D}"/>
    <cellStyle name="Style 141 15 2 2" xfId="28889" xr:uid="{6BA4E18E-0BAD-49C9-896A-67773A2DE7DB}"/>
    <cellStyle name="Style 141 15 3" xfId="28888" xr:uid="{8AE34352-1F55-443E-9CEF-651C1BEE7DFF}"/>
    <cellStyle name="Style 141 16" xfId="22984" xr:uid="{8A1ACC4B-E227-46F7-8679-239913ED3D7D}"/>
    <cellStyle name="Style 141 2" xfId="1506" xr:uid="{03D460F2-4BBB-4BE6-8CD3-54160B5F8B1D}"/>
    <cellStyle name="Style 141 2 2" xfId="4360" xr:uid="{F365ED6E-5E13-452F-9905-B8E4E0883939}"/>
    <cellStyle name="Style 141 2 2 2" xfId="26569" xr:uid="{ED7DE09C-1CE5-4EA9-9F0A-D2BC0C95424A}"/>
    <cellStyle name="Style 141 2 3" xfId="22987" xr:uid="{5028502C-BF35-4395-AA30-F3FD1BE6E9DE}"/>
    <cellStyle name="Style 141 3" xfId="1507" xr:uid="{B12B5375-B00B-4153-92BA-CF38938F134F}"/>
    <cellStyle name="Style 141 3 2" xfId="1508" xr:uid="{0A6B76D2-A94A-4560-AB40-DC20C829D478}"/>
    <cellStyle name="Style 141 3 2 2" xfId="1509" xr:uid="{B6F3F203-6E34-4C27-BF19-E784B6AA45C7}"/>
    <cellStyle name="Style 141 3 2 2 2" xfId="5588" xr:uid="{2BABE922-AF64-4E2A-9A74-5047837735CE}"/>
    <cellStyle name="Style 141 3 2 2 2 2" xfId="27293" xr:uid="{EDEA5995-66F3-43EF-BC1C-4EB544DC6A1B}"/>
    <cellStyle name="Style 141 3 2 2 3" xfId="22990" xr:uid="{B9A14067-4860-44A8-96D0-DAFA31DABC25}"/>
    <cellStyle name="Style 141 3 2 3" xfId="4362" xr:uid="{A0FA0ED7-F26F-4B3E-BD47-EB214B42039C}"/>
    <cellStyle name="Style 141 3 2 3 2" xfId="26571" xr:uid="{D6ED2E15-4D13-429D-9723-1E6D1479D935}"/>
    <cellStyle name="Style 141 3 2 4" xfId="22989" xr:uid="{A034CAE0-A55D-4468-A433-3CCB645233A3}"/>
    <cellStyle name="Style 141 3 3" xfId="1510" xr:uid="{F6F4A5B6-EBB9-45A6-A659-0D81BFF4AE23}"/>
    <cellStyle name="Style 141 3 3 2" xfId="1511" xr:uid="{5B16CD7F-809A-4DE7-AD03-4164C3A2CBF0}"/>
    <cellStyle name="Style 141 3 3 2 2" xfId="5590" xr:uid="{546651B9-608A-4B0B-B2E2-CC9A0D6167D3}"/>
    <cellStyle name="Style 141 3 3 2 2 2" xfId="27295" xr:uid="{F470CB1B-694D-4F41-8E10-32114B30DFE7}"/>
    <cellStyle name="Style 141 3 3 2 3" xfId="22992" xr:uid="{51C55798-9C60-4FD6-B192-7D62E196F7B9}"/>
    <cellStyle name="Style 141 3 3 3" xfId="1512" xr:uid="{68DDB979-F178-41A4-AFBF-913D044F80FC}"/>
    <cellStyle name="Style 141 3 3 3 2" xfId="1513" xr:uid="{CA221889-9408-451D-B611-E5C512B17C45}"/>
    <cellStyle name="Style 141 3 3 3 2 2" xfId="5592" xr:uid="{D3D47550-4891-4C98-BEF0-94AE75E9792D}"/>
    <cellStyle name="Style 141 3 3 3 2 2 2" xfId="27297" xr:uid="{C7781BBA-DB52-4AC6-A866-C38D43BAD796}"/>
    <cellStyle name="Style 141 3 3 3 2 3" xfId="22994" xr:uid="{7790C571-5D73-4280-8A8C-999E6ED78A0B}"/>
    <cellStyle name="Style 141 3 3 3 3" xfId="5593" xr:uid="{031DC76F-41F9-4914-A491-3EF4DB5B1BEE}"/>
    <cellStyle name="Style 141 3 3 3 3 2" xfId="22995" xr:uid="{E7580D46-F018-4ED8-AA33-FF9BAA9E1746}"/>
    <cellStyle name="Style 141 3 3 3 4" xfId="5594" xr:uid="{FAA9DC7E-863C-4442-BEDE-99BF11D84CEE}"/>
    <cellStyle name="Style 141 3 3 3 4 2" xfId="24514" xr:uid="{7AD4B978-5A4E-4653-960C-CCFD896176E1}"/>
    <cellStyle name="Style 141 3 3 3 5" xfId="5591" xr:uid="{C5078AE2-DC3B-4FF2-9277-A1C64BCE16C7}"/>
    <cellStyle name="Style 141 3 3 3 5 2" xfId="27296" xr:uid="{E17424AF-99F7-48F4-9107-0855A318B481}"/>
    <cellStyle name="Style 141 3 3 3 6" xfId="22993" xr:uid="{ED7B2A47-E0AB-4430-963B-FA1D2DE079B4}"/>
    <cellStyle name="Style 141 3 3 4" xfId="1514" xr:uid="{467747B2-8C83-4C0B-8267-CBAEF89AD0B9}"/>
    <cellStyle name="Style 141 3 3 4 2" xfId="1515" xr:uid="{74A56739-4BA4-4739-93AD-277E117A44F2}"/>
    <cellStyle name="Style 141 3 3 4 2 2" xfId="5596" xr:uid="{59768857-1A91-4C0D-9F23-A16FB4F91CBC}"/>
    <cellStyle name="Style 141 3 3 4 2 2 2" xfId="27299" xr:uid="{5C728C30-1FA0-4F92-98ED-40F1CFA58E18}"/>
    <cellStyle name="Style 141 3 3 4 2 3" xfId="22997" xr:uid="{D1B54F2D-11D0-4052-9726-CB9FB190B4F5}"/>
    <cellStyle name="Style 141 3 3 4 3" xfId="5595" xr:uid="{41E8CD98-B49F-444D-BB99-34E71F765427}"/>
    <cellStyle name="Style 141 3 3 4 3 2" xfId="27298" xr:uid="{51BA3A91-C0EA-406A-8466-9C30121D0004}"/>
    <cellStyle name="Style 141 3 3 4 4" xfId="22996" xr:uid="{62A9E7B6-58BD-464A-98CE-9D056FC58173}"/>
    <cellStyle name="Style 141 3 3 5" xfId="5597" xr:uid="{28343DF4-8DA6-4FC1-8F16-B040072065A6}"/>
    <cellStyle name="Style 141 3 3 5 2" xfId="24515" xr:uid="{7901C8CE-6C5C-45D3-B365-3FA59807D897}"/>
    <cellStyle name="Style 141 3 3 6" xfId="5589" xr:uid="{87E901B4-4EE1-436A-9D53-58EBF41E5136}"/>
    <cellStyle name="Style 141 3 3 6 2" xfId="27294" xr:uid="{496C3E46-0FE9-490F-A0F8-98D7F8F7D8D0}"/>
    <cellStyle name="Style 141 3 3 7" xfId="22991" xr:uid="{CC1D2833-A9F0-4F6F-8C5F-CFBE9DB71B2F}"/>
    <cellStyle name="Style 141 3 4" xfId="1516" xr:uid="{886DC0D2-2950-4FB7-B317-1F4388CDDB98}"/>
    <cellStyle name="Style 141 3 4 2" xfId="5599" xr:uid="{BE50B29B-B4C1-4114-9C9D-EEA2E79A2680}"/>
    <cellStyle name="Style 141 3 4 2 2" xfId="22999" xr:uid="{C2E65605-372B-4873-857F-ADE6FD9C6E79}"/>
    <cellStyle name="Style 141 3 4 3" xfId="5600" xr:uid="{330AD141-CB05-4A67-B2DB-582A5DF09067}"/>
    <cellStyle name="Style 141 3 4 3 2" xfId="24516" xr:uid="{8C383511-FEEA-4FA7-A3C6-471C487B040E}"/>
    <cellStyle name="Style 141 3 4 4" xfId="5598" xr:uid="{7E4C4581-2455-4705-9639-E593BDBD5EB6}"/>
    <cellStyle name="Style 141 3 4 4 2" xfId="27300" xr:uid="{7938A6DF-3087-458B-9C67-0DA03EEF75AA}"/>
    <cellStyle name="Style 141 3 4 5" xfId="22998" xr:uid="{1577CF5F-ED4B-4E8E-A299-521BD5FF7870}"/>
    <cellStyle name="Style 141 3 5" xfId="5601" xr:uid="{51AB43DA-800E-4389-A3F0-D1436D5A31D6}"/>
    <cellStyle name="Style 141 3 5 2" xfId="9014" xr:uid="{7948B397-4EC4-4919-987C-F9EAA2F5FF50}"/>
    <cellStyle name="Style 141 3 5 2 2" xfId="27301" xr:uid="{D7D1E585-29F6-4EA8-B256-2B7E617CB806}"/>
    <cellStyle name="Style 141 3 5 3" xfId="23000" xr:uid="{F79D686F-F544-42A1-9BAA-0B342185A0F9}"/>
    <cellStyle name="Style 141 3 6" xfId="4361" xr:uid="{9BA3BD87-A5DF-4227-96E0-7EB4EA8D3AED}"/>
    <cellStyle name="Style 141 3 6 2" xfId="26570" xr:uid="{396F09A2-20E5-442C-84D9-33F3665ADA4A}"/>
    <cellStyle name="Style 141 3 7" xfId="22988" xr:uid="{1D68062E-6D21-49C3-8FA9-786ACE023ACE}"/>
    <cellStyle name="Style 141 4" xfId="1517" xr:uid="{553F026E-24DB-41FF-93CA-D9FA69934ECF}"/>
    <cellStyle name="Style 141 4 2" xfId="1518" xr:uid="{A6AD71EF-B009-41AE-87CE-C6887F2ECCDB}"/>
    <cellStyle name="Style 141 4 2 2" xfId="1519" xr:uid="{73BC8612-6435-414A-A8DC-189BD0A07236}"/>
    <cellStyle name="Style 141 4 2 2 2" xfId="5604" xr:uid="{FEA4B188-B45A-4F1E-A034-476190A60A7D}"/>
    <cellStyle name="Style 141 4 2 2 2 2" xfId="27303" xr:uid="{595C0FC3-C02B-46F8-AA68-2F33A88D197C}"/>
    <cellStyle name="Style 141 4 2 2 3" xfId="23003" xr:uid="{E00B6C40-90E7-4325-AA3D-E8F488A916F8}"/>
    <cellStyle name="Style 141 4 2 3" xfId="1520" xr:uid="{33452E73-9FCE-4793-95F4-C4271FFFC1CC}"/>
    <cellStyle name="Style 141 4 2 3 2" xfId="1521" xr:uid="{8BEF8AFA-815C-4E89-A2A6-DDC946E72BB5}"/>
    <cellStyle name="Style 141 4 2 3 2 2" xfId="5606" xr:uid="{58145227-FAEB-45A1-A24B-2121BC0145F8}"/>
    <cellStyle name="Style 141 4 2 3 2 2 2" xfId="27305" xr:uid="{4C740506-3201-442F-A5A1-3E55EA98022F}"/>
    <cellStyle name="Style 141 4 2 3 2 3" xfId="23005" xr:uid="{7E375EB3-3226-42EC-A938-77CD8BB585B6}"/>
    <cellStyle name="Style 141 4 2 3 3" xfId="5607" xr:uid="{BEDA9D77-6F46-4E5B-91AE-815A52D15DDD}"/>
    <cellStyle name="Style 141 4 2 3 3 2" xfId="23006" xr:uid="{57D3045C-C268-4B40-B993-3D36847F13A6}"/>
    <cellStyle name="Style 141 4 2 3 4" xfId="5608" xr:uid="{986D5EBA-58C3-4869-8CE9-E6B4EB2572B3}"/>
    <cellStyle name="Style 141 4 2 3 4 2" xfId="24517" xr:uid="{7474477B-4ED9-406D-A6B7-1D8C8CA13582}"/>
    <cellStyle name="Style 141 4 2 3 5" xfId="5605" xr:uid="{4C29968F-279E-42B2-91B6-316FB345203B}"/>
    <cellStyle name="Style 141 4 2 3 5 2" xfId="27304" xr:uid="{501D0062-575D-40AA-8FD9-033E50723425}"/>
    <cellStyle name="Style 141 4 2 3 6" xfId="23004" xr:uid="{D3CAA2B8-9749-4476-BB6A-70156F91C6AC}"/>
    <cellStyle name="Style 141 4 2 4" xfId="1522" xr:uid="{D776645B-C270-4822-A889-BD7D21854280}"/>
    <cellStyle name="Style 141 4 2 4 2" xfId="1523" xr:uid="{DCD10D65-6F35-47C2-ADF3-19CE77AF62C9}"/>
    <cellStyle name="Style 141 4 2 4 2 2" xfId="5610" xr:uid="{FE9B8C41-90B3-41C9-BDF3-D73136E2E2A9}"/>
    <cellStyle name="Style 141 4 2 4 2 2 2" xfId="27307" xr:uid="{35C0EC65-9132-447C-B77E-FFA441481571}"/>
    <cellStyle name="Style 141 4 2 4 2 3" xfId="23008" xr:uid="{EEEFD92C-C8BE-4405-BBFC-32E435470B0F}"/>
    <cellStyle name="Style 141 4 2 4 3" xfId="5609" xr:uid="{FC8190FB-82C5-4E9D-A468-3DDBEA1DB23E}"/>
    <cellStyle name="Style 141 4 2 4 3 2" xfId="27306" xr:uid="{D66FDD34-A970-4942-A07D-0F98D4ADB81A}"/>
    <cellStyle name="Style 141 4 2 4 4" xfId="23007" xr:uid="{13C04A99-9757-440D-9E56-306A7699696C}"/>
    <cellStyle name="Style 141 4 2 5" xfId="5611" xr:uid="{235EF9EC-B637-477A-8025-E915E9423B8C}"/>
    <cellStyle name="Style 141 4 2 5 2" xfId="24518" xr:uid="{474A719F-5243-4EA6-8466-577168866F40}"/>
    <cellStyle name="Style 141 4 2 6" xfId="5603" xr:uid="{F5598E84-6726-4B51-BFA0-B9E10962F7F8}"/>
    <cellStyle name="Style 141 4 2 6 2" xfId="27302" xr:uid="{7FB251D6-9EE2-47B6-91BC-C917CFF8ED11}"/>
    <cellStyle name="Style 141 4 2 7" xfId="23002" xr:uid="{13CCFC1A-F340-405B-85E7-CC944CB0ABFB}"/>
    <cellStyle name="Style 141 4 3" xfId="1524" xr:uid="{A30E923B-738C-4882-AC85-F44E553426BF}"/>
    <cellStyle name="Style 141 4 3 2" xfId="5612" xr:uid="{7F4B0F2A-997F-48F9-9A06-72FE11CE6FED}"/>
    <cellStyle name="Style 141 4 3 2 2" xfId="27308" xr:uid="{E01AED24-FC47-460D-9E8B-1C450A53A66E}"/>
    <cellStyle name="Style 141 4 3 3" xfId="23009" xr:uid="{39D468BB-A95D-4596-980F-39086688E8D4}"/>
    <cellStyle name="Style 141 4 4" xfId="5613" xr:uid="{F9D5CD1F-BAFA-450A-9EF3-83FD0E5DDE84}"/>
    <cellStyle name="Style 141 4 4 2" xfId="5614" xr:uid="{330A685D-78AD-4F7A-8D30-65673E527D61}"/>
    <cellStyle name="Style 141 4 4 2 2" xfId="24519" xr:uid="{27223824-F6BA-47B0-AC36-FE06C28F0019}"/>
    <cellStyle name="Style 141 4 4 3" xfId="23010" xr:uid="{9A17DD6F-9B3C-4E66-9C0C-8C69DD2AD024}"/>
    <cellStyle name="Style 141 4 5" xfId="5602" xr:uid="{4A9170A0-7721-46AB-BC4A-814B8DD43BC6}"/>
    <cellStyle name="Style 141 4 5 2" xfId="25929" xr:uid="{66FFB112-1397-404F-A836-A0CC01426ED9}"/>
    <cellStyle name="Style 141 4 6" xfId="4363" xr:uid="{5804646B-AD28-43B3-AA39-2A921E56E2FF}"/>
    <cellStyle name="Style 141 4 6 2" xfId="26572" xr:uid="{3EED99BD-BCF0-4AA9-AA76-92BFAE42B9EB}"/>
    <cellStyle name="Style 141 4 7" xfId="23001" xr:uid="{676F35CC-90F6-4B81-BDC0-ECA12A20EB7F}"/>
    <cellStyle name="Style 141 5" xfId="1525" xr:uid="{713956CF-FE58-4BD8-8933-8E5A1002BAC4}"/>
    <cellStyle name="Style 141 5 2" xfId="1526" xr:uid="{8F597105-2E21-467C-9E23-8353430FCC9E}"/>
    <cellStyle name="Style 141 5 2 2" xfId="1527" xr:uid="{EAC3590F-8043-4C0B-875B-EB9987EFFF4D}"/>
    <cellStyle name="Style 141 5 2 2 2" xfId="5617" xr:uid="{6D4F77FF-1BFB-478D-9B8B-7F7ADB7FB3E6}"/>
    <cellStyle name="Style 141 5 2 2 2 2" xfId="27310" xr:uid="{E7B5C5CF-F3B6-47F6-8F33-FD65BD97CCA8}"/>
    <cellStyle name="Style 141 5 2 2 3" xfId="23013" xr:uid="{1E85124E-6CEA-4B8E-9A60-33BE78C107F7}"/>
    <cellStyle name="Style 141 5 2 3" xfId="1528" xr:uid="{8D194212-A5CD-40FA-8C37-8C99628994EF}"/>
    <cellStyle name="Style 141 5 2 3 2" xfId="1529" xr:uid="{74FF8231-04FA-4259-BCD1-3346E3EB0A4C}"/>
    <cellStyle name="Style 141 5 2 3 2 2" xfId="5619" xr:uid="{6ED806AA-B737-40D5-85C0-1D248D9E6C51}"/>
    <cellStyle name="Style 141 5 2 3 2 2 2" xfId="27312" xr:uid="{72779918-6788-4454-B8D8-22BA865704F2}"/>
    <cellStyle name="Style 141 5 2 3 2 3" xfId="23015" xr:uid="{CF18588F-49E2-4DBB-A4B2-E3BAFEB6F48F}"/>
    <cellStyle name="Style 141 5 2 3 3" xfId="5620" xr:uid="{BA6F3736-2842-4143-960B-995185EFC13A}"/>
    <cellStyle name="Style 141 5 2 3 3 2" xfId="23016" xr:uid="{83B2BF96-AD96-423A-A3F4-62D0BB1AA21D}"/>
    <cellStyle name="Style 141 5 2 3 4" xfId="5621" xr:uid="{31D78CEB-8556-476A-B695-99DC29ACADB7}"/>
    <cellStyle name="Style 141 5 2 3 4 2" xfId="24520" xr:uid="{5B3366B5-91C8-460C-86CA-5C5926E8CF84}"/>
    <cellStyle name="Style 141 5 2 3 5" xfId="5618" xr:uid="{7113ABDD-9C6B-4607-9E1C-2A7A44D5276D}"/>
    <cellStyle name="Style 141 5 2 3 5 2" xfId="27311" xr:uid="{F494FFAA-388C-4500-A337-4F28C45AC2F2}"/>
    <cellStyle name="Style 141 5 2 3 6" xfId="23014" xr:uid="{1CEA8036-3BF1-40FA-BAF0-FB90904F150F}"/>
    <cellStyle name="Style 141 5 2 4" xfId="1530" xr:uid="{261BEBCD-7935-4939-AB3B-612F6F23AC8B}"/>
    <cellStyle name="Style 141 5 2 4 2" xfId="1531" xr:uid="{16FCAAAB-1A73-45D7-81BD-4265838AD699}"/>
    <cellStyle name="Style 141 5 2 4 2 2" xfId="5623" xr:uid="{521D1C91-E195-44CD-A15E-E6E219729E90}"/>
    <cellStyle name="Style 141 5 2 4 2 2 2" xfId="27314" xr:uid="{E4FBAD4F-DEE9-4E56-8771-41C1C317A99A}"/>
    <cellStyle name="Style 141 5 2 4 2 3" xfId="23018" xr:uid="{52832E5A-27B4-42C7-98B6-2EEB1A511834}"/>
    <cellStyle name="Style 141 5 2 4 3" xfId="5622" xr:uid="{AE289DEA-3D37-4500-B5C5-D81535CD6449}"/>
    <cellStyle name="Style 141 5 2 4 3 2" xfId="27313" xr:uid="{13E02CB6-DB2B-46B2-8BCE-B94A0074DAE2}"/>
    <cellStyle name="Style 141 5 2 4 4" xfId="23017" xr:uid="{32AC34D0-95D5-4EA6-AA39-B106026EB182}"/>
    <cellStyle name="Style 141 5 2 5" xfId="5624" xr:uid="{5546393C-00D6-4A04-9A6B-F87ACF7FD381}"/>
    <cellStyle name="Style 141 5 2 5 2" xfId="24521" xr:uid="{A1EBE9E7-B1BE-4EA9-9275-ADFD3F0C3C52}"/>
    <cellStyle name="Style 141 5 2 6" xfId="5616" xr:uid="{E6C441FD-8E88-4609-9AA5-66F8DC80AFE7}"/>
    <cellStyle name="Style 141 5 2 6 2" xfId="27309" xr:uid="{36D1A1CB-A4CF-4350-96F5-7234C7FC1158}"/>
    <cellStyle name="Style 141 5 2 7" xfId="23012" xr:uid="{18D7BDCF-CF88-4877-9578-BE8B6C149751}"/>
    <cellStyle name="Style 141 5 3" xfId="1532" xr:uid="{569D873E-D82C-4D37-A28C-F9E74C68B640}"/>
    <cellStyle name="Style 141 5 3 2" xfId="5625" xr:uid="{0A48A390-E40E-401E-9511-0DC7E2270889}"/>
    <cellStyle name="Style 141 5 3 2 2" xfId="27315" xr:uid="{2EC38567-B891-4E51-B0DD-CE49C207902B}"/>
    <cellStyle name="Style 141 5 3 3" xfId="23019" xr:uid="{6D84B94D-E656-4FF5-9B61-481A13B45CE9}"/>
    <cellStyle name="Style 141 5 4" xfId="5626" xr:uid="{32A4ECE2-2443-4CAC-A46C-04621D443C44}"/>
    <cellStyle name="Style 141 5 4 2" xfId="5627" xr:uid="{D590A6F7-47AF-4868-AB26-DD98EE0430F9}"/>
    <cellStyle name="Style 141 5 4 2 2" xfId="24522" xr:uid="{483A6CC8-5FE0-422B-A938-20014D0003F7}"/>
    <cellStyle name="Style 141 5 4 3" xfId="23020" xr:uid="{196B82E8-CCDE-4279-A9B4-E9B25EBEEC16}"/>
    <cellStyle name="Style 141 5 5" xfId="5615" xr:uid="{1E1052E1-55AD-4AED-9691-D7AAD40B23C9}"/>
    <cellStyle name="Style 141 5 5 2" xfId="25930" xr:uid="{747D5A10-A0A4-4C7F-A9D6-E1F90F00C187}"/>
    <cellStyle name="Style 141 5 6" xfId="4364" xr:uid="{71A93A79-C55E-4CBB-BFDB-CE6BE3AF6F42}"/>
    <cellStyle name="Style 141 5 6 2" xfId="26573" xr:uid="{508593E6-6D71-4B0C-B5C7-136961D83F6E}"/>
    <cellStyle name="Style 141 5 7" xfId="23011" xr:uid="{2815C2C0-8B3E-49A4-9D23-979E7A0CF6F3}"/>
    <cellStyle name="Style 141 6" xfId="1533" xr:uid="{2D2191A4-C119-4521-8018-E4ECF1E54E0F}"/>
    <cellStyle name="Style 141 6 2" xfId="1534" xr:uid="{217A2A45-43C0-476D-965F-ED3F5B0015B3}"/>
    <cellStyle name="Style 141 6 2 2" xfId="5629" xr:uid="{ECE6E130-E14C-46CE-BEC9-12520FB03F6F}"/>
    <cellStyle name="Style 141 6 2 2 2" xfId="27317" xr:uid="{52B6D861-0504-4F53-A345-2A03D410134D}"/>
    <cellStyle name="Style 141 6 2 3" xfId="23022" xr:uid="{204FF5C4-D714-409E-B8ED-D39564962088}"/>
    <cellStyle name="Style 141 6 3" xfId="1535" xr:uid="{3883E701-1B42-45B4-84EF-EB3DD705D995}"/>
    <cellStyle name="Style 141 6 3 2" xfId="1536" xr:uid="{B1032D0A-8708-466B-8CFE-3A09092A0D01}"/>
    <cellStyle name="Style 141 6 3 2 2" xfId="5631" xr:uid="{0B9DB872-8870-412F-A224-E3855AE6CB9F}"/>
    <cellStyle name="Style 141 6 3 2 2 2" xfId="27319" xr:uid="{2329392B-E2EE-475D-99F7-41091A11C1B0}"/>
    <cellStyle name="Style 141 6 3 2 3" xfId="23024" xr:uid="{6A2979C0-2D0D-4DA1-B459-5D10AB6E24BE}"/>
    <cellStyle name="Style 141 6 3 3" xfId="5632" xr:uid="{EDC1A64D-8834-4678-A460-789EE955E997}"/>
    <cellStyle name="Style 141 6 3 3 2" xfId="23025" xr:uid="{8A0A2A71-828F-49B6-8277-B533767933E3}"/>
    <cellStyle name="Style 141 6 3 4" xfId="5633" xr:uid="{DBD11CF5-F257-4FA4-8801-EFBD670E0C2C}"/>
    <cellStyle name="Style 141 6 3 4 2" xfId="24523" xr:uid="{90FF71A2-FF34-496D-B018-7FD10CCE8537}"/>
    <cellStyle name="Style 141 6 3 5" xfId="5630" xr:uid="{E5113732-F440-4F8F-9BD6-7C24EC29657E}"/>
    <cellStyle name="Style 141 6 3 5 2" xfId="27318" xr:uid="{83B885B5-DE2A-4623-A1AB-B75C71067F42}"/>
    <cellStyle name="Style 141 6 3 6" xfId="23023" xr:uid="{D1BD11D7-25F1-4E5F-A95D-C6C80F11D6FB}"/>
    <cellStyle name="Style 141 6 4" xfId="1537" xr:uid="{AF55A26B-E243-4533-95B4-A63CEA8B1710}"/>
    <cellStyle name="Style 141 6 4 2" xfId="1538" xr:uid="{7E458C27-AF09-4CF1-9F06-1353738009D8}"/>
    <cellStyle name="Style 141 6 4 2 2" xfId="5635" xr:uid="{4B1AC5D5-124C-4412-9080-8A96BAACE46E}"/>
    <cellStyle name="Style 141 6 4 2 2 2" xfId="27321" xr:uid="{189FE8FF-D79E-41CC-BBC5-01D3B54AF723}"/>
    <cellStyle name="Style 141 6 4 2 3" xfId="23027" xr:uid="{13A4B8C9-8EBB-4B63-AD26-2B6A672650BC}"/>
    <cellStyle name="Style 141 6 4 3" xfId="5634" xr:uid="{2243E721-CEA1-4CEB-A3C5-0096D7C82CA3}"/>
    <cellStyle name="Style 141 6 4 3 2" xfId="27320" xr:uid="{916E4572-3D54-48A0-A10F-A8AA30826F19}"/>
    <cellStyle name="Style 141 6 4 4" xfId="23026" xr:uid="{BC406DC9-2149-424D-9A1E-5666418E5563}"/>
    <cellStyle name="Style 141 6 5" xfId="5636" xr:uid="{2E461044-74E1-4790-9D4B-12CA8B118E02}"/>
    <cellStyle name="Style 141 6 5 2" xfId="24524" xr:uid="{17DE9AAE-CD38-42DF-A60A-23329B784EDD}"/>
    <cellStyle name="Style 141 6 6" xfId="5628" xr:uid="{F4A668E6-C44F-4C76-B462-69FE204E2D6D}"/>
    <cellStyle name="Style 141 6 6 2" xfId="27316" xr:uid="{C11AB264-DBF8-444E-9B25-89F4AFF21805}"/>
    <cellStyle name="Style 141 6 7" xfId="23021" xr:uid="{1C0C8958-8510-4CAE-9B8E-7B31FBDC6362}"/>
    <cellStyle name="Style 141 7" xfId="1539" xr:uid="{04AA3A01-2D09-4F3D-A0A5-52DA45FB1257}"/>
    <cellStyle name="Style 141 7 2" xfId="1540" xr:uid="{90DD6225-E375-4CBF-85C6-97385CAA8F38}"/>
    <cellStyle name="Style 141 7 2 2" xfId="5638" xr:uid="{2FBE76BB-2814-41D4-9D09-3C62161C0355}"/>
    <cellStyle name="Style 141 7 2 2 2" xfId="27323" xr:uid="{0F4D9921-992A-4DB6-972E-F5C737E38F8D}"/>
    <cellStyle name="Style 141 7 2 3" xfId="23029" xr:uid="{7253E1EB-D94B-413D-8C4B-32D110A2318E}"/>
    <cellStyle name="Style 141 7 3" xfId="5639" xr:uid="{D886B868-2731-4597-9345-B216E59E2F23}"/>
    <cellStyle name="Style 141 7 3 2" xfId="23030" xr:uid="{D911E6D6-A76A-4C63-91A6-387D2F57C0B8}"/>
    <cellStyle name="Style 141 7 4" xfId="5640" xr:uid="{BA97C58F-CC6E-4506-BABC-AFC07B5FF49F}"/>
    <cellStyle name="Style 141 7 4 2" xfId="24525" xr:uid="{AE249060-8E1F-44AC-8C0B-5C28961E32B5}"/>
    <cellStyle name="Style 141 7 5" xfId="5637" xr:uid="{B5AB6FE7-EB54-4FDC-902A-645514CD7B4A}"/>
    <cellStyle name="Style 141 7 5 2" xfId="27322" xr:uid="{CA5ADFF9-7A18-46C4-AF7A-F6C67B848A07}"/>
    <cellStyle name="Style 141 7 6" xfId="23028" xr:uid="{F34A237A-BC7F-4559-AFBF-E5CBEA180E68}"/>
    <cellStyle name="Style 141 8" xfId="1541" xr:uid="{A6C440D8-7390-471C-9F2C-43ADE65C2B8A}"/>
    <cellStyle name="Style 141 8 2" xfId="1542" xr:uid="{CFD7FD14-2412-4151-9CB2-CC7C9E07E6B3}"/>
    <cellStyle name="Style 141 8 2 2" xfId="5642" xr:uid="{585245B7-0E9F-4890-8C1C-15B1B6EE86B8}"/>
    <cellStyle name="Style 141 8 2 2 2" xfId="27325" xr:uid="{EE7DA421-B56C-4A9E-A5BA-DCBEDB2CCB4B}"/>
    <cellStyle name="Style 141 8 2 3" xfId="23032" xr:uid="{715766A1-6497-46D8-9D15-583335C3DA9D}"/>
    <cellStyle name="Style 141 8 3" xfId="5643" xr:uid="{C29B3A95-2FA0-4E90-9AD1-C478A9DBEB1F}"/>
    <cellStyle name="Style 141 8 3 2" xfId="23033" xr:uid="{7A8F11DA-1C03-4F8C-AADE-22486C370E71}"/>
    <cellStyle name="Style 141 8 4" xfId="5644" xr:uid="{38D91E30-703D-4AEB-8753-D8586A9AEB7F}"/>
    <cellStyle name="Style 141 8 4 2" xfId="24526" xr:uid="{14E2C8B6-7DA8-49BC-B39A-54F6C062FF7E}"/>
    <cellStyle name="Style 141 8 5" xfId="5641" xr:uid="{FA21C85A-D0F3-418D-B0E3-BAB9C01FA55F}"/>
    <cellStyle name="Style 141 8 5 2" xfId="27324" xr:uid="{8FEB7F37-4767-413D-9EFD-2B6C97809D92}"/>
    <cellStyle name="Style 141 8 6" xfId="23031" xr:uid="{2232B8C7-EF36-4AA4-AF3D-3C0C1871072D}"/>
    <cellStyle name="Style 141 9" xfId="1543" xr:uid="{4BF2A528-7C56-4F35-B374-DFA4C95B52E2}"/>
    <cellStyle name="Style 141 9 2" xfId="1544" xr:uid="{85222410-EB57-4718-9841-1A7738F4B6D4}"/>
    <cellStyle name="Style 141 9 2 2" xfId="5645" xr:uid="{2F639D06-4B6F-4011-AF20-3D2070FBDD2F}"/>
    <cellStyle name="Style 141 9 2 2 2" xfId="27327" xr:uid="{856BB590-D28A-4618-A1BE-1AEBC19F81F6}"/>
    <cellStyle name="Style 141 9 2 3" xfId="24527" xr:uid="{CC53F589-959C-42C6-8A48-628F1ADAC2C0}"/>
    <cellStyle name="Style 141 9 3" xfId="4101" xr:uid="{E1E04A2A-0764-4B1E-BC46-0A52BA17518F}"/>
    <cellStyle name="Style 141 9 3 2" xfId="27326" xr:uid="{CB3A6D36-FDD8-4F59-AFD5-0FE5F71688D1}"/>
    <cellStyle name="Style 141 9 4" xfId="23034" xr:uid="{0A5E1596-BCC1-415C-8812-7F44B245D2CF}"/>
    <cellStyle name="Style 141_ADDON" xfId="25771" xr:uid="{A65B461F-18D6-4500-AD0D-DAC3929E456F}"/>
    <cellStyle name="Style 142" xfId="1545" xr:uid="{5A2A14E9-D6D8-49BE-B3E9-7014D6B594EF}"/>
    <cellStyle name="Style 142 2" xfId="1546" xr:uid="{E939AE2E-ED24-4D2F-9FB9-52496A670250}"/>
    <cellStyle name="Style 142 2 2" xfId="1547" xr:uid="{BEA6DFAE-3F82-451B-A479-87432C72239B}"/>
    <cellStyle name="Style 142 2 2 2" xfId="1548" xr:uid="{7F8FC9DB-9F46-4672-85DD-ACA8D2071CF8}"/>
    <cellStyle name="Style 142 2 2 2 2" xfId="1549" xr:uid="{8190F332-806F-4DDD-B04C-C6BD976A5F53}"/>
    <cellStyle name="Style 142 2 2 2 2 2" xfId="1550" xr:uid="{C2C6F438-FE84-498F-96F3-6E07711625F2}"/>
    <cellStyle name="Style 142 2 2 2 2 2 2" xfId="9015" xr:uid="{BA8F0257-A8C3-4E98-8354-58B5F2EEB98E}"/>
    <cellStyle name="Style 142 2 2 2 2 3" xfId="9016" xr:uid="{650F543C-F0A1-4733-93F7-CFC21CEB46AD}"/>
    <cellStyle name="Style 142 2 2 2 3" xfId="1551" xr:uid="{F3092D6B-BDA8-4FA7-8D13-BD9B1A3BA799}"/>
    <cellStyle name="Style 142 2 2 2 3 2" xfId="9017" xr:uid="{E80FFD32-F4F1-4B57-BE55-3A7D601AEF3C}"/>
    <cellStyle name="Style 142 2 2 2 4" xfId="9018" xr:uid="{13D2D08E-4DE4-4C07-89E3-2A87C7839E46}"/>
    <cellStyle name="Style 142 2 2 3" xfId="1552" xr:uid="{5C42A83D-4001-4D74-B49D-293018CB7A11}"/>
    <cellStyle name="Style 142 2 2 3 2" xfId="1553" xr:uid="{4C360B56-1645-47F7-B285-D4CF3939258E}"/>
    <cellStyle name="Style 142 2 2 3 2 2" xfId="9019" xr:uid="{2221543D-7B48-4C9E-8FA1-3DF4F99C47C4}"/>
    <cellStyle name="Style 142 2 2 3 3" xfId="9020" xr:uid="{B0C64955-FB2C-46DF-8FA0-10427C06D556}"/>
    <cellStyle name="Style 142 2 2 4" xfId="1554" xr:uid="{B4BA7DB9-921D-4B79-B0FC-B1C0AD99549A}"/>
    <cellStyle name="Style 142 2 2 4 2" xfId="9021" xr:uid="{9FA1B46E-89FB-46EA-8286-343287D94D2B}"/>
    <cellStyle name="Style 142 2 2 5" xfId="9022" xr:uid="{BDA9EB89-EDF4-4E35-9499-427557B82881}"/>
    <cellStyle name="Style 142 2 3" xfId="1555" xr:uid="{74A43646-2290-4FF9-B0CE-72B03F9181D5}"/>
    <cellStyle name="Style 142 2 3 2" xfId="1556" xr:uid="{229D7186-DF14-48AC-A528-5BDC1D951272}"/>
    <cellStyle name="Style 142 2 3 2 2" xfId="1557" xr:uid="{D788E32C-99BC-4FE0-BA84-93D186F8B399}"/>
    <cellStyle name="Style 142 2 3 2 2 2" xfId="9023" xr:uid="{9B90711C-14B2-459F-B1D7-79B867BE118F}"/>
    <cellStyle name="Style 142 2 3 2 3" xfId="9024" xr:uid="{A9C8A6B6-31C0-4F0A-9B20-1DEC7C2FAAA8}"/>
    <cellStyle name="Style 142 2 3 3" xfId="1558" xr:uid="{F136F594-000C-47A1-BDD5-04CFE2274B74}"/>
    <cellStyle name="Style 142 2 3 3 2" xfId="9025" xr:uid="{DD8893CA-FE5E-4163-A299-1743ABDCE9DA}"/>
    <cellStyle name="Style 142 2 3 4" xfId="9026" xr:uid="{A578BB25-FBC7-4177-BCB2-DE92A1FC4B28}"/>
    <cellStyle name="Style 142 2 4" xfId="1559" xr:uid="{39433F47-3C20-4366-80D1-5E4785FD5A86}"/>
    <cellStyle name="Style 142 2 4 2" xfId="1560" xr:uid="{9CE6F9C3-1116-4717-81E7-A5FC562CA669}"/>
    <cellStyle name="Style 142 2 4 2 2" xfId="9027" xr:uid="{52BC87C6-BFE7-4F16-B2FD-E438C5EC5D1C}"/>
    <cellStyle name="Style 142 2 4 3" xfId="9028" xr:uid="{F9A4873C-FC29-439F-8167-7616B9387AA6}"/>
    <cellStyle name="Style 142 2 5" xfId="1561" xr:uid="{BC47FBB9-FC16-4A01-8C0C-5E5ECA84663F}"/>
    <cellStyle name="Style 142 2 5 2" xfId="9029" xr:uid="{400902D7-FC74-46EC-AE6A-6852480A0784}"/>
    <cellStyle name="Style 142 2 6" xfId="9030" xr:uid="{28F9FE33-AED6-49A8-8BDC-6BB6B309D09B}"/>
    <cellStyle name="Style 142 3" xfId="1562" xr:uid="{5DB809C4-CDF3-416A-A863-D4F7C44CF3DC}"/>
    <cellStyle name="Style 142 3 2" xfId="1563" xr:uid="{68CD5DFA-CE6C-47F7-AF41-29451CFFD220}"/>
    <cellStyle name="Style 142 3 2 2" xfId="1564" xr:uid="{E6B71514-83C7-4C47-8756-AA2176A7E4B8}"/>
    <cellStyle name="Style 142 3 2 2 2" xfId="1565" xr:uid="{8AA0678B-D9D3-4465-890A-2ADA1A3164FA}"/>
    <cellStyle name="Style 142 3 2 2 2 2" xfId="1566" xr:uid="{107FF7E6-7D27-4120-A621-7F9E52D4AD1B}"/>
    <cellStyle name="Style 142 3 2 2 2 2 2" xfId="9031" xr:uid="{E69D22B6-634F-4820-90FA-9DCE50F63A13}"/>
    <cellStyle name="Style 142 3 2 2 2 3" xfId="9032" xr:uid="{D7FFA2D0-221B-40E2-833E-9B8338FC6E1E}"/>
    <cellStyle name="Style 142 3 2 2 3" xfId="1567" xr:uid="{2E0A2050-2B09-466C-8823-5166B6DC17FA}"/>
    <cellStyle name="Style 142 3 2 2 3 2" xfId="9033" xr:uid="{987E6994-9203-4FA0-9987-31CF8CDF2AA2}"/>
    <cellStyle name="Style 142 3 2 2 4" xfId="9034" xr:uid="{96DDE0EB-EC75-437A-963D-EA9C4F765252}"/>
    <cellStyle name="Style 142 3 2 3" xfId="1568" xr:uid="{80C8172A-43AE-4AEE-A6FF-83D25AAA15C3}"/>
    <cellStyle name="Style 142 3 2 3 2" xfId="1569" xr:uid="{6152531A-6FF4-4C0D-B875-6FBE864C0257}"/>
    <cellStyle name="Style 142 3 2 3 2 2" xfId="9035" xr:uid="{1F372530-29C0-41D7-9635-3E0CAFEEC1B1}"/>
    <cellStyle name="Style 142 3 2 3 3" xfId="9036" xr:uid="{921D218E-F3D0-4D88-920C-335C458124AA}"/>
    <cellStyle name="Style 142 3 2 4" xfId="1570" xr:uid="{C31276D1-A99B-4DE1-9A34-BFC6B4192113}"/>
    <cellStyle name="Style 142 3 2 4 2" xfId="9037" xr:uid="{A3FC6820-3468-44A8-8A22-F4F288750AE4}"/>
    <cellStyle name="Style 142 3 2 5" xfId="9038" xr:uid="{78A7FF2B-4A65-4595-BBAE-9A61FF66FFF1}"/>
    <cellStyle name="Style 142 3 3" xfId="1571" xr:uid="{0A75E29C-0A58-4B6B-A33C-23CF3F7DC24B}"/>
    <cellStyle name="Style 142 3 3 2" xfId="1572" xr:uid="{0EF656B5-E8E2-4A84-90A1-327A248E0562}"/>
    <cellStyle name="Style 142 3 3 2 2" xfId="1573" xr:uid="{F593F345-2DEB-4122-9E88-33EB198DC2A8}"/>
    <cellStyle name="Style 142 3 3 2 2 2" xfId="1574" xr:uid="{799DC2E4-DD5B-4338-91BF-964A9A4C88E6}"/>
    <cellStyle name="Style 142 3 3 2 2 2 2" xfId="9039" xr:uid="{EFD62B5B-7A49-4719-9BB2-15168560FCD3}"/>
    <cellStyle name="Style 142 3 3 2 2 3" xfId="9040" xr:uid="{9C932048-0AEC-45C3-A2A2-3A263A86B718}"/>
    <cellStyle name="Style 142 3 3 2 3" xfId="1575" xr:uid="{463E63EB-E55D-46E6-88AC-03241130513C}"/>
    <cellStyle name="Style 142 3 3 2 3 2" xfId="9041" xr:uid="{67FB2162-EED7-42CF-9234-086A9F39D8F6}"/>
    <cellStyle name="Style 142 3 3 2 4" xfId="9042" xr:uid="{B8AD708A-9D76-476A-A5BE-B7AA30DA8CE0}"/>
    <cellStyle name="Style 142 3 3 3" xfId="1576" xr:uid="{4C99A7FA-C907-418D-9EC5-6B0A5A3AE08E}"/>
    <cellStyle name="Style 142 3 3 3 2" xfId="9043" xr:uid="{A32F842A-949D-48D0-A79A-8AC338373B43}"/>
    <cellStyle name="Style 142 3 3 4" xfId="5646" xr:uid="{4F6884D8-BBC3-4C19-ACF2-AE5D1DE2BAD7}"/>
    <cellStyle name="Style 142 3 3 5" xfId="9044" xr:uid="{37560637-9132-4DA3-B00B-62A6354A30A7}"/>
    <cellStyle name="Style 142 3 4" xfId="1577" xr:uid="{1CAE84B0-F779-42BC-8C78-53612895D2A6}"/>
    <cellStyle name="Style 142 3 4 2" xfId="1578" xr:uid="{2F6A39AB-77C1-4148-880A-4F5C794D0F55}"/>
    <cellStyle name="Style 142 3 4 2 2" xfId="9045" xr:uid="{00D1A69C-2A0C-4C87-B361-90AD2F772058}"/>
    <cellStyle name="Style 142 3 4 3" xfId="9046" xr:uid="{6C7C0EDA-2D47-43EF-85BE-76BDF257B97E}"/>
    <cellStyle name="Style 142 3 5" xfId="1579" xr:uid="{8D294899-7DEB-4465-B518-B72868D696FD}"/>
    <cellStyle name="Style 142 3 5 2" xfId="9047" xr:uid="{A685F10F-F818-4063-ABD6-1B886739F433}"/>
    <cellStyle name="Style 142 3 6" xfId="9048" xr:uid="{03D364CD-8A3E-4C8E-95ED-6AEEEAA48E59}"/>
    <cellStyle name="Style 142 4" xfId="1580" xr:uid="{C3DEF12E-DF38-4A89-82B0-F1F8B4404091}"/>
    <cellStyle name="Style 142 4 2" xfId="1581" xr:uid="{DEEB1F1D-A53D-4CAA-88E7-64BBE708F337}"/>
    <cellStyle name="Style 142 4 2 2" xfId="1582" xr:uid="{09B0039B-B554-4E3C-98B5-D4BA6DD4B11A}"/>
    <cellStyle name="Style 142 4 2 2 2" xfId="1583" xr:uid="{52A138A2-9A1E-4E63-800E-538380B1B832}"/>
    <cellStyle name="Style 142 4 2 2 2 2" xfId="9049" xr:uid="{6D266602-A4DE-4998-8221-DFA70E43F670}"/>
    <cellStyle name="Style 142 4 2 2 3" xfId="9050" xr:uid="{64D2BC18-A81A-4879-98C3-C11007FE79F2}"/>
    <cellStyle name="Style 142 4 2 3" xfId="1584" xr:uid="{904D3D54-F982-4B18-A0CF-E78287634BD5}"/>
    <cellStyle name="Style 142 4 2 3 2" xfId="9051" xr:uid="{92253116-F7CA-4747-871B-6CC60F0D4357}"/>
    <cellStyle name="Style 142 4 2 4" xfId="9052" xr:uid="{F9D919DC-95B3-41B9-ABB3-98EACA32ABCA}"/>
    <cellStyle name="Style 142 4 3" xfId="1585" xr:uid="{D1470221-FBCD-43CC-A979-0438FAE4DD92}"/>
    <cellStyle name="Style 142 4 3 2" xfId="9053" xr:uid="{2F9299C2-5C76-4BC5-9CB7-A509405EABA3}"/>
    <cellStyle name="Style 142 4 4" xfId="5647" xr:uid="{F64E3625-00DA-4384-92C7-AD69A3FC1501}"/>
    <cellStyle name="Style 142 4 5" xfId="9054" xr:uid="{328342C3-6163-4C08-A8CC-2FCBAA8EFDE2}"/>
    <cellStyle name="Style 142 5" xfId="1586" xr:uid="{935D9EFF-D853-4252-A0DA-C61032E5BCDE}"/>
    <cellStyle name="Style 142 5 2" xfId="1587" xr:uid="{F41ACB95-5774-4BA2-A526-12A2DF454C5B}"/>
    <cellStyle name="Style 142 5 2 2" xfId="9055" xr:uid="{3323C220-A04A-4ECD-B038-5006F0590D41}"/>
    <cellStyle name="Style 142 5 3" xfId="9056" xr:uid="{8F56BDAD-C094-46B6-8EF2-02ED1F8ED272}"/>
    <cellStyle name="Style 142 6" xfId="1588" xr:uid="{1A3D8E3D-EAC3-48FE-B10E-1391F2142F0F}"/>
    <cellStyle name="Style 142 6 2" xfId="4103" xr:uid="{70933E6F-1F5D-4988-9F0B-F2008CC5D4B4}"/>
    <cellStyle name="Style 142 6 2 2" xfId="5648" xr:uid="{CB5D3B9C-93B6-49B2-8016-E82EC8ECF833}"/>
    <cellStyle name="Style 142 6 3" xfId="9057" xr:uid="{EEED881A-8E39-463A-8FE3-06F0D0BD70D3}"/>
    <cellStyle name="Style 142 7" xfId="4102" xr:uid="{C122BFE1-E376-41ED-94BA-40A39AE649C8}"/>
    <cellStyle name="Style 142 7 2" xfId="5650" xr:uid="{BFF395CF-B7F5-4995-BDA3-15E1ACB5AD87}"/>
    <cellStyle name="Style 142 7 3" xfId="5649" xr:uid="{77057C3B-CCAD-44B9-8A4E-2F13A956A33B}"/>
    <cellStyle name="Style 142 8" xfId="5651" xr:uid="{9CBE1340-0654-4300-80F8-627B77EE272C}"/>
    <cellStyle name="Style 142 9" xfId="9058" xr:uid="{1D5FE352-CAB0-4DE5-B8C0-C437EDF87D2B}"/>
    <cellStyle name="Style 142 9 2" xfId="26574" xr:uid="{5F85EAAA-DFE7-43D4-A82D-C355B4A5FC3D}"/>
    <cellStyle name="Style 142_ADDON" xfId="25772" xr:uid="{66A42805-E6CC-4658-9607-20216EC7E787}"/>
    <cellStyle name="Style 143" xfId="1589" xr:uid="{A99DDFF7-1B50-4FF2-9FF9-3E5E277EE950}"/>
    <cellStyle name="Style 143 2" xfId="1590" xr:uid="{663467A5-B59E-44A1-886A-B5407A174506}"/>
    <cellStyle name="Style 143 2 2" xfId="1591" xr:uid="{706DC52C-4635-4FC8-B18F-A73370C2619C}"/>
    <cellStyle name="Style 143 2 2 2" xfId="1592" xr:uid="{2DCB8D6F-7971-4518-95EF-C1B6E9DDDCCC}"/>
    <cellStyle name="Style 143 2 2 2 2" xfId="1593" xr:uid="{2749C6C6-73F8-4B4F-BAE8-E4337217FD3F}"/>
    <cellStyle name="Style 143 2 2 2 2 2" xfId="1594" xr:uid="{807CB2A8-2D6F-470A-8B27-999E9682770F}"/>
    <cellStyle name="Style 143 2 2 2 2 2 2" xfId="9059" xr:uid="{338839FF-3BD6-4AD7-8009-AAF4F2BC13D3}"/>
    <cellStyle name="Style 143 2 2 2 2 3" xfId="9060" xr:uid="{D1B73601-F081-4E77-81F2-F4C7632885F3}"/>
    <cellStyle name="Style 143 2 2 2 3" xfId="1595" xr:uid="{2535046C-3608-4B15-A412-B4D5BFA8AE53}"/>
    <cellStyle name="Style 143 2 2 2 3 2" xfId="9061" xr:uid="{B8817A7A-BAF5-42A8-91E3-6D806BA4F1C9}"/>
    <cellStyle name="Style 143 2 2 2 4" xfId="9062" xr:uid="{0E7B990B-9250-4172-8E38-B142217DC36D}"/>
    <cellStyle name="Style 143 2 2 3" xfId="1596" xr:uid="{64B0C88B-7F62-440B-B2AA-2C8F67B0E7D0}"/>
    <cellStyle name="Style 143 2 2 3 2" xfId="1597" xr:uid="{8DAEAFA6-49FD-404E-921D-F41F78CB7B9F}"/>
    <cellStyle name="Style 143 2 2 3 2 2" xfId="9063" xr:uid="{260C309B-D6C6-459D-9D09-D1A8B787F8E6}"/>
    <cellStyle name="Style 143 2 2 3 3" xfId="9064" xr:uid="{4CC81D43-599D-4931-848E-1DC53AE8B9C6}"/>
    <cellStyle name="Style 143 2 2 4" xfId="1598" xr:uid="{53FA3EAA-2B56-4998-8CAF-8056794BC8C6}"/>
    <cellStyle name="Style 143 2 2 4 2" xfId="9065" xr:uid="{CD7A0E02-BA59-455B-8EC0-50340A251D04}"/>
    <cellStyle name="Style 143 2 2 5" xfId="9066" xr:uid="{FFDD844C-11A5-47A4-8B63-CD2544EDC8AA}"/>
    <cellStyle name="Style 143 2 3" xfId="1599" xr:uid="{67C77387-C11C-4612-ACA9-00BC83231F69}"/>
    <cellStyle name="Style 143 2 3 2" xfId="1600" xr:uid="{AB8B1235-EB44-4BD1-B45B-6908215EFE80}"/>
    <cellStyle name="Style 143 2 3 2 2" xfId="1601" xr:uid="{553F4324-31F0-4EB5-BFDD-CCAAFA809D7B}"/>
    <cellStyle name="Style 143 2 3 2 2 2" xfId="9067" xr:uid="{13080A3C-0B95-4990-951F-E71AAF348DEB}"/>
    <cellStyle name="Style 143 2 3 2 3" xfId="9068" xr:uid="{B7B43F71-CF76-421C-BAE7-5CE903142568}"/>
    <cellStyle name="Style 143 2 3 3" xfId="1602" xr:uid="{38BF9133-C3E2-46F4-9440-DC850FD49228}"/>
    <cellStyle name="Style 143 2 3 3 2" xfId="9069" xr:uid="{942CECEA-8A00-4529-9F03-7E51AF68EB7D}"/>
    <cellStyle name="Style 143 2 3 4" xfId="9070" xr:uid="{57003193-884C-4B79-A28A-F4472A635A2B}"/>
    <cellStyle name="Style 143 2 4" xfId="1603" xr:uid="{3B8125CB-1837-45AC-AB14-9DF5498EAE65}"/>
    <cellStyle name="Style 143 2 4 2" xfId="1604" xr:uid="{864BF989-8A1A-4AFD-90FC-13751001002D}"/>
    <cellStyle name="Style 143 2 4 2 2" xfId="9071" xr:uid="{768AAFAD-0A1E-491A-B93E-DE875DDBC5A8}"/>
    <cellStyle name="Style 143 2 4 3" xfId="9072" xr:uid="{91752918-FD76-4EBD-9101-A5EBCA48F0A0}"/>
    <cellStyle name="Style 143 2 5" xfId="1605" xr:uid="{B1ECDD62-B446-485B-84B8-546656A57FFE}"/>
    <cellStyle name="Style 143 2 5 2" xfId="9073" xr:uid="{95FDD660-E026-46D8-8810-979E9C21AB47}"/>
    <cellStyle name="Style 143 2 6" xfId="9074" xr:uid="{02D010CE-78EB-4115-A3CF-499D5BD79933}"/>
    <cellStyle name="Style 143 3" xfId="1606" xr:uid="{666D86F4-BEAB-439D-A91C-1A1B0C319147}"/>
    <cellStyle name="Style 143 3 2" xfId="1607" xr:uid="{0FE93CEB-B72F-4E81-925A-FD38B6683677}"/>
    <cellStyle name="Style 143 3 2 2" xfId="1608" xr:uid="{4E1BD546-3836-4447-90E2-49C527872C6E}"/>
    <cellStyle name="Style 143 3 2 2 2" xfId="1609" xr:uid="{FB1EDF5A-0247-45FE-B322-4AB21FBD3BE0}"/>
    <cellStyle name="Style 143 3 2 2 2 2" xfId="1610" xr:uid="{C1C989FD-0F08-4254-90BA-3D7D6605FEC5}"/>
    <cellStyle name="Style 143 3 2 2 2 2 2" xfId="9075" xr:uid="{0E571653-ABF2-4D57-9182-82968773590E}"/>
    <cellStyle name="Style 143 3 2 2 2 3" xfId="9076" xr:uid="{5D184255-A043-4059-9A12-C00441B1CCAE}"/>
    <cellStyle name="Style 143 3 2 2 3" xfId="1611" xr:uid="{240E37A1-09F6-4818-B1FF-68361AE7CBBE}"/>
    <cellStyle name="Style 143 3 2 2 3 2" xfId="9077" xr:uid="{597B0270-08B8-454A-BC3C-76CF43A4C4A2}"/>
    <cellStyle name="Style 143 3 2 2 4" xfId="9078" xr:uid="{B92B2C16-E1F9-435F-A4C6-88D348BC7242}"/>
    <cellStyle name="Style 143 3 2 3" xfId="1612" xr:uid="{13CCC609-90AE-47CC-AC9B-A3C9164E9FF0}"/>
    <cellStyle name="Style 143 3 2 3 2" xfId="1613" xr:uid="{1A4E8CD0-7C70-4D7B-97C8-B1A9725E0A10}"/>
    <cellStyle name="Style 143 3 2 3 2 2" xfId="9079" xr:uid="{BD89BD68-258E-462F-B900-E8D319A14B44}"/>
    <cellStyle name="Style 143 3 2 3 3" xfId="9080" xr:uid="{CBB48EF4-62C4-4E08-9FA8-C2D4F065B7D3}"/>
    <cellStyle name="Style 143 3 2 4" xfId="1614" xr:uid="{F1B05CCB-9D64-448A-A6B4-C5A7552FB96B}"/>
    <cellStyle name="Style 143 3 2 4 2" xfId="9081" xr:uid="{B05D54A6-0230-4DAC-A4DC-B53DF21B4499}"/>
    <cellStyle name="Style 143 3 2 5" xfId="9082" xr:uid="{6C9BC6BE-44EE-4DC8-8BB1-AA1B617B097D}"/>
    <cellStyle name="Style 143 3 3" xfId="1615" xr:uid="{A7E39BD6-B242-4E9C-BCCE-E462F4B2BAAD}"/>
    <cellStyle name="Style 143 3 3 2" xfId="1616" xr:uid="{D961823F-C2EF-4489-8728-BF26DFAE08AE}"/>
    <cellStyle name="Style 143 3 3 2 2" xfId="1617" xr:uid="{30EDEC9F-40A6-478F-9AF1-6541C43F3948}"/>
    <cellStyle name="Style 143 3 3 2 2 2" xfId="1618" xr:uid="{19B97523-FC85-4DFF-B307-2BA2BBBC12DC}"/>
    <cellStyle name="Style 143 3 3 2 2 2 2" xfId="9083" xr:uid="{9077989E-01A8-4E0F-AB20-7795539887A5}"/>
    <cellStyle name="Style 143 3 3 2 2 3" xfId="9084" xr:uid="{A3B687E2-A8A8-424F-B945-B5CE05611051}"/>
    <cellStyle name="Style 143 3 3 2 3" xfId="1619" xr:uid="{DAB2D5BA-0656-49F2-AFA1-E92B42C44E4E}"/>
    <cellStyle name="Style 143 3 3 2 3 2" xfId="9085" xr:uid="{D446C9B5-642E-4244-9072-E50442EBC480}"/>
    <cellStyle name="Style 143 3 3 2 4" xfId="9086" xr:uid="{F62254A6-09D2-4932-B551-98ECFED363B4}"/>
    <cellStyle name="Style 143 3 3 3" xfId="1620" xr:uid="{19F84C4A-16A4-43C1-9908-C7848F4FC94E}"/>
    <cellStyle name="Style 143 3 3 3 2" xfId="9087" xr:uid="{D8D5AA1A-D788-4004-89D9-FC743A781215}"/>
    <cellStyle name="Style 143 3 3 4" xfId="5652" xr:uid="{97DCAC57-94A7-4E3F-A187-ED7EBB74BA65}"/>
    <cellStyle name="Style 143 3 3 5" xfId="9088" xr:uid="{B03BED92-95B9-48BC-9350-EBD8E689BEC3}"/>
    <cellStyle name="Style 143 3 4" xfId="1621" xr:uid="{7E64E3B0-840A-4F9D-BEC1-0987F3A905EA}"/>
    <cellStyle name="Style 143 3 4 2" xfId="1622" xr:uid="{D40D117B-518D-4FFC-ADDD-99132A0F9E20}"/>
    <cellStyle name="Style 143 3 4 2 2" xfId="9089" xr:uid="{55F1688E-CC5D-4188-A339-A97FEF82C0CD}"/>
    <cellStyle name="Style 143 3 4 3" xfId="9090" xr:uid="{C3BCAD5E-E07E-4FF3-BE49-C38C49A42717}"/>
    <cellStyle name="Style 143 3 5" xfId="1623" xr:uid="{D5FFA6E0-8664-4CA2-9010-BFAFE31F7D57}"/>
    <cellStyle name="Style 143 3 5 2" xfId="9091" xr:uid="{613DB9C6-5C66-49EE-86BC-3AC256BF5EAF}"/>
    <cellStyle name="Style 143 3 6" xfId="9092" xr:uid="{BBFEA74C-A06B-4CDE-8779-14C4CBAF82A0}"/>
    <cellStyle name="Style 143 4" xfId="1624" xr:uid="{89E818D3-3A54-48BD-91EB-E0354822CA6E}"/>
    <cellStyle name="Style 143 4 2" xfId="1625" xr:uid="{1DF09505-E9D1-451D-B2F1-A37CEA8458FE}"/>
    <cellStyle name="Style 143 4 2 2" xfId="1626" xr:uid="{D4D22EE7-865F-44E1-855D-61DF3F64ED3E}"/>
    <cellStyle name="Style 143 4 2 2 2" xfId="1627" xr:uid="{A33445DC-91EB-40AC-86AF-C5DFED6BF4A3}"/>
    <cellStyle name="Style 143 4 2 2 2 2" xfId="9093" xr:uid="{759185F3-3DD0-4EFA-B2F7-63652CCCDD82}"/>
    <cellStyle name="Style 143 4 2 2 3" xfId="9094" xr:uid="{556E85AF-407F-4A8B-AAAB-AA242B6EDD29}"/>
    <cellStyle name="Style 143 4 2 3" xfId="1628" xr:uid="{66143452-8EE9-47F3-B045-D94C27106213}"/>
    <cellStyle name="Style 143 4 2 3 2" xfId="9095" xr:uid="{99EB0A85-9F82-44C7-8108-7F4B2979CB19}"/>
    <cellStyle name="Style 143 4 2 4" xfId="9096" xr:uid="{4A5B94C4-8D51-409D-A51D-9F03F6689333}"/>
    <cellStyle name="Style 143 4 3" xfId="1629" xr:uid="{021AB732-A6E2-45C5-94F7-451AE40530DD}"/>
    <cellStyle name="Style 143 4 3 2" xfId="9097" xr:uid="{20E70773-DB3C-49C1-8597-BD5D09E3A0C1}"/>
    <cellStyle name="Style 143 4 4" xfId="5653" xr:uid="{E72AEC6E-B714-461A-9270-67F1E937C9BB}"/>
    <cellStyle name="Style 143 4 5" xfId="9098" xr:uid="{F00B0995-8FA9-435C-B6ED-217ED17B1C03}"/>
    <cellStyle name="Style 143 5" xfId="1630" xr:uid="{1604088B-0EF0-4F8A-BC1C-6CE40CA86D0A}"/>
    <cellStyle name="Style 143 5 2" xfId="1631" xr:uid="{7168FC61-1564-4FD5-9BA4-B805ED32E6C0}"/>
    <cellStyle name="Style 143 5 2 2" xfId="9099" xr:uid="{D0E662A5-0EB9-47E8-A082-B54B08B95C92}"/>
    <cellStyle name="Style 143 5 3" xfId="9100" xr:uid="{B1698C78-C313-44B6-A1EC-D1DA316B453C}"/>
    <cellStyle name="Style 143 6" xfId="1632" xr:uid="{478D0D8D-F6FA-461D-9775-4D216611548B}"/>
    <cellStyle name="Style 143 6 2" xfId="4105" xr:uid="{B5740299-5003-441C-A6A5-29729237CFC8}"/>
    <cellStyle name="Style 143 6 2 2" xfId="5654" xr:uid="{D03A37FE-D0F6-43C5-A289-AFCD4FD82465}"/>
    <cellStyle name="Style 143 6 3" xfId="9101" xr:uid="{4EC9C308-C6D8-4131-B171-F222E5EBC89A}"/>
    <cellStyle name="Style 143 7" xfId="4104" xr:uid="{F3709524-1617-492A-BFA9-B8CDE242995D}"/>
    <cellStyle name="Style 143 7 2" xfId="5656" xr:uid="{CA2632E0-11C0-4384-A227-EE113323606C}"/>
    <cellStyle name="Style 143 7 3" xfId="5655" xr:uid="{C804793D-A8D3-414A-A8A9-CFCF4E620B95}"/>
    <cellStyle name="Style 143 8" xfId="5657" xr:uid="{A6F4AB31-B350-42D2-940F-46F597B67D7D}"/>
    <cellStyle name="Style 143 9" xfId="9102" xr:uid="{D300C68D-08B7-47CF-8075-F0440F1F7434}"/>
    <cellStyle name="Style 143 9 2" xfId="26575" xr:uid="{8136D9C4-D71C-4B6F-BF7C-0BF469D9BAE5}"/>
    <cellStyle name="Style 143_ADDON" xfId="25773" xr:uid="{1948B04C-3A95-401F-8DDE-D48F8D6C158F}"/>
    <cellStyle name="Style 148" xfId="1633" xr:uid="{3CA160C0-6CB5-4C8F-9B9E-D622BE203805}"/>
    <cellStyle name="Style 148 10" xfId="1634" xr:uid="{A0D137DB-3FE8-4698-9B78-B3F80E7618C4}"/>
    <cellStyle name="Style 148 10 2" xfId="1635" xr:uid="{918F3DEE-F0C9-41C3-9505-3998CA7BD010}"/>
    <cellStyle name="Style 148 10 2 2" xfId="5658" xr:uid="{320A6B1A-6F84-419F-974B-3878FD79D60E}"/>
    <cellStyle name="Style 148 10 2 2 2" xfId="27329" xr:uid="{F7C310DA-BD49-4F80-A2AE-94E3DB3ECDA5}"/>
    <cellStyle name="Style 148 10 2 3" xfId="24528" xr:uid="{3EE1DAB1-5B14-4646-AD50-01B55204F53C}"/>
    <cellStyle name="Style 148 10 3" xfId="4106" xr:uid="{F0E35E9E-911A-48D0-8A54-A7887670AC9A}"/>
    <cellStyle name="Style 148 10 3 2" xfId="27328" xr:uid="{80D3DFB4-E052-47FD-B189-2706BE4E84DA}"/>
    <cellStyle name="Style 148 10 4" xfId="23036" xr:uid="{2EDE7567-48E1-4ED0-8D46-0646587435B5}"/>
    <cellStyle name="Style 148 11" xfId="1636" xr:uid="{C6B510CF-0790-4CD3-8E21-AD283D86B0E7}"/>
    <cellStyle name="Style 148 11 2" xfId="1637" xr:uid="{DBAE8A38-6746-4966-BE95-FAFBF72CF65A}"/>
    <cellStyle name="Style 148 11 2 2" xfId="5660" xr:uid="{9238BE17-EB17-4FE3-9ACE-2FC9D753C935}"/>
    <cellStyle name="Style 148 11 2 2 2" xfId="27331" xr:uid="{C23A5D95-3516-4C83-AC4A-A1F69A72F06A}"/>
    <cellStyle name="Style 148 11 2 3" xfId="24529" xr:uid="{C33CFF3B-7B17-4B76-BC82-533B7B4C23A1}"/>
    <cellStyle name="Style 148 11 3" xfId="5659" xr:uid="{15168627-4EEA-419F-8B70-86AB40DED539}"/>
    <cellStyle name="Style 148 11 3 2" xfId="27330" xr:uid="{106908EC-7672-45DE-85EE-F24DDFA3B427}"/>
    <cellStyle name="Style 148 11 4" xfId="23037" xr:uid="{443C52FD-DD98-42D1-89A1-A00AB7512DFF}"/>
    <cellStyle name="Style 148 12" xfId="1638" xr:uid="{FC82DF02-79AA-4E85-95B8-2BE4CC8555C0}"/>
    <cellStyle name="Style 148 12 2" xfId="5661" xr:uid="{5EF80193-480A-44A8-81E1-35B26DDDE4DE}"/>
    <cellStyle name="Style 148 12 2 2" xfId="27332" xr:uid="{7A8C859B-9DB3-4829-847A-AB0FDF5522AC}"/>
    <cellStyle name="Style 148 12 3" xfId="9103" xr:uid="{FDA9DE15-F3D1-4B74-8CF0-0A5DD95AEDA4}"/>
    <cellStyle name="Style 148 12 3 2" xfId="28890" xr:uid="{17B614FB-2E28-4FDD-A5F5-680C0420180B}"/>
    <cellStyle name="Style 148 12 4" xfId="9104" xr:uid="{DB1206FD-E3AB-4B1B-8554-AF769B173411}"/>
    <cellStyle name="Style 148 12 4 2" xfId="28891" xr:uid="{C286ED75-C866-4CFE-B4DF-24165A43F7AE}"/>
    <cellStyle name="Style 148 12 5" xfId="9105" xr:uid="{43E927D7-2F3C-4B4C-9EE5-109E728AD25D}"/>
    <cellStyle name="Style 148 12 5 2" xfId="28892" xr:uid="{C900CB0D-7E4E-41CE-A001-82D0C8333D6D}"/>
    <cellStyle name="Style 148 12 6" xfId="9106" xr:uid="{AD0CA66F-065C-4220-8FE6-76278E38F168}"/>
    <cellStyle name="Style 148 12 6 2" xfId="28893" xr:uid="{4987788A-222D-4090-9E5A-D5C5D1249A57}"/>
    <cellStyle name="Style 148 12 7" xfId="24530" xr:uid="{8D11242F-8856-43F8-9B32-D4EB0BC11DEA}"/>
    <cellStyle name="Style 148 13" xfId="9107" xr:uid="{4B3AFEA1-9785-45E7-B0DD-E3B1A70B1FBC}"/>
    <cellStyle name="Style 148 13 2" xfId="9108" xr:uid="{B2BB850F-CF1C-414F-8FE1-A28C80172D6F}"/>
    <cellStyle name="Style 148 13 2 2" xfId="28894" xr:uid="{B6D54D59-1CAA-44EE-B241-6D24F72F0BE9}"/>
    <cellStyle name="Style 148 13 3" xfId="9109" xr:uid="{0003CADF-4024-4C85-8552-D3AF8DCF5D8B}"/>
    <cellStyle name="Style 148 13 3 2" xfId="28895" xr:uid="{89FB31AB-0E1C-4E37-B96A-B08CF1708FC5}"/>
    <cellStyle name="Style 148 13 4" xfId="26576" xr:uid="{35E308D9-1F17-4089-A8CA-AA4628C0DC04}"/>
    <cellStyle name="Style 148 14" xfId="9110" xr:uid="{89606C62-5AEA-4E78-B32D-141B5AC55337}"/>
    <cellStyle name="Style 148 14 2" xfId="9111" xr:uid="{8F11A6C1-56FF-47F9-8E64-7C955E77E0D7}"/>
    <cellStyle name="Style 148 14 2 2" xfId="28897" xr:uid="{83752036-CEAA-4CBE-B9C5-F262BDC9E790}"/>
    <cellStyle name="Style 148 14 3" xfId="28896" xr:uid="{79B83436-E993-43CC-BFCF-D6D2DCEC5318}"/>
    <cellStyle name="Style 148 15" xfId="9112" xr:uid="{99DCB17F-C8AC-4994-89EF-A8D1D27A4CF9}"/>
    <cellStyle name="Style 148 15 2" xfId="9113" xr:uid="{2E619DAB-8C1E-40FF-95B5-D4126120AEAA}"/>
    <cellStyle name="Style 148 15 2 2" xfId="28899" xr:uid="{CF9244EF-4B7C-4786-987D-9F1CD0ED9C19}"/>
    <cellStyle name="Style 148 15 3" xfId="28898" xr:uid="{6EE83399-0121-4A3E-882E-FD17894754E9}"/>
    <cellStyle name="Style 148 16" xfId="23035" xr:uid="{B5BC2C4E-B29B-4E55-B58C-EF18C49F247F}"/>
    <cellStyle name="Style 148 2" xfId="1639" xr:uid="{FA68C101-C980-4B0C-AC24-354F272F2CB0}"/>
    <cellStyle name="Style 148 2 2" xfId="4365" xr:uid="{AC50CAC4-1A29-4294-852F-A16F9720D9A3}"/>
    <cellStyle name="Style 148 2 2 2" xfId="26577" xr:uid="{69685FAD-4055-4C9A-9DB5-047722628366}"/>
    <cellStyle name="Style 148 2 3" xfId="23038" xr:uid="{9B9FB01C-913C-48CC-990D-BAEF498D328E}"/>
    <cellStyle name="Style 148 3" xfId="1640" xr:uid="{89C34679-B1BC-4D5D-8068-EF00F10F3DD9}"/>
    <cellStyle name="Style 148 3 2" xfId="1641" xr:uid="{89314D43-6F48-4211-9018-155177CCF0FD}"/>
    <cellStyle name="Style 148 3 2 2" xfId="1642" xr:uid="{E14A379B-999C-4EB6-B0D9-6F90F25F3216}"/>
    <cellStyle name="Style 148 3 2 2 2" xfId="5662" xr:uid="{80FCD3A4-F697-4254-9AAD-5C148DD1368F}"/>
    <cellStyle name="Style 148 3 2 2 2 2" xfId="27333" xr:uid="{914A2B1D-C851-4824-AA5F-AB8415B10917}"/>
    <cellStyle name="Style 148 3 2 2 3" xfId="23041" xr:uid="{21F7C3FB-F028-4A29-8A3F-C7E9DB281900}"/>
    <cellStyle name="Style 148 3 2 3" xfId="4367" xr:uid="{C6A40690-88BC-4F7B-99A3-DD1310142E43}"/>
    <cellStyle name="Style 148 3 2 3 2" xfId="26579" xr:uid="{B05CAEBC-4E36-4316-A975-558428A561FA}"/>
    <cellStyle name="Style 148 3 2 4" xfId="23040" xr:uid="{41E3F51C-F743-4412-BEA4-B9631F700591}"/>
    <cellStyle name="Style 148 3 3" xfId="1643" xr:uid="{4A570866-A4CF-46AA-89C6-9AC41F3B8E6A}"/>
    <cellStyle name="Style 148 3 3 2" xfId="1644" xr:uid="{5FD2A2FD-1164-4DD2-A7F9-82F3F989BE61}"/>
    <cellStyle name="Style 148 3 3 2 2" xfId="5664" xr:uid="{BF70ED6D-EA36-4939-8B0C-3B8B123EA463}"/>
    <cellStyle name="Style 148 3 3 2 2 2" xfId="27335" xr:uid="{44D34193-BF28-47BC-AE90-3A24E2227B54}"/>
    <cellStyle name="Style 148 3 3 2 3" xfId="23043" xr:uid="{371A891A-0DC5-4298-8299-B6A5ABDFE4CE}"/>
    <cellStyle name="Style 148 3 3 3" xfId="1645" xr:uid="{289821C4-1C54-41E4-99DE-4B1B11EA6A65}"/>
    <cellStyle name="Style 148 3 3 3 2" xfId="1646" xr:uid="{81A91650-A096-44CD-B0ED-BDCBF6C151D3}"/>
    <cellStyle name="Style 148 3 3 3 2 2" xfId="5666" xr:uid="{ACCBAC2B-844F-48F7-A5A9-D2F5FF2A187E}"/>
    <cellStyle name="Style 148 3 3 3 2 2 2" xfId="27337" xr:uid="{5D6EF658-0699-4E55-B17E-9E3B982EBE9D}"/>
    <cellStyle name="Style 148 3 3 3 2 3" xfId="23045" xr:uid="{51CBB22F-017D-408E-A8EE-FFDFEBF72FFB}"/>
    <cellStyle name="Style 148 3 3 3 3" xfId="5667" xr:uid="{42C63427-6F2D-4946-AE4B-849F31CBB6BD}"/>
    <cellStyle name="Style 148 3 3 3 3 2" xfId="23046" xr:uid="{D70FA00D-E05D-4BC7-B5B2-C7E2D2273664}"/>
    <cellStyle name="Style 148 3 3 3 4" xfId="5668" xr:uid="{1DCF5876-249D-4B4E-AED9-DE7E940C39D0}"/>
    <cellStyle name="Style 148 3 3 3 4 2" xfId="24531" xr:uid="{94B81409-4D09-4AF1-916C-F50437B55371}"/>
    <cellStyle name="Style 148 3 3 3 5" xfId="5665" xr:uid="{C74DACCA-4FA9-48C9-9215-A7F0C8C9C594}"/>
    <cellStyle name="Style 148 3 3 3 5 2" xfId="27336" xr:uid="{92C1F330-0E77-494A-9AA7-C3BB009BCFD8}"/>
    <cellStyle name="Style 148 3 3 3 6" xfId="23044" xr:uid="{7C5712BC-A9E9-442C-A440-DAFE85D71EE7}"/>
    <cellStyle name="Style 148 3 3 4" xfId="1647" xr:uid="{6478848A-B968-407C-A066-39B1E1FB0EBF}"/>
    <cellStyle name="Style 148 3 3 4 2" xfId="1648" xr:uid="{5F4AC194-2D9D-49A2-B526-65685D5210D9}"/>
    <cellStyle name="Style 148 3 3 4 2 2" xfId="5670" xr:uid="{3E1D1D10-C707-4A47-9238-69AB25545D92}"/>
    <cellStyle name="Style 148 3 3 4 2 2 2" xfId="27339" xr:uid="{4177D94D-D94C-4477-963A-062CDB1A34A5}"/>
    <cellStyle name="Style 148 3 3 4 2 3" xfId="23048" xr:uid="{2170EDA1-9FAC-49E9-BAE6-EFBB030287F1}"/>
    <cellStyle name="Style 148 3 3 4 3" xfId="5669" xr:uid="{EF61AC3C-97BE-4282-AC7B-8B34D1A09DE5}"/>
    <cellStyle name="Style 148 3 3 4 3 2" xfId="27338" xr:uid="{EE3E4E38-33E1-4323-8CFC-106C5E42AEA7}"/>
    <cellStyle name="Style 148 3 3 4 4" xfId="23047" xr:uid="{68DC1631-1734-4CDD-8B89-22437F08A1A4}"/>
    <cellStyle name="Style 148 3 3 5" xfId="5671" xr:uid="{DF4EB4C7-8422-4F3B-B7D5-33DE764D0988}"/>
    <cellStyle name="Style 148 3 3 5 2" xfId="24532" xr:uid="{DD21C798-786C-4D94-AB91-8EC8CF25DC3C}"/>
    <cellStyle name="Style 148 3 3 6" xfId="5663" xr:uid="{0568E33B-0213-4D83-B49C-B63920178EA4}"/>
    <cellStyle name="Style 148 3 3 6 2" xfId="27334" xr:uid="{9BF10EC6-84A6-4F6D-9B69-9634E3FD42A3}"/>
    <cellStyle name="Style 148 3 3 7" xfId="23042" xr:uid="{B659E4F7-1134-4D31-A1FA-A6B815B1AD1D}"/>
    <cellStyle name="Style 148 3 4" xfId="1649" xr:uid="{EDB455EE-8FDD-4DC0-B9D5-5409486BED31}"/>
    <cellStyle name="Style 148 3 4 2" xfId="5673" xr:uid="{AD0D9561-D0AB-42B5-A359-BCEC4E680157}"/>
    <cellStyle name="Style 148 3 4 2 2" xfId="23050" xr:uid="{07B56D9B-8C3B-4D95-A9F8-177E6950344F}"/>
    <cellStyle name="Style 148 3 4 3" xfId="5674" xr:uid="{340CDAB1-F2B5-4C85-A967-C127303731FC}"/>
    <cellStyle name="Style 148 3 4 3 2" xfId="24533" xr:uid="{10486783-1C84-4A30-A4E3-4BE363859537}"/>
    <cellStyle name="Style 148 3 4 4" xfId="5672" xr:uid="{FA2EDC57-890C-468C-BBBB-BA5639E730A7}"/>
    <cellStyle name="Style 148 3 4 4 2" xfId="27340" xr:uid="{3C57FBD6-7947-4F8A-8AF3-93A4BE381358}"/>
    <cellStyle name="Style 148 3 4 5" xfId="23049" xr:uid="{00A0D936-4747-4763-9FC0-CF83A8C83E64}"/>
    <cellStyle name="Style 148 3 5" xfId="5675" xr:uid="{487973F5-FB6B-46FF-A37C-3265085DF2B9}"/>
    <cellStyle name="Style 148 3 5 2" xfId="9114" xr:uid="{57DEAA5E-36F0-4A57-802F-73E5210A8AB8}"/>
    <cellStyle name="Style 148 3 5 2 2" xfId="27341" xr:uid="{76C142A8-6528-4DD0-85D2-E4C2A5771F62}"/>
    <cellStyle name="Style 148 3 5 3" xfId="23051" xr:uid="{5FF461DB-6BF6-4172-B72D-EDBD60D41BB2}"/>
    <cellStyle name="Style 148 3 6" xfId="4366" xr:uid="{F3AE1B42-F51A-4F95-BE21-1F56FA424EC7}"/>
    <cellStyle name="Style 148 3 6 2" xfId="26578" xr:uid="{ED761947-E18D-462F-B9AA-5A5BACC5636B}"/>
    <cellStyle name="Style 148 3 7" xfId="23039" xr:uid="{0C245B43-8B0D-4C5F-B3C4-D9FBCC505996}"/>
    <cellStyle name="Style 148 4" xfId="1650" xr:uid="{78093252-520B-418C-AFB4-1EC9DC860E28}"/>
    <cellStyle name="Style 148 4 2" xfId="1651" xr:uid="{711D6738-AB1D-4700-A684-93E952C12E34}"/>
    <cellStyle name="Style 148 4 2 2" xfId="1652" xr:uid="{1C0E68B9-4822-4B46-A66E-B9D710A4EF39}"/>
    <cellStyle name="Style 148 4 2 2 2" xfId="5678" xr:uid="{97AFEFFA-7F86-4C4C-A215-3AD4D2978974}"/>
    <cellStyle name="Style 148 4 2 2 2 2" xfId="27343" xr:uid="{CDF4D950-C035-4ED2-9BDE-519993437B7D}"/>
    <cellStyle name="Style 148 4 2 2 3" xfId="23054" xr:uid="{36A06A17-B69F-4AE8-812F-8F8E9022AB8A}"/>
    <cellStyle name="Style 148 4 2 3" xfId="1653" xr:uid="{BE60F615-F77C-4D8E-B252-1FC0E4EFDB89}"/>
    <cellStyle name="Style 148 4 2 3 2" xfId="1654" xr:uid="{BF33A2A4-58E4-4B21-8BFF-B3E4CDF32FC0}"/>
    <cellStyle name="Style 148 4 2 3 2 2" xfId="5680" xr:uid="{8CAEE290-F2A5-4270-AFC4-7A957209D32F}"/>
    <cellStyle name="Style 148 4 2 3 2 2 2" xfId="27345" xr:uid="{A5CAD12F-7E47-42A1-A814-D4ED882A8B75}"/>
    <cellStyle name="Style 148 4 2 3 2 3" xfId="23056" xr:uid="{EECEC58C-6C67-4312-B71B-DF2BF882F491}"/>
    <cellStyle name="Style 148 4 2 3 3" xfId="5681" xr:uid="{74CC07C7-37B4-4A83-A036-7FAC3DB9DC7B}"/>
    <cellStyle name="Style 148 4 2 3 3 2" xfId="23057" xr:uid="{2FDC47AB-E562-464F-8265-056FBFF88364}"/>
    <cellStyle name="Style 148 4 2 3 4" xfId="5682" xr:uid="{9F71BB0F-6313-4E18-BF45-195791170E00}"/>
    <cellStyle name="Style 148 4 2 3 4 2" xfId="24534" xr:uid="{D7029F59-67CB-4685-88B9-792102501A19}"/>
    <cellStyle name="Style 148 4 2 3 5" xfId="5679" xr:uid="{EDA37661-3BD5-4BDE-BA20-4D943252BA8B}"/>
    <cellStyle name="Style 148 4 2 3 5 2" xfId="27344" xr:uid="{BC6A4072-0B98-479B-BC22-92102BBAA327}"/>
    <cellStyle name="Style 148 4 2 3 6" xfId="23055" xr:uid="{FA6292D6-889C-4018-94FC-11F5DEC9795B}"/>
    <cellStyle name="Style 148 4 2 4" xfId="1655" xr:uid="{D7E00B16-C337-4BDB-B21D-A54C68C0D95C}"/>
    <cellStyle name="Style 148 4 2 4 2" xfId="1656" xr:uid="{845BA548-F83F-43CF-9274-62C59B00A2DD}"/>
    <cellStyle name="Style 148 4 2 4 2 2" xfId="5684" xr:uid="{4FC1A64F-8C78-4C16-9FC6-3363452383DA}"/>
    <cellStyle name="Style 148 4 2 4 2 2 2" xfId="27347" xr:uid="{F59F6F56-665F-4D26-B010-9412BEDB8032}"/>
    <cellStyle name="Style 148 4 2 4 2 3" xfId="23059" xr:uid="{7D788FB4-7CDC-4E5E-85F2-75EC90D4A45F}"/>
    <cellStyle name="Style 148 4 2 4 3" xfId="5683" xr:uid="{394DDA3C-E4FC-427E-8AF8-3EACD5A97C79}"/>
    <cellStyle name="Style 148 4 2 4 3 2" xfId="27346" xr:uid="{F1FE1190-FAB4-406C-9C5A-E2899775340D}"/>
    <cellStyle name="Style 148 4 2 4 4" xfId="23058" xr:uid="{62BBB5D7-3F75-481D-A6B9-976D60982FDD}"/>
    <cellStyle name="Style 148 4 2 5" xfId="5685" xr:uid="{2E312C00-379A-43B6-8990-65092BDE3CD0}"/>
    <cellStyle name="Style 148 4 2 5 2" xfId="24535" xr:uid="{E8234A9B-0A50-4051-B302-02A5DB706BE9}"/>
    <cellStyle name="Style 148 4 2 6" xfId="5677" xr:uid="{4C687C1D-2271-4AE9-A019-D6DDE8D36FC3}"/>
    <cellStyle name="Style 148 4 2 6 2" xfId="27342" xr:uid="{2B871247-55B3-481C-90C0-442ED50D23D5}"/>
    <cellStyle name="Style 148 4 2 7" xfId="23053" xr:uid="{8C589523-74F4-4CDB-ACDF-E30D24A21F04}"/>
    <cellStyle name="Style 148 4 3" xfId="1657" xr:uid="{908D35AD-31AD-492F-8B6F-27D441F69F35}"/>
    <cellStyle name="Style 148 4 3 2" xfId="5686" xr:uid="{30313D67-5D42-48CA-9AC8-2CCF1E45F524}"/>
    <cellStyle name="Style 148 4 3 2 2" xfId="27348" xr:uid="{192F0E30-FB8E-4B1A-9AD4-F32102CD9C0C}"/>
    <cellStyle name="Style 148 4 3 3" xfId="23060" xr:uid="{43E5D528-37BB-44EE-96DE-E4B6D26F20A0}"/>
    <cellStyle name="Style 148 4 4" xfId="5687" xr:uid="{7DE013F1-E1E2-468B-AB4D-32EEE18A4112}"/>
    <cellStyle name="Style 148 4 4 2" xfId="5688" xr:uid="{955213B4-F499-450E-AB05-08997CD9FDFF}"/>
    <cellStyle name="Style 148 4 4 2 2" xfId="24536" xr:uid="{71D9865C-E58D-412A-98D0-E76BD5E65185}"/>
    <cellStyle name="Style 148 4 4 3" xfId="23061" xr:uid="{6A67C69F-561B-401E-A78F-C71920B1EC5C}"/>
    <cellStyle name="Style 148 4 5" xfId="5676" xr:uid="{C7E1FCE8-47EA-4C65-B23A-D606B87C4ADE}"/>
    <cellStyle name="Style 148 4 5 2" xfId="25931" xr:uid="{E16E57CD-44D9-47D1-8485-28DFD05F644E}"/>
    <cellStyle name="Style 148 4 6" xfId="4368" xr:uid="{F3D9DA55-91A1-478F-9705-627E0404AE49}"/>
    <cellStyle name="Style 148 4 6 2" xfId="26580" xr:uid="{0E274F73-DEB0-4AC3-9365-F3F6800453CA}"/>
    <cellStyle name="Style 148 4 7" xfId="23052" xr:uid="{4EADEA8B-77A1-4E44-AD5F-7424CE24893A}"/>
    <cellStyle name="Style 148 5" xfId="1658" xr:uid="{E5B93DB6-ED38-4287-BC8C-786F390168B1}"/>
    <cellStyle name="Style 148 5 2" xfId="1659" xr:uid="{457E22DA-166C-477F-B247-9DF68C67F6B7}"/>
    <cellStyle name="Style 148 5 2 2" xfId="1660" xr:uid="{993FB60F-5402-4824-B1C3-28DCB9AF9EC9}"/>
    <cellStyle name="Style 148 5 2 2 2" xfId="5691" xr:uid="{2F0E5F3A-EEB6-49BA-BC27-7A1AC132D8B2}"/>
    <cellStyle name="Style 148 5 2 2 2 2" xfId="27350" xr:uid="{0C66BE73-33DC-4E20-970B-5B7020BBFAF4}"/>
    <cellStyle name="Style 148 5 2 2 3" xfId="23064" xr:uid="{6584229B-2048-44A6-830F-95BFAA05EFBA}"/>
    <cellStyle name="Style 148 5 2 3" xfId="1661" xr:uid="{D356A9BB-78DD-46FA-A587-2CCB6898870C}"/>
    <cellStyle name="Style 148 5 2 3 2" xfId="1662" xr:uid="{8E8B5727-EBCB-4018-8A67-C858FCACDF34}"/>
    <cellStyle name="Style 148 5 2 3 2 2" xfId="5693" xr:uid="{319A9879-0B65-469D-A3E8-946812C74A8E}"/>
    <cellStyle name="Style 148 5 2 3 2 2 2" xfId="27352" xr:uid="{77A79CC0-E438-4C97-B03B-06CA7E6CE912}"/>
    <cellStyle name="Style 148 5 2 3 2 3" xfId="23066" xr:uid="{38687D6C-3692-4AF4-B111-8D6096CBC71F}"/>
    <cellStyle name="Style 148 5 2 3 3" xfId="5694" xr:uid="{3E0AA390-99C0-4DC0-8789-99E3A94B2867}"/>
    <cellStyle name="Style 148 5 2 3 3 2" xfId="23067" xr:uid="{2EB0E5F9-8204-4B2D-95FA-25246A1DC98D}"/>
    <cellStyle name="Style 148 5 2 3 4" xfId="5695" xr:uid="{888481E5-FDFE-4DBE-962E-66F52AF52607}"/>
    <cellStyle name="Style 148 5 2 3 4 2" xfId="24537" xr:uid="{2F6D306E-2593-4423-B3E8-4ADECF032EB3}"/>
    <cellStyle name="Style 148 5 2 3 5" xfId="5692" xr:uid="{95A1694A-D0A6-4241-B312-09ECBECE56F4}"/>
    <cellStyle name="Style 148 5 2 3 5 2" xfId="27351" xr:uid="{3B75FE9E-DACE-4614-BA70-7F84B788C164}"/>
    <cellStyle name="Style 148 5 2 3 6" xfId="23065" xr:uid="{13544127-A5C1-47AB-8E94-A9CE3C4BEA12}"/>
    <cellStyle name="Style 148 5 2 4" xfId="1663" xr:uid="{904918E3-3901-47CE-A699-773C4AC59CF7}"/>
    <cellStyle name="Style 148 5 2 4 2" xfId="1664" xr:uid="{C01AA7F2-B5B8-46AB-8310-871C1493A303}"/>
    <cellStyle name="Style 148 5 2 4 2 2" xfId="5697" xr:uid="{FE9BAC07-4BAE-4F6B-BDE5-77FD4271FAD9}"/>
    <cellStyle name="Style 148 5 2 4 2 2 2" xfId="27354" xr:uid="{442CB428-E4D7-4ACF-BC47-5FBA4C7A3D6F}"/>
    <cellStyle name="Style 148 5 2 4 2 3" xfId="23069" xr:uid="{25D15173-6313-4CB4-B71D-4471C5743E2B}"/>
    <cellStyle name="Style 148 5 2 4 3" xfId="5696" xr:uid="{7BA015A1-7663-4B6E-8D33-1BA79C2D88D1}"/>
    <cellStyle name="Style 148 5 2 4 3 2" xfId="27353" xr:uid="{C2BE304C-0D38-4EF4-96CB-C69C01E6D4C3}"/>
    <cellStyle name="Style 148 5 2 4 4" xfId="23068" xr:uid="{8B386072-0182-4D07-A2F9-C6E79F67600D}"/>
    <cellStyle name="Style 148 5 2 5" xfId="5698" xr:uid="{76C933F5-205B-4F45-BBC9-4EF5E987BB62}"/>
    <cellStyle name="Style 148 5 2 5 2" xfId="24538" xr:uid="{B082EF7E-64D8-4D20-9921-CF115360209E}"/>
    <cellStyle name="Style 148 5 2 6" xfId="5690" xr:uid="{313FE5CE-FC1F-413C-8B14-C4BC63C08DF4}"/>
    <cellStyle name="Style 148 5 2 6 2" xfId="27349" xr:uid="{28161717-8515-453B-BAB5-C1CD14041950}"/>
    <cellStyle name="Style 148 5 2 7" xfId="23063" xr:uid="{F1DC043C-F95B-4417-B1B1-3D9AD77E622A}"/>
    <cellStyle name="Style 148 5 3" xfId="1665" xr:uid="{7E26232A-C5D2-4E96-89A6-FB489E8B28C5}"/>
    <cellStyle name="Style 148 5 3 2" xfId="5699" xr:uid="{35242D7F-F14A-45E8-AD95-A0A6C9DB63CD}"/>
    <cellStyle name="Style 148 5 3 2 2" xfId="27355" xr:uid="{7A5A8C8F-AA4A-40F2-9294-E4C696E4A762}"/>
    <cellStyle name="Style 148 5 3 3" xfId="23070" xr:uid="{7D3F4A53-1BE5-43D9-9AEB-612CC976381E}"/>
    <cellStyle name="Style 148 5 4" xfId="5700" xr:uid="{5C0F7961-11A6-44DD-807B-9548856C9151}"/>
    <cellStyle name="Style 148 5 4 2" xfId="5701" xr:uid="{307165AF-2DB3-448E-BA1C-5CA8FA674AA9}"/>
    <cellStyle name="Style 148 5 4 2 2" xfId="24539" xr:uid="{2209D46E-DC0F-4882-97E4-63829707AE6E}"/>
    <cellStyle name="Style 148 5 4 3" xfId="23071" xr:uid="{17152ABA-EA46-424A-9D4C-F017AEBE71F7}"/>
    <cellStyle name="Style 148 5 5" xfId="5689" xr:uid="{41DD6EA7-E7ED-4CA1-BE8C-D4BDBCC5FFD8}"/>
    <cellStyle name="Style 148 5 5 2" xfId="25932" xr:uid="{DA9DE2B5-C5B4-4D7B-852E-95F4281795AF}"/>
    <cellStyle name="Style 148 5 6" xfId="4369" xr:uid="{F6296D52-9250-44A7-AA9E-70201F5D4706}"/>
    <cellStyle name="Style 148 5 6 2" xfId="26581" xr:uid="{096D8EA5-5C7C-4246-A012-F3D63B985CD9}"/>
    <cellStyle name="Style 148 5 7" xfId="23062" xr:uid="{C504EAC0-BE01-4C40-A94B-B7D15DBE2E65}"/>
    <cellStyle name="Style 148 6" xfId="1666" xr:uid="{C4DC90B2-9C04-4271-8F0E-BF1F6BFFAF0D}"/>
    <cellStyle name="Style 148 6 2" xfId="1667" xr:uid="{27BC23C2-2B1F-4CBE-A693-9F7CED42138D}"/>
    <cellStyle name="Style 148 6 2 2" xfId="5703" xr:uid="{305BC544-F488-4468-88B3-DFC891832140}"/>
    <cellStyle name="Style 148 6 2 2 2" xfId="27357" xr:uid="{272B21DE-B214-46ED-BA52-726B44A730EA}"/>
    <cellStyle name="Style 148 6 2 3" xfId="23073" xr:uid="{87C648BD-7F37-4C72-ABFE-0838E7A65FA7}"/>
    <cellStyle name="Style 148 6 3" xfId="1668" xr:uid="{DF9ABF73-32F5-4E67-8A87-FA4FFF10CD85}"/>
    <cellStyle name="Style 148 6 3 2" xfId="1669" xr:uid="{F01B3229-D661-4519-BD6F-B76E93C02ED0}"/>
    <cellStyle name="Style 148 6 3 2 2" xfId="5705" xr:uid="{E89ED49E-CF07-4A43-9A55-8CD386B5ADA8}"/>
    <cellStyle name="Style 148 6 3 2 2 2" xfId="27359" xr:uid="{848472AF-6605-47AF-ADC6-D85B1CA0F57B}"/>
    <cellStyle name="Style 148 6 3 2 3" xfId="23075" xr:uid="{F2B51902-2CB7-413A-8C2D-9FF7036F5CDA}"/>
    <cellStyle name="Style 148 6 3 3" xfId="5706" xr:uid="{A61EDDDD-53B8-4C0D-B2DF-2BEE520A7268}"/>
    <cellStyle name="Style 148 6 3 3 2" xfId="23076" xr:uid="{2C68A3EB-E419-4180-A201-5C845A2E03ED}"/>
    <cellStyle name="Style 148 6 3 4" xfId="5707" xr:uid="{7E92C73D-6C06-4542-A90F-394AD5615054}"/>
    <cellStyle name="Style 148 6 3 4 2" xfId="24540" xr:uid="{E14EB83B-43B2-4EE2-9585-6C5FDF8EA2D6}"/>
    <cellStyle name="Style 148 6 3 5" xfId="5704" xr:uid="{98C79519-C965-4BCA-98E7-C4668530600E}"/>
    <cellStyle name="Style 148 6 3 5 2" xfId="27358" xr:uid="{8738709A-B1FF-4B32-869D-65D2FA3744F5}"/>
    <cellStyle name="Style 148 6 3 6" xfId="23074" xr:uid="{03EB0CB4-E567-4520-A0E6-33D7374F6DDC}"/>
    <cellStyle name="Style 148 6 4" xfId="1670" xr:uid="{35B55D31-B208-441C-9743-73DDCB01DF4C}"/>
    <cellStyle name="Style 148 6 4 2" xfId="1671" xr:uid="{07613FF4-2A2B-456F-8979-9C8122C2E67F}"/>
    <cellStyle name="Style 148 6 4 2 2" xfId="5709" xr:uid="{11594C6F-3357-4667-A626-23EBA96DB1E2}"/>
    <cellStyle name="Style 148 6 4 2 2 2" xfId="27361" xr:uid="{DEDE136E-A0E0-4875-9E62-ACAFF1703481}"/>
    <cellStyle name="Style 148 6 4 2 3" xfId="23078" xr:uid="{D12FD4E4-F726-4447-B8F1-8E00A1FF1C66}"/>
    <cellStyle name="Style 148 6 4 3" xfId="5708" xr:uid="{FD01F91C-6D0D-4796-AFD0-07B47050D101}"/>
    <cellStyle name="Style 148 6 4 3 2" xfId="27360" xr:uid="{8CD64A73-D15A-466F-ADEB-DFB2D101402A}"/>
    <cellStyle name="Style 148 6 4 4" xfId="23077" xr:uid="{9B1E50D4-53BE-4848-B805-0ECE5650FE53}"/>
    <cellStyle name="Style 148 6 5" xfId="5710" xr:uid="{68437708-2DCF-4082-B6DA-DD52A94D1B47}"/>
    <cellStyle name="Style 148 6 5 2" xfId="24541" xr:uid="{6D7092C8-94B1-4D1D-A96C-9B7D9D2AF668}"/>
    <cellStyle name="Style 148 6 6" xfId="5702" xr:uid="{00E7250A-296B-4BBE-B96D-6699A2E5C090}"/>
    <cellStyle name="Style 148 6 6 2" xfId="27356" xr:uid="{00F42D32-B71F-4BF4-AABF-FEAAE6BCDA5C}"/>
    <cellStyle name="Style 148 6 7" xfId="23072" xr:uid="{0E4E8A3A-6402-4ECE-8446-C135D15FA4C6}"/>
    <cellStyle name="Style 148 7" xfId="1672" xr:uid="{BCABAE6C-DACE-4779-A1D9-41479B6F1AF2}"/>
    <cellStyle name="Style 148 7 2" xfId="1673" xr:uid="{F8E5EC20-24E8-4252-B5B4-336D895CDFD8}"/>
    <cellStyle name="Style 148 7 2 2" xfId="5712" xr:uid="{3A3C99B9-DE51-4BC9-868A-0FE4FD64B620}"/>
    <cellStyle name="Style 148 7 2 2 2" xfId="27363" xr:uid="{1147E516-B480-43FF-992F-E5B23A68CE3E}"/>
    <cellStyle name="Style 148 7 2 3" xfId="23080" xr:uid="{46F56B4D-8CE1-415E-8948-6290E6F47E77}"/>
    <cellStyle name="Style 148 7 3" xfId="5713" xr:uid="{215C68B1-22FE-478C-AAF5-CCD17612A859}"/>
    <cellStyle name="Style 148 7 3 2" xfId="23081" xr:uid="{65EA85A8-2BF4-4849-8050-3821BC4F3FC9}"/>
    <cellStyle name="Style 148 7 4" xfId="5714" xr:uid="{7FB19B48-3DE8-4FBD-AF66-CCFE7CC4D3CC}"/>
    <cellStyle name="Style 148 7 4 2" xfId="24542" xr:uid="{A940B785-DD1F-4C55-90B3-D9363780DA3C}"/>
    <cellStyle name="Style 148 7 5" xfId="5711" xr:uid="{5A745E3A-461E-4481-B03E-2CF6C0C53996}"/>
    <cellStyle name="Style 148 7 5 2" xfId="27362" xr:uid="{96453402-BA62-4AA1-8B93-E70958D52CD9}"/>
    <cellStyle name="Style 148 7 6" xfId="23079" xr:uid="{4411750C-1114-4B1D-A64A-2806153AC9E7}"/>
    <cellStyle name="Style 148 8" xfId="1674" xr:uid="{7764AE26-AED1-40E1-9166-CB619666DA04}"/>
    <cellStyle name="Style 148 8 2" xfId="1675" xr:uid="{24A625C5-4FA3-4D2A-8DE1-6261571390F1}"/>
    <cellStyle name="Style 148 8 2 2" xfId="5716" xr:uid="{3BC6B0B9-6EB7-40AB-9614-D8D88BBB3209}"/>
    <cellStyle name="Style 148 8 2 2 2" xfId="27365" xr:uid="{668C4E4E-5A80-46FB-87BB-440437EDD78F}"/>
    <cellStyle name="Style 148 8 2 3" xfId="23083" xr:uid="{13A3156D-D72B-40DE-8A91-418CEF40448F}"/>
    <cellStyle name="Style 148 8 3" xfId="5717" xr:uid="{422D0116-217C-4047-ACDC-FED224F7BA26}"/>
    <cellStyle name="Style 148 8 3 2" xfId="23084" xr:uid="{5E542FA5-234E-4CE3-AC7D-2DB8BDCC5A93}"/>
    <cellStyle name="Style 148 8 4" xfId="5718" xr:uid="{7315CF7B-2443-4876-B5A4-47922DAF1F68}"/>
    <cellStyle name="Style 148 8 4 2" xfId="24543" xr:uid="{A6D6C456-8079-483C-A7AF-0430795A5AF4}"/>
    <cellStyle name="Style 148 8 5" xfId="5715" xr:uid="{5D36049E-5530-41E3-A10D-DFD50FAC7915}"/>
    <cellStyle name="Style 148 8 5 2" xfId="27364" xr:uid="{D31DC522-C16E-4982-9E1D-D33C86928139}"/>
    <cellStyle name="Style 148 8 6" xfId="23082" xr:uid="{20AB6C3B-1837-46E0-8BB5-290D4A997DFF}"/>
    <cellStyle name="Style 148 9" xfId="1676" xr:uid="{11E994B1-4366-48AD-A31C-A5E82AF9D53A}"/>
    <cellStyle name="Style 148 9 2" xfId="1677" xr:uid="{975D2CA4-E5F7-43DA-B107-DE57747BBEC0}"/>
    <cellStyle name="Style 148 9 2 2" xfId="5719" xr:uid="{6D9060F3-1EE3-4D65-8759-2FACCD2EA8F7}"/>
    <cellStyle name="Style 148 9 2 2 2" xfId="27367" xr:uid="{4420955B-D600-43B1-8D6B-20A0D6EC107D}"/>
    <cellStyle name="Style 148 9 2 3" xfId="24544" xr:uid="{1E801BD5-3452-4459-9084-AE92235F3901}"/>
    <cellStyle name="Style 148 9 3" xfId="4107" xr:uid="{22D0D078-5808-4E3E-BF79-4D34176C8B4A}"/>
    <cellStyle name="Style 148 9 3 2" xfId="27366" xr:uid="{EA46948F-5E5F-4C1C-8A1E-EADD4DE798AC}"/>
    <cellStyle name="Style 148 9 4" xfId="23085" xr:uid="{3063832D-4BB5-4C7B-BF0E-2BE52E9B046B}"/>
    <cellStyle name="Style 148_ADDON" xfId="25774" xr:uid="{906AFEDA-FF0B-4664-96C0-C3F80A9468F8}"/>
    <cellStyle name="Style 149" xfId="1678" xr:uid="{EF47A12A-7751-4A92-81E5-5E5DFA702081}"/>
    <cellStyle name="Style 149 10" xfId="23086" xr:uid="{70504980-D312-41C5-ABE5-836B08285474}"/>
    <cellStyle name="Style 149 2" xfId="1679" xr:uid="{0D2AC308-E9CC-4D3F-81E6-19B8AE5303C8}"/>
    <cellStyle name="Style 149 2 2" xfId="9115" xr:uid="{D1E72BB2-F7B2-4C8E-B78C-9C5F0261ABE4}"/>
    <cellStyle name="Style 149 2 2 2" xfId="28900" xr:uid="{C024B172-CBC6-40C3-832A-52D6566D8C20}"/>
    <cellStyle name="Style 149 2 3" xfId="23087" xr:uid="{EA69219A-3119-41C4-82A0-90097A1CD60F}"/>
    <cellStyle name="Style 149 3" xfId="1680" xr:uid="{07A1B919-013E-4E83-AF84-E7B17EAB6AD3}"/>
    <cellStyle name="Style 149 3 2" xfId="1681" xr:uid="{4D9547E3-068A-4954-993C-A535D554D963}"/>
    <cellStyle name="Style 149 3 2 2" xfId="23089" xr:uid="{AA3DBF30-C1DD-4DA8-B153-41DCDC457D8F}"/>
    <cellStyle name="Style 149 3 3" xfId="1682" xr:uid="{C60545A8-BCC1-4A73-8B9E-594F076E0919}"/>
    <cellStyle name="Style 149 3 3 2" xfId="1683" xr:uid="{AD2CFB30-1019-4950-9D6B-727B32238CD2}"/>
    <cellStyle name="Style 149 3 3 2 2" xfId="23091" xr:uid="{F7EEC6AB-7FB0-4655-B804-472264DDFEBB}"/>
    <cellStyle name="Style 149 3 3 3" xfId="5720" xr:uid="{88237CF0-90AA-46F1-9BE9-50AD208D894F}"/>
    <cellStyle name="Style 149 3 3 3 2" xfId="23092" xr:uid="{14ACB572-42BA-475F-B1A7-68E41AE41C4B}"/>
    <cellStyle name="Style 149 3 3 4" xfId="5721" xr:uid="{6A4CA318-E0AA-41F2-8580-756ACA2B0751}"/>
    <cellStyle name="Style 149 3 3 4 2" xfId="24545" xr:uid="{FD017C36-C06A-40DC-820B-D9F7BEEAAA11}"/>
    <cellStyle name="Style 149 3 3 5" xfId="23090" xr:uid="{F4988A7B-81F8-40F4-B217-1C20057A9223}"/>
    <cellStyle name="Style 149 3 4" xfId="1684" xr:uid="{06C1A579-3874-4BC5-B5DD-3EA27D6DB799}"/>
    <cellStyle name="Style 149 3 4 2" xfId="1685" xr:uid="{627C5CC4-ECEE-4C58-9078-467C070154D1}"/>
    <cellStyle name="Style 149 3 4 2 2" xfId="23094" xr:uid="{3E9539EA-7089-42B5-9C33-1EC043C12F0E}"/>
    <cellStyle name="Style 149 3 4 3" xfId="23093" xr:uid="{9510A221-AAAC-4D6A-A6F4-36E887712100}"/>
    <cellStyle name="Style 149 3 5" xfId="5722" xr:uid="{5C1FEDA9-A3D1-42F3-84DC-B9BF2C826EB3}"/>
    <cellStyle name="Style 149 3 5 2" xfId="24546" xr:uid="{7E4D34A9-E557-477E-89C1-9D448A527984}"/>
    <cellStyle name="Style 149 3 6" xfId="23088" xr:uid="{B5EA99B2-396C-46C3-BFBF-28223E334B52}"/>
    <cellStyle name="Style 149 4" xfId="1686" xr:uid="{4D2E18F1-DBB1-4912-8D73-A0D2AF3CD7A3}"/>
    <cellStyle name="Style 149 4 2" xfId="1687" xr:uid="{6B8BCE55-3ABE-4497-81E7-7E341D8B9B81}"/>
    <cellStyle name="Style 149 4 2 2" xfId="23096" xr:uid="{7DE1E4F2-6F5E-4D54-965A-6854789F1352}"/>
    <cellStyle name="Style 149 4 3" xfId="5723" xr:uid="{9E890200-5A04-46BB-81E8-82D99D19634A}"/>
    <cellStyle name="Style 149 4 3 2" xfId="23097" xr:uid="{4039F8F5-5B29-465D-9CCA-065F2DAC6A50}"/>
    <cellStyle name="Style 149 4 4" xfId="5724" xr:uid="{DB819048-8A96-434F-8280-B10A295B4AD4}"/>
    <cellStyle name="Style 149 4 4 2" xfId="24547" xr:uid="{B83A6BB4-5CFC-4604-8EC4-A95119B0BD07}"/>
    <cellStyle name="Style 149 4 5" xfId="23095" xr:uid="{7382EB55-D2A9-4AF5-B754-35AF3B9DA036}"/>
    <cellStyle name="Style 149 5" xfId="1688" xr:uid="{230B4653-9B69-4765-9E31-38A0A0C7FCB4}"/>
    <cellStyle name="Style 149 5 2" xfId="1689" xr:uid="{A2166440-F280-4FAB-8E2D-C857C6400419}"/>
    <cellStyle name="Style 149 5 2 2" xfId="23099" xr:uid="{36EF2934-1E23-4481-AFC7-84890B34D5BC}"/>
    <cellStyle name="Style 149 5 3" xfId="23098" xr:uid="{35A3EB3E-33AD-4399-B26F-B75DCD881A26}"/>
    <cellStyle name="Style 149 6" xfId="1690" xr:uid="{FCCC09AC-E0C1-4103-8994-D940C51B87AD}"/>
    <cellStyle name="Style 149 6 2" xfId="1691" xr:uid="{6257E347-920F-4957-A40A-E53B7461B9B3}"/>
    <cellStyle name="Style 149 6 2 2" xfId="24548" xr:uid="{D78A64EE-BA13-44D4-BEAB-C65907A93914}"/>
    <cellStyle name="Style 149 6 3" xfId="4109" xr:uid="{CBCC2A78-415F-4AB4-A5B9-91A120576F16}"/>
    <cellStyle name="Style 149 6 3 2" xfId="28319" xr:uid="{90FB8776-529A-4AF1-BBBA-84E3DE985D42}"/>
    <cellStyle name="Style 149 6 4" xfId="23100" xr:uid="{27CC62A4-0F30-452E-8288-DF092C74C910}"/>
    <cellStyle name="Style 149 7" xfId="4108" xr:uid="{5E119955-AF8C-4E79-AAFB-7E10009EC6DA}"/>
    <cellStyle name="Style 149 7 2" xfId="5726" xr:uid="{7D489D00-E508-4E63-8466-54A38FBA8A05}"/>
    <cellStyle name="Style 149 7 2 2" xfId="24549" xr:uid="{FEFEB194-95CF-4931-B9F5-427A868ECE77}"/>
    <cellStyle name="Style 149 7 3" xfId="5725" xr:uid="{6423810A-2DAD-47CF-B953-BC36F607ED65}"/>
    <cellStyle name="Style 149 7 3 2" xfId="40716" xr:uid="{4455C0CC-4D47-4552-981D-0133251111AB}"/>
    <cellStyle name="Style 149 7 4" xfId="23101" xr:uid="{35A55CE5-0E94-4386-96AE-F549640CCE1C}"/>
    <cellStyle name="Style 149 8" xfId="5727" xr:uid="{AEBA3584-26A8-4A8A-B774-279A90823257}"/>
    <cellStyle name="Style 149 8 2" xfId="24550" xr:uid="{94556004-6060-4F96-8CE4-C331FDA4D2F7}"/>
    <cellStyle name="Style 149 9" xfId="9116" xr:uid="{D07338A3-B661-4638-9CA0-B1088E4206D0}"/>
    <cellStyle name="Style 149 9 2" xfId="26582" xr:uid="{0C86EC63-12B9-45CD-B301-FF3CBEE0C886}"/>
    <cellStyle name="Style 149_ADDON" xfId="25738" xr:uid="{0632EEAB-308B-464B-9122-7F474A9FE9E1}"/>
    <cellStyle name="Style 150" xfId="1692" xr:uid="{3C806A27-B05A-4B6A-8F09-7E72A11A303E}"/>
    <cellStyle name="Style 150 2" xfId="1693" xr:uid="{58427718-032D-4515-AA66-1635393C1E67}"/>
    <cellStyle name="Style 150 2 2" xfId="1694" xr:uid="{7D7C3591-12E0-4B02-8687-370433672A55}"/>
    <cellStyle name="Style 150 2 2 2" xfId="1695" xr:uid="{FDCC586B-0D58-4D23-BC1C-F66946021915}"/>
    <cellStyle name="Style 150 2 2 2 2" xfId="1696" xr:uid="{522B03A0-6C1F-4074-BEB3-16F7F7A8B0DE}"/>
    <cellStyle name="Style 150 2 2 2 2 2" xfId="1697" xr:uid="{1CB14485-8EC6-44AF-AAF3-BAC9A572B2CA}"/>
    <cellStyle name="Style 150 2 2 2 2 2 2" xfId="9117" xr:uid="{9289918E-6E8E-4AEB-B756-491C60C6AA68}"/>
    <cellStyle name="Style 150 2 2 2 2 3" xfId="9118" xr:uid="{8ED270C8-76BA-4E4D-A329-22BE35FB19BB}"/>
    <cellStyle name="Style 150 2 2 2 3" xfId="1698" xr:uid="{B5BC2404-67BA-4DDD-B5C5-E6DB4A31654F}"/>
    <cellStyle name="Style 150 2 2 2 3 2" xfId="9119" xr:uid="{B08414B2-499B-4F65-8DB0-0979AC910100}"/>
    <cellStyle name="Style 150 2 2 2 4" xfId="9120" xr:uid="{B63BEB9C-73A5-4769-814F-56904012D82E}"/>
    <cellStyle name="Style 150 2 2 3" xfId="1699" xr:uid="{951C9938-214D-4D8E-BE9B-86B764B7B294}"/>
    <cellStyle name="Style 150 2 2 3 2" xfId="1700" xr:uid="{D11E83DD-D387-44E9-BFF4-081C0E3A2820}"/>
    <cellStyle name="Style 150 2 2 3 2 2" xfId="9121" xr:uid="{AC88EEF5-1E7A-431A-AA61-88246E1128ED}"/>
    <cellStyle name="Style 150 2 2 3 3" xfId="9122" xr:uid="{CF6E7C73-3F5B-4A82-95BA-B1C6100A7658}"/>
    <cellStyle name="Style 150 2 2 4" xfId="1701" xr:uid="{DDA07904-22AE-4F78-AFC3-DADE651A3708}"/>
    <cellStyle name="Style 150 2 2 4 2" xfId="9123" xr:uid="{FF8CEFFA-83CD-408B-ACBD-6B400F785DAE}"/>
    <cellStyle name="Style 150 2 2 5" xfId="9124" xr:uid="{C28BE3CD-F1C4-41ED-A291-71215E64A264}"/>
    <cellStyle name="Style 150 2 3" xfId="1702" xr:uid="{EDCFD0E2-05F3-4554-9C2A-065ADC778B18}"/>
    <cellStyle name="Style 150 2 3 2" xfId="1703" xr:uid="{758B88BE-AEE1-48A5-A1BF-6059F965918B}"/>
    <cellStyle name="Style 150 2 3 2 2" xfId="1704" xr:uid="{4BFEE84B-95C4-48A9-A406-F5660FFF9BA8}"/>
    <cellStyle name="Style 150 2 3 2 2 2" xfId="9125" xr:uid="{D13C44FB-C93D-49D1-A53C-DD8403F0FA69}"/>
    <cellStyle name="Style 150 2 3 2 3" xfId="9126" xr:uid="{39450CD1-CD28-4669-800C-6F051C8568F3}"/>
    <cellStyle name="Style 150 2 3 3" xfId="1705" xr:uid="{940BCAF4-87C0-4763-9490-F1671FA182B4}"/>
    <cellStyle name="Style 150 2 3 3 2" xfId="9127" xr:uid="{DABDA4DD-27FF-4A1C-8C45-B8D6AA2B73D0}"/>
    <cellStyle name="Style 150 2 3 4" xfId="9128" xr:uid="{C488264E-DC85-40CD-9CA1-5B57D2F72292}"/>
    <cellStyle name="Style 150 2 4" xfId="1706" xr:uid="{76BBC8C2-2894-43F5-A7BE-D54195E4C51D}"/>
    <cellStyle name="Style 150 2 4 2" xfId="1707" xr:uid="{BBFCE17A-EDA3-4695-9D77-32EBB5AF684D}"/>
    <cellStyle name="Style 150 2 4 2 2" xfId="9129" xr:uid="{CAF61B3E-8BA7-4FCC-AF9C-D6262FE407C9}"/>
    <cellStyle name="Style 150 2 4 3" xfId="9130" xr:uid="{A7C9331D-DA04-45FD-B930-7F8A588333FC}"/>
    <cellStyle name="Style 150 2 5" xfId="1708" xr:uid="{3E76A9FE-F2D7-462F-B97C-211E8592A415}"/>
    <cellStyle name="Style 150 2 5 2" xfId="9131" xr:uid="{56B399A5-722C-4933-A9F4-9821F0E6FF6E}"/>
    <cellStyle name="Style 150 2 6" xfId="9132" xr:uid="{4CCA3A04-86F9-4A42-A29A-F20274F2EA35}"/>
    <cellStyle name="Style 150 3" xfId="1709" xr:uid="{B654B9E8-E3C5-4881-B19E-C9E4D1F01377}"/>
    <cellStyle name="Style 150 3 2" xfId="1710" xr:uid="{DD9D0147-433E-4798-B789-BE9EFA47B662}"/>
    <cellStyle name="Style 150 3 2 2" xfId="1711" xr:uid="{A5C0DE0D-D600-430E-9344-1D6F44672800}"/>
    <cellStyle name="Style 150 3 2 2 2" xfId="1712" xr:uid="{1E469E4A-E469-4132-B5C1-072A8FEE27AD}"/>
    <cellStyle name="Style 150 3 2 2 2 2" xfId="1713" xr:uid="{6F21E244-34C5-4559-BFD3-73B621404E43}"/>
    <cellStyle name="Style 150 3 2 2 2 2 2" xfId="9133" xr:uid="{515BB3BD-94B7-4FAB-9575-9FDB49DC3CEE}"/>
    <cellStyle name="Style 150 3 2 2 2 3" xfId="9134" xr:uid="{51CDFFD9-6B4B-4BF1-80DD-C600A48C918A}"/>
    <cellStyle name="Style 150 3 2 2 3" xfId="1714" xr:uid="{4E846949-2809-4C2B-BAD9-9EB8D9E621FC}"/>
    <cellStyle name="Style 150 3 2 2 3 2" xfId="9135" xr:uid="{D96E9712-F981-4E5C-8B73-FCC3DD0AB7D9}"/>
    <cellStyle name="Style 150 3 2 2 4" xfId="9136" xr:uid="{75FA8B5C-816C-4DF2-8864-22D15E2317C3}"/>
    <cellStyle name="Style 150 3 2 3" xfId="1715" xr:uid="{DAF2899D-4FF9-4247-BA19-D581BAB658B1}"/>
    <cellStyle name="Style 150 3 2 3 2" xfId="1716" xr:uid="{B7FBA050-1E8C-454F-9825-4E8CF874AC04}"/>
    <cellStyle name="Style 150 3 2 3 2 2" xfId="9137" xr:uid="{73F5D17C-9F3E-404A-84A8-BC3C35F7B942}"/>
    <cellStyle name="Style 150 3 2 3 3" xfId="9138" xr:uid="{D6150BEE-19DB-498E-B7CC-968660BCFDB3}"/>
    <cellStyle name="Style 150 3 2 4" xfId="1717" xr:uid="{45203385-28F8-4F9D-BDA6-5F08FD5B7A04}"/>
    <cellStyle name="Style 150 3 2 4 2" xfId="9139" xr:uid="{0FF839F7-FF97-4E7D-A974-8F563A26ADD9}"/>
    <cellStyle name="Style 150 3 2 5" xfId="9140" xr:uid="{632F9ABB-BBB4-4114-A1D8-A5ECFF889413}"/>
    <cellStyle name="Style 150 3 3" xfId="1718" xr:uid="{59045BA8-35B2-48B2-8234-C74CBD89FD51}"/>
    <cellStyle name="Style 150 3 3 2" xfId="1719" xr:uid="{AC2B678D-C3CC-46B3-B75D-E2A2ADB2EF88}"/>
    <cellStyle name="Style 150 3 3 2 2" xfId="1720" xr:uid="{C5434E8F-48D3-4C4E-A54F-598F267CD640}"/>
    <cellStyle name="Style 150 3 3 2 2 2" xfId="1721" xr:uid="{C99BF3C4-20AD-44AC-AF15-243821359303}"/>
    <cellStyle name="Style 150 3 3 2 2 2 2" xfId="9141" xr:uid="{781B2907-E507-475C-81E6-29E521DB6EEE}"/>
    <cellStyle name="Style 150 3 3 2 2 3" xfId="9142" xr:uid="{0D68963E-E045-4351-A01C-DF577CEF3D77}"/>
    <cellStyle name="Style 150 3 3 2 3" xfId="1722" xr:uid="{CF2547B2-28C4-4623-AC36-37760FB8E851}"/>
    <cellStyle name="Style 150 3 3 2 3 2" xfId="9143" xr:uid="{F178A8A4-F4D7-4ADD-85DC-0655DCF98209}"/>
    <cellStyle name="Style 150 3 3 2 4" xfId="9144" xr:uid="{35ACC264-4BAF-4DD6-982F-96EB823D1F2F}"/>
    <cellStyle name="Style 150 3 3 3" xfId="1723" xr:uid="{1405D402-28EE-418B-94E7-28AC4B2FD11D}"/>
    <cellStyle name="Style 150 3 3 3 2" xfId="9145" xr:uid="{0176B8FF-9F42-4B7C-984E-B58201FFFD7A}"/>
    <cellStyle name="Style 150 3 3 4" xfId="5728" xr:uid="{782F6F38-B35C-4F36-8634-78DD4FCE0E71}"/>
    <cellStyle name="Style 150 3 3 5" xfId="9146" xr:uid="{BD872C11-5C1F-4801-BBE2-315206E502DD}"/>
    <cellStyle name="Style 150 3 4" xfId="1724" xr:uid="{717742D1-D986-4970-ABA9-07A873D04968}"/>
    <cellStyle name="Style 150 3 4 2" xfId="1725" xr:uid="{F0639B3A-33A7-4E31-A380-C28659545CFF}"/>
    <cellStyle name="Style 150 3 4 2 2" xfId="9147" xr:uid="{45B50B52-B3BA-404F-89FE-8A91181D42E3}"/>
    <cellStyle name="Style 150 3 4 3" xfId="9148" xr:uid="{077BF30C-F80B-429F-9D5A-634B1687C38B}"/>
    <cellStyle name="Style 150 3 5" xfId="1726" xr:uid="{EFCC8DB0-27BD-42E9-BFCC-F758698DDF7A}"/>
    <cellStyle name="Style 150 3 5 2" xfId="9149" xr:uid="{A6EECE55-642B-4E6A-B203-E96E6073331A}"/>
    <cellStyle name="Style 150 3 6" xfId="9150" xr:uid="{DD5D964C-5A26-44E7-A299-C1CF0255E35B}"/>
    <cellStyle name="Style 150 4" xfId="1727" xr:uid="{87C7130B-C13E-4500-9D8C-1565DF318F84}"/>
    <cellStyle name="Style 150 4 2" xfId="1728" xr:uid="{F77981A1-D39C-41D8-B337-330B21C4EC86}"/>
    <cellStyle name="Style 150 4 2 2" xfId="1729" xr:uid="{2E037E1B-F40B-416F-925C-55DC843F610A}"/>
    <cellStyle name="Style 150 4 2 2 2" xfId="1730" xr:uid="{7DD48025-F50E-4CB5-B3D9-BE6B62E0F612}"/>
    <cellStyle name="Style 150 4 2 2 2 2" xfId="9151" xr:uid="{01FA8241-6B67-44BB-9C1D-5F46C7E4436A}"/>
    <cellStyle name="Style 150 4 2 2 3" xfId="9152" xr:uid="{D01C7072-3729-49B7-B88E-1F9699397207}"/>
    <cellStyle name="Style 150 4 2 3" xfId="1731" xr:uid="{EC88E942-9E35-45CA-9CD2-63EEBAB80FFC}"/>
    <cellStyle name="Style 150 4 2 3 2" xfId="9153" xr:uid="{3437F866-652A-4D7B-8BAE-A2FE335238F9}"/>
    <cellStyle name="Style 150 4 2 4" xfId="9154" xr:uid="{E26572F0-EE98-41A1-95B5-7EDDEF569455}"/>
    <cellStyle name="Style 150 4 3" xfId="1732" xr:uid="{BCDBB216-1F96-4A17-97EA-9CDFBC786646}"/>
    <cellStyle name="Style 150 4 3 2" xfId="9155" xr:uid="{9C35D1AF-8581-4DAC-9778-A8C296078BC9}"/>
    <cellStyle name="Style 150 4 4" xfId="5729" xr:uid="{B20E28AE-76C5-484B-B32C-303A2D4BD219}"/>
    <cellStyle name="Style 150 4 5" xfId="9156" xr:uid="{F3260090-4B71-460E-87B0-76ED1938270B}"/>
    <cellStyle name="Style 150 5" xfId="1733" xr:uid="{6B500546-E4F1-45E7-AE74-4F98C00EAFD7}"/>
    <cellStyle name="Style 150 5 2" xfId="1734" xr:uid="{1E1FE108-285D-4223-8F46-6B3A2A050B3B}"/>
    <cellStyle name="Style 150 5 2 2" xfId="9157" xr:uid="{8EC0ADDB-0805-4A72-B37E-4D2D7F886F2E}"/>
    <cellStyle name="Style 150 5 3" xfId="9158" xr:uid="{10DB4906-0FEE-4F52-BBCD-01C3A6ABB7DA}"/>
    <cellStyle name="Style 150 6" xfId="1735" xr:uid="{649397D7-B9BE-4F70-8A85-7386107FB778}"/>
    <cellStyle name="Style 150 6 2" xfId="4111" xr:uid="{D15DED87-A6ED-48B6-94EC-A49CD5C982AA}"/>
    <cellStyle name="Style 150 6 2 2" xfId="5730" xr:uid="{EB129EA1-B58E-4966-8C4F-9662678048DA}"/>
    <cellStyle name="Style 150 6 3" xfId="9159" xr:uid="{66688AF9-EA63-4AC1-93F3-C529E61CC283}"/>
    <cellStyle name="Style 150 7" xfId="4110" xr:uid="{0D1DF53C-FABA-4A44-9702-E597CE28F8D5}"/>
    <cellStyle name="Style 150 7 2" xfId="5732" xr:uid="{09A3B0D4-1744-4068-A290-F49C028574CF}"/>
    <cellStyle name="Style 150 7 3" xfId="5731" xr:uid="{18955D51-77BE-4DF9-B780-5EAB283544A5}"/>
    <cellStyle name="Style 150 8" xfId="5733" xr:uid="{52D148B0-4277-45C9-B8B9-0D571A859BB4}"/>
    <cellStyle name="Style 150 9" xfId="9160" xr:uid="{B4AC5A9F-E094-4694-B007-A9FDA2E16499}"/>
    <cellStyle name="Style 150 9 2" xfId="26583" xr:uid="{99D0BA22-D59E-4BB6-89A0-668EF9D2395D}"/>
    <cellStyle name="Style 150_ADDON" xfId="25775" xr:uid="{47FC13EC-CAC5-4979-8FD4-B93F64A60B6D}"/>
    <cellStyle name="Style 151" xfId="1736" xr:uid="{52DD319C-10C6-4F4B-82B0-CEC4BE8408EC}"/>
    <cellStyle name="Style 151 10" xfId="23102" xr:uid="{40F8413B-3B9B-4E9E-B850-79758675D621}"/>
    <cellStyle name="Style 151 2" xfId="1737" xr:uid="{24D9CE02-83A9-43D2-972D-DBB6A90C3CAD}"/>
    <cellStyle name="Style 151 2 2" xfId="9161" xr:uid="{183DBB9C-3DCF-43A3-98B7-567A2A5D0F5A}"/>
    <cellStyle name="Style 151 2 2 2" xfId="28901" xr:uid="{6C71ED0A-DB56-47FE-BBF6-739E49187C10}"/>
    <cellStyle name="Style 151 2 3" xfId="23103" xr:uid="{4DEB9FBD-63C1-4750-B271-D1B113078EB9}"/>
    <cellStyle name="Style 151 3" xfId="1738" xr:uid="{845BC0A4-0314-4D59-B288-3FD689BA08BD}"/>
    <cellStyle name="Style 151 3 2" xfId="1739" xr:uid="{51C481DE-9609-47C5-9274-011775697445}"/>
    <cellStyle name="Style 151 3 2 2" xfId="23105" xr:uid="{70D0BA13-55D1-4BBE-AB62-E64FE606FE84}"/>
    <cellStyle name="Style 151 3 3" xfId="1740" xr:uid="{B546D603-E3A5-4AA3-8D35-798C845FC92E}"/>
    <cellStyle name="Style 151 3 3 2" xfId="1741" xr:uid="{FE328396-33E7-4313-AB07-E43E1105FEE5}"/>
    <cellStyle name="Style 151 3 3 2 2" xfId="23107" xr:uid="{13283952-90DE-490E-89BB-3815385BC30F}"/>
    <cellStyle name="Style 151 3 3 3" xfId="5734" xr:uid="{CC701793-0AEB-4C2D-A447-57971FCBA3C9}"/>
    <cellStyle name="Style 151 3 3 3 2" xfId="23108" xr:uid="{08320C3B-FED2-4989-9D19-01D9F7B0BA2D}"/>
    <cellStyle name="Style 151 3 3 4" xfId="5735" xr:uid="{AD1C744B-30F1-49ED-B8E8-FE1B6688FE7A}"/>
    <cellStyle name="Style 151 3 3 4 2" xfId="24551" xr:uid="{0F987BF7-6C1F-4371-8951-15C17CE9EF22}"/>
    <cellStyle name="Style 151 3 3 5" xfId="23106" xr:uid="{18926E32-3488-4617-976E-2E88FF384350}"/>
    <cellStyle name="Style 151 3 4" xfId="1742" xr:uid="{FFEC09BD-7080-4CCC-ABB9-8A5C729923D5}"/>
    <cellStyle name="Style 151 3 4 2" xfId="1743" xr:uid="{93021D03-EA17-4565-84D4-A219CEEF703B}"/>
    <cellStyle name="Style 151 3 4 2 2" xfId="23110" xr:uid="{420CAFB6-DF3F-4076-89AE-5E477EFB15A1}"/>
    <cellStyle name="Style 151 3 4 3" xfId="23109" xr:uid="{1C5EE739-0CE6-4027-B472-516DC75A4F22}"/>
    <cellStyle name="Style 151 3 5" xfId="5736" xr:uid="{07FCB725-8A90-4919-B670-552EC158E8FF}"/>
    <cellStyle name="Style 151 3 5 2" xfId="24552" xr:uid="{2FA82326-5ABD-4655-8A17-933E9230EF17}"/>
    <cellStyle name="Style 151 3 6" xfId="23104" xr:uid="{B6821D66-2F0E-480E-B4F7-A07F3EF0BEBA}"/>
    <cellStyle name="Style 151 4" xfId="1744" xr:uid="{0C7180FF-F127-41CB-ADC0-B5F0556CCBCD}"/>
    <cellStyle name="Style 151 4 2" xfId="1745" xr:uid="{26EEEA0C-78DA-4DDE-975C-BDA41E96BC90}"/>
    <cellStyle name="Style 151 4 2 2" xfId="23112" xr:uid="{12C4D9C1-04FB-4AE5-9137-A8B63E999C35}"/>
    <cellStyle name="Style 151 4 3" xfId="5737" xr:uid="{E7A9D31D-3D25-436B-A799-AFE95F5F05E1}"/>
    <cellStyle name="Style 151 4 3 2" xfId="23113" xr:uid="{79DA0D3A-3F82-4D3B-974D-22CF07955DEB}"/>
    <cellStyle name="Style 151 4 4" xfId="5738" xr:uid="{A590ECE4-E846-4101-9A1B-F52A5730F90A}"/>
    <cellStyle name="Style 151 4 4 2" xfId="24553" xr:uid="{C6360C97-535B-4A8A-AB15-777AD08FAFE3}"/>
    <cellStyle name="Style 151 4 5" xfId="23111" xr:uid="{DFFD77AC-6156-42DD-9E6E-F2669BCEAF85}"/>
    <cellStyle name="Style 151 5" xfId="1746" xr:uid="{F6A282AD-FF79-43C4-A797-409817FF35D8}"/>
    <cellStyle name="Style 151 5 2" xfId="1747" xr:uid="{8D653C21-EAD3-4385-85AD-F7AEA01D0C2C}"/>
    <cellStyle name="Style 151 5 2 2" xfId="23115" xr:uid="{67A1D8E3-4C2E-429A-A9CF-213B5F8DD781}"/>
    <cellStyle name="Style 151 5 3" xfId="23114" xr:uid="{0B0FD1F1-2252-407D-9E43-A038BFBA53D7}"/>
    <cellStyle name="Style 151 6" xfId="1748" xr:uid="{04A87936-3E2E-47F1-8A37-7B79A9C8C2F0}"/>
    <cellStyle name="Style 151 6 2" xfId="1749" xr:uid="{1F60BE63-9FBF-4112-A0F4-6062233604BC}"/>
    <cellStyle name="Style 151 6 2 2" xfId="24554" xr:uid="{0952B382-CD9F-409F-ABDA-2E000EA38006}"/>
    <cellStyle name="Style 151 6 3" xfId="4113" xr:uid="{16A7EDAB-0BD4-42E0-B3D9-D90278D915AA}"/>
    <cellStyle name="Style 151 6 3 2" xfId="28320" xr:uid="{282CBAA4-BD67-4D44-9647-4D81CA24145B}"/>
    <cellStyle name="Style 151 6 4" xfId="23116" xr:uid="{EEF04188-2C8F-4163-A441-490B30021E85}"/>
    <cellStyle name="Style 151 7" xfId="4112" xr:uid="{47A59B9F-38F1-4D83-9B5D-D423FC8B6A74}"/>
    <cellStyle name="Style 151 7 2" xfId="5740" xr:uid="{D5C4BDAE-A8DA-422A-B5D1-86D57393812A}"/>
    <cellStyle name="Style 151 7 2 2" xfId="24555" xr:uid="{E5D94E6B-BB28-48F4-941F-4A22A5410331}"/>
    <cellStyle name="Style 151 7 3" xfId="5739" xr:uid="{F6526BF8-C967-4783-A3B7-308D7EBE437F}"/>
    <cellStyle name="Style 151 7 3 2" xfId="40717" xr:uid="{9C3EB9D8-1170-4CBC-A54D-30174AC98A8D}"/>
    <cellStyle name="Style 151 7 4" xfId="23117" xr:uid="{B0DC96D5-D325-4EEB-8384-9C137D03BB6F}"/>
    <cellStyle name="Style 151 8" xfId="5741" xr:uid="{685EACCB-4416-43EB-9C92-AF64AB545C16}"/>
    <cellStyle name="Style 151 8 2" xfId="24556" xr:uid="{63C947F5-8C69-409A-A753-E961C1E2F3DE}"/>
    <cellStyle name="Style 151 9" xfId="9162" xr:uid="{0AC1AB27-AE2D-407E-9608-839B71BE0BD3}"/>
    <cellStyle name="Style 151 9 2" xfId="26584" xr:uid="{D94578CE-251A-4A94-B231-DDC096160BBE}"/>
    <cellStyle name="Style 151_ADDON" xfId="25739" xr:uid="{90B0BBC0-1582-44BE-BB5A-9AE4C87A2FAB}"/>
    <cellStyle name="Style 152" xfId="1750" xr:uid="{7E39BCEE-4DD0-4139-B2E2-72CF7891C892}"/>
    <cellStyle name="Style 152 10" xfId="1751" xr:uid="{1D8DB4AD-CEA9-4C2B-9D77-2108A7AA9C9F}"/>
    <cellStyle name="Style 152 10 2" xfId="1752" xr:uid="{C5B9F6E2-EE85-49C7-BB59-C96AD34FCAD8}"/>
    <cellStyle name="Style 152 10 2 2" xfId="5742" xr:uid="{C559A97F-FF7E-4549-8071-6974C4E2881A}"/>
    <cellStyle name="Style 152 10 2 2 2" xfId="27369" xr:uid="{0CEA4B16-3832-4939-946E-BA3AD78E781A}"/>
    <cellStyle name="Style 152 10 2 3" xfId="24557" xr:uid="{C821783B-F887-4713-B99D-72447E141477}"/>
    <cellStyle name="Style 152 10 3" xfId="4114" xr:uid="{A07A28CF-68FD-42D5-807F-EB60D2393BC9}"/>
    <cellStyle name="Style 152 10 3 2" xfId="27368" xr:uid="{B7C5800A-888D-42F5-9C49-D528068E2CD3}"/>
    <cellStyle name="Style 152 10 4" xfId="23119" xr:uid="{E65FE854-9B68-4A53-98C4-A9D882203BF2}"/>
    <cellStyle name="Style 152 11" xfId="1753" xr:uid="{CEE270CF-DB9D-4D05-A4D6-DEF587AF83C3}"/>
    <cellStyle name="Style 152 11 2" xfId="1754" xr:uid="{59781754-CF3B-4133-8AD9-70034844B129}"/>
    <cellStyle name="Style 152 11 2 2" xfId="5744" xr:uid="{177D6878-5E6E-41CF-AF34-79DB2244E227}"/>
    <cellStyle name="Style 152 11 2 2 2" xfId="27371" xr:uid="{44B4A82E-BD66-4D8B-8B48-66283ABD2331}"/>
    <cellStyle name="Style 152 11 2 3" xfId="24558" xr:uid="{7F0B31B6-0CCA-496B-894A-80667A9B7A85}"/>
    <cellStyle name="Style 152 11 3" xfId="5743" xr:uid="{3D7A59F8-6FB4-4F76-9171-6319F0E54B39}"/>
    <cellStyle name="Style 152 11 3 2" xfId="27370" xr:uid="{547E1C2F-DE06-4B19-B60F-55E6273730E9}"/>
    <cellStyle name="Style 152 11 4" xfId="23120" xr:uid="{28B7E60A-5CAB-4C2F-BEA1-B83232CF012D}"/>
    <cellStyle name="Style 152 12" xfId="1755" xr:uid="{5D651A63-4DDD-4991-B144-74E18F422989}"/>
    <cellStyle name="Style 152 12 2" xfId="5745" xr:uid="{78D62DD7-79C6-473E-A416-42DE8472DFA8}"/>
    <cellStyle name="Style 152 12 2 2" xfId="27372" xr:uid="{2C6637EF-F0A6-4FF2-B17C-24EC613F8C48}"/>
    <cellStyle name="Style 152 12 3" xfId="9163" xr:uid="{832CA4BB-C921-42C3-A09F-2EEA47C3E0E2}"/>
    <cellStyle name="Style 152 12 3 2" xfId="28902" xr:uid="{B4CB4F94-E048-48DB-A979-9900F82DF6FC}"/>
    <cellStyle name="Style 152 12 4" xfId="9164" xr:uid="{588BC964-AC29-4CDC-8E06-949E8436C499}"/>
    <cellStyle name="Style 152 12 4 2" xfId="28903" xr:uid="{C8C84132-A7D7-45E9-8470-3951B9F90453}"/>
    <cellStyle name="Style 152 12 5" xfId="9165" xr:uid="{F49D38E5-6DFD-49E0-B52F-A4A0A1C1730C}"/>
    <cellStyle name="Style 152 12 5 2" xfId="28904" xr:uid="{6A46F369-BAE0-4370-9645-250454A553CA}"/>
    <cellStyle name="Style 152 12 6" xfId="9166" xr:uid="{1975587B-A1C4-4B49-9853-58FEC5D7F186}"/>
    <cellStyle name="Style 152 12 6 2" xfId="28905" xr:uid="{A76CAB45-411F-40C1-8C40-B5C208F861E6}"/>
    <cellStyle name="Style 152 12 7" xfId="24559" xr:uid="{04FB505A-7182-4BB1-A05D-7CABB35CFD6A}"/>
    <cellStyle name="Style 152 13" xfId="9167" xr:uid="{345F3B48-3123-42B3-BF71-9C49D4543BAD}"/>
    <cellStyle name="Style 152 13 2" xfId="9168" xr:uid="{12707814-4BED-461F-976F-538EA05F372E}"/>
    <cellStyle name="Style 152 13 2 2" xfId="28906" xr:uid="{7B3675D9-FD84-444B-B4CB-6C5708BA7B4F}"/>
    <cellStyle name="Style 152 13 3" xfId="9169" xr:uid="{D81889D2-A8D4-465D-8BBB-9B874DA92E9D}"/>
    <cellStyle name="Style 152 13 3 2" xfId="28907" xr:uid="{ED8B8C36-C08D-4432-A642-9A4B47BC075D}"/>
    <cellStyle name="Style 152 13 4" xfId="26585" xr:uid="{57C42BE6-FB1E-456B-9E14-EE59AABDBA43}"/>
    <cellStyle name="Style 152 14" xfId="9170" xr:uid="{4C6D2676-E75E-46E0-A95B-4366637AD1B8}"/>
    <cellStyle name="Style 152 14 2" xfId="9171" xr:uid="{B91DABAD-8169-46B6-9F38-03D1E66E09B9}"/>
    <cellStyle name="Style 152 14 2 2" xfId="28909" xr:uid="{02EA39F6-6DE5-49F2-AB96-4D9FA84D6115}"/>
    <cellStyle name="Style 152 14 3" xfId="28908" xr:uid="{83E4F96A-2FDB-4D69-B390-347B58BD377F}"/>
    <cellStyle name="Style 152 15" xfId="9172" xr:uid="{08F63723-08A8-47E9-80D6-52539BEE0F11}"/>
    <cellStyle name="Style 152 15 2" xfId="9173" xr:uid="{8A02A9C3-45BA-4A15-A106-E54C75B08C2B}"/>
    <cellStyle name="Style 152 15 2 2" xfId="28911" xr:uid="{268FE6BF-F48D-4DEF-8F18-0BDFED52FFBB}"/>
    <cellStyle name="Style 152 15 3" xfId="28910" xr:uid="{566029AC-8B9B-45AD-8CCE-4A3759CE9B54}"/>
    <cellStyle name="Style 152 16" xfId="23118" xr:uid="{34BAD4DE-1134-4F46-8013-F3CC7AA9D384}"/>
    <cellStyle name="Style 152 2" xfId="1756" xr:uid="{77DA883E-5EBD-4C51-8EDC-001E0C321F99}"/>
    <cellStyle name="Style 152 2 2" xfId="4370" xr:uid="{B7B1EB3C-23F4-411C-8FEE-9C70DC42796C}"/>
    <cellStyle name="Style 152 2 2 2" xfId="26586" xr:uid="{753C6EEA-A135-442C-B6DA-55BAE61A4538}"/>
    <cellStyle name="Style 152 2 3" xfId="23121" xr:uid="{C67A8B6B-C20C-4C43-BCCD-34C87C367B90}"/>
    <cellStyle name="Style 152 3" xfId="1757" xr:uid="{63299424-B698-40CA-825A-79E4C46FF384}"/>
    <cellStyle name="Style 152 3 2" xfId="1758" xr:uid="{B9BD77A8-A930-4068-9B4F-50140BF1B050}"/>
    <cellStyle name="Style 152 3 2 2" xfId="1759" xr:uid="{7AB8509F-07B6-4B55-8C8F-1A168F491E1D}"/>
    <cellStyle name="Style 152 3 2 2 2" xfId="5746" xr:uid="{5C00400E-2FE2-4109-8F7D-ED05D8F5873A}"/>
    <cellStyle name="Style 152 3 2 2 2 2" xfId="27373" xr:uid="{E99623A3-F909-4170-B1BC-635EA8E5C697}"/>
    <cellStyle name="Style 152 3 2 2 3" xfId="23124" xr:uid="{09DE36DB-6B77-43DB-AC24-91E9863F78FE}"/>
    <cellStyle name="Style 152 3 2 3" xfId="4372" xr:uid="{7A811F2B-14D1-4010-84F2-C3246CFD47B6}"/>
    <cellStyle name="Style 152 3 2 3 2" xfId="26588" xr:uid="{7D4DA5BF-86C8-4F3A-A631-E76DA1587961}"/>
    <cellStyle name="Style 152 3 2 4" xfId="23123" xr:uid="{9F204C9F-0617-4600-A257-7F4C76403AFC}"/>
    <cellStyle name="Style 152 3 3" xfId="1760" xr:uid="{AD6FC29E-4FF6-4F10-9FD2-44943CE6F5E1}"/>
    <cellStyle name="Style 152 3 3 2" xfId="1761" xr:uid="{789CB84E-B02C-4962-AEDE-C25D24AF8FB2}"/>
    <cellStyle name="Style 152 3 3 2 2" xfId="5748" xr:uid="{6279E301-457B-49FF-9734-9BBF67B198DE}"/>
    <cellStyle name="Style 152 3 3 2 2 2" xfId="27375" xr:uid="{618EE835-4D7E-472E-B7FA-3064CBF23525}"/>
    <cellStyle name="Style 152 3 3 2 3" xfId="23126" xr:uid="{83791135-AD12-4BF0-AAFE-B78C764539C8}"/>
    <cellStyle name="Style 152 3 3 3" xfId="1762" xr:uid="{02DB4F12-7A79-4737-996D-429278B7FA3B}"/>
    <cellStyle name="Style 152 3 3 3 2" xfId="1763" xr:uid="{4656C311-CED6-417A-AFF1-132F24DFE215}"/>
    <cellStyle name="Style 152 3 3 3 2 2" xfId="5750" xr:uid="{D1B5531E-50FC-496A-B84F-C3BE3DF89691}"/>
    <cellStyle name="Style 152 3 3 3 2 2 2" xfId="27377" xr:uid="{FD4EBD1A-3FDC-4BFC-B69A-4B059D39F815}"/>
    <cellStyle name="Style 152 3 3 3 2 3" xfId="23128" xr:uid="{F56021D7-E5D1-49BF-A6A4-5891E4713CDA}"/>
    <cellStyle name="Style 152 3 3 3 3" xfId="5751" xr:uid="{082BABF9-94B4-44BA-8EF2-8EED443FF52C}"/>
    <cellStyle name="Style 152 3 3 3 3 2" xfId="23129" xr:uid="{C32621C7-A8C8-4395-940B-20EECB4946DB}"/>
    <cellStyle name="Style 152 3 3 3 4" xfId="5752" xr:uid="{E1B78E76-D8B1-48BB-B368-F13C23B4278D}"/>
    <cellStyle name="Style 152 3 3 3 4 2" xfId="24560" xr:uid="{52BF85F7-DF11-4EAF-9CA1-08B5A1B84A97}"/>
    <cellStyle name="Style 152 3 3 3 5" xfId="5749" xr:uid="{E4F37AD8-9028-47A9-832C-B3716D684AB3}"/>
    <cellStyle name="Style 152 3 3 3 5 2" xfId="27376" xr:uid="{337BCA7B-293E-40BC-A6FF-32A5E948757C}"/>
    <cellStyle name="Style 152 3 3 3 6" xfId="23127" xr:uid="{1F65BF6C-8F60-4D5A-AF15-A32AA5C57DB3}"/>
    <cellStyle name="Style 152 3 3 4" xfId="1764" xr:uid="{DD9C15CE-DC86-4AD6-B190-C4B86136AE7A}"/>
    <cellStyle name="Style 152 3 3 4 2" xfId="1765" xr:uid="{746002FF-B976-4AC8-9AC7-9C6099542E88}"/>
    <cellStyle name="Style 152 3 3 4 2 2" xfId="5754" xr:uid="{2933E5F0-E4F8-418C-8A87-696018603396}"/>
    <cellStyle name="Style 152 3 3 4 2 2 2" xfId="27379" xr:uid="{107939B8-1044-42A7-85AC-846215D39F9D}"/>
    <cellStyle name="Style 152 3 3 4 2 3" xfId="23131" xr:uid="{39E2CB4A-57E8-40CF-8417-24CF7886630A}"/>
    <cellStyle name="Style 152 3 3 4 3" xfId="5753" xr:uid="{8C08615A-29AA-4CE2-A57A-9FCCC895388C}"/>
    <cellStyle name="Style 152 3 3 4 3 2" xfId="27378" xr:uid="{CC8D373D-7CCD-434F-91B7-441F64697797}"/>
    <cellStyle name="Style 152 3 3 4 4" xfId="23130" xr:uid="{9E8D3F60-9357-41BF-B9F7-A66AAC489C20}"/>
    <cellStyle name="Style 152 3 3 5" xfId="5755" xr:uid="{73E1C73C-D30D-4CFF-958C-6DB35EC6D95C}"/>
    <cellStyle name="Style 152 3 3 5 2" xfId="24561" xr:uid="{8BBEAA11-0899-474D-BD96-A462AF1002BA}"/>
    <cellStyle name="Style 152 3 3 6" xfId="5747" xr:uid="{2E759B8C-251B-45D7-AD6E-B0DC43701804}"/>
    <cellStyle name="Style 152 3 3 6 2" xfId="27374" xr:uid="{F1BF400D-69D1-46D1-A6D3-677488280CF9}"/>
    <cellStyle name="Style 152 3 3 7" xfId="23125" xr:uid="{BDE198A9-FFFC-4F68-9E57-C0BED66AC5FC}"/>
    <cellStyle name="Style 152 3 4" xfId="1766" xr:uid="{F9850A3B-C35B-4B8A-A37B-ADA15D45F0FD}"/>
    <cellStyle name="Style 152 3 4 2" xfId="5757" xr:uid="{22875F16-1C4F-4265-8A07-A1E3ACA9B8BA}"/>
    <cellStyle name="Style 152 3 4 2 2" xfId="23133" xr:uid="{E11FEE10-4DE7-4FF2-A006-4C9F84A73D27}"/>
    <cellStyle name="Style 152 3 4 3" xfId="5758" xr:uid="{B2ED92F3-403A-46A8-8B5C-336F20992713}"/>
    <cellStyle name="Style 152 3 4 3 2" xfId="24562" xr:uid="{C882CF4B-6B00-49A3-8FEF-B9507394700A}"/>
    <cellStyle name="Style 152 3 4 4" xfId="5756" xr:uid="{648B8054-C6A7-480A-B773-B3714775AF99}"/>
    <cellStyle name="Style 152 3 4 4 2" xfId="27380" xr:uid="{385EC0A1-4304-4699-B2D6-D4D28DFB0C7B}"/>
    <cellStyle name="Style 152 3 4 5" xfId="23132" xr:uid="{58896833-A70A-4EF5-99AC-3A8A71F45CC4}"/>
    <cellStyle name="Style 152 3 5" xfId="5759" xr:uid="{72A0CB83-3AA2-4203-A9D2-910A775EDAEF}"/>
    <cellStyle name="Style 152 3 5 2" xfId="9174" xr:uid="{F40EE3F8-1F62-43B4-8CED-D3A0F3383991}"/>
    <cellStyle name="Style 152 3 5 2 2" xfId="27381" xr:uid="{072497E1-0A18-4C9E-B5C3-DD70D913D9AF}"/>
    <cellStyle name="Style 152 3 5 3" xfId="23134" xr:uid="{6ECF65E3-8190-480B-AC4C-0ADFC6846ACE}"/>
    <cellStyle name="Style 152 3 6" xfId="4371" xr:uid="{34C63A3F-BC8E-481D-8685-21E666B3BA07}"/>
    <cellStyle name="Style 152 3 6 2" xfId="26587" xr:uid="{AC638A8D-24D0-4F04-8A72-779FC2691B1A}"/>
    <cellStyle name="Style 152 3 7" xfId="23122" xr:uid="{4C845C63-139A-41AA-9395-65755F555D95}"/>
    <cellStyle name="Style 152 4" xfId="1767" xr:uid="{0B472759-F5C3-49C3-BB9C-FED6A6A03179}"/>
    <cellStyle name="Style 152 4 2" xfId="1768" xr:uid="{AE74456E-8F33-4A8C-9268-C5A0711A481E}"/>
    <cellStyle name="Style 152 4 2 2" xfId="1769" xr:uid="{232A5BD1-BD23-4381-B67F-7B876A684F7B}"/>
    <cellStyle name="Style 152 4 2 2 2" xfId="5762" xr:uid="{4F86DF43-BCD1-4718-A767-69A96992C9A5}"/>
    <cellStyle name="Style 152 4 2 2 2 2" xfId="27383" xr:uid="{D7B5BDFF-3DA8-4C68-BB29-A40FD5202BE3}"/>
    <cellStyle name="Style 152 4 2 2 3" xfId="23137" xr:uid="{10B9CDBD-7569-486B-ADBA-FECC22ED335E}"/>
    <cellStyle name="Style 152 4 2 3" xfId="1770" xr:uid="{F835A513-099A-4195-BA05-9CE6D8BC181B}"/>
    <cellStyle name="Style 152 4 2 3 2" xfId="1771" xr:uid="{E8D71AE6-36AE-4B5D-A033-9E8442C1E67C}"/>
    <cellStyle name="Style 152 4 2 3 2 2" xfId="5764" xr:uid="{B3102332-8D8D-4120-AB8E-2DF4DA7232DC}"/>
    <cellStyle name="Style 152 4 2 3 2 2 2" xfId="27385" xr:uid="{478295DB-8B4F-427F-AEF0-5EB3847FE47B}"/>
    <cellStyle name="Style 152 4 2 3 2 3" xfId="23139" xr:uid="{BCE61512-493A-45B4-8AAB-F9645B5109FF}"/>
    <cellStyle name="Style 152 4 2 3 3" xfId="5765" xr:uid="{F31B0B7E-4593-4871-A06A-C717956B557A}"/>
    <cellStyle name="Style 152 4 2 3 3 2" xfId="23140" xr:uid="{5D703EAC-B7EF-4A58-B6C5-12B2278517F6}"/>
    <cellStyle name="Style 152 4 2 3 4" xfId="5766" xr:uid="{9ED6443B-3ECC-4E7E-B3A5-91099F760969}"/>
    <cellStyle name="Style 152 4 2 3 4 2" xfId="24563" xr:uid="{08D81C4F-5634-49D8-BBB8-795CE759CAD9}"/>
    <cellStyle name="Style 152 4 2 3 5" xfId="5763" xr:uid="{800716ED-349C-4DAA-98C4-746281991230}"/>
    <cellStyle name="Style 152 4 2 3 5 2" xfId="27384" xr:uid="{459160A2-1954-467A-BAD7-6AA0FC3DD004}"/>
    <cellStyle name="Style 152 4 2 3 6" xfId="23138" xr:uid="{19F9BAF4-1CBC-4E5D-B93D-B94ADC8404D5}"/>
    <cellStyle name="Style 152 4 2 4" xfId="1772" xr:uid="{4DC85FFC-A227-47BD-9999-9A3BF51E4D46}"/>
    <cellStyle name="Style 152 4 2 4 2" xfId="1773" xr:uid="{944E49C0-CB74-4E18-B06B-64F65519C12A}"/>
    <cellStyle name="Style 152 4 2 4 2 2" xfId="5768" xr:uid="{E135FFD6-685F-4D6A-B8F3-CC22CAF04B51}"/>
    <cellStyle name="Style 152 4 2 4 2 2 2" xfId="27387" xr:uid="{175E37C5-72EC-40BE-9295-D06FFE73CDA0}"/>
    <cellStyle name="Style 152 4 2 4 2 3" xfId="23142" xr:uid="{62F6B4BF-405C-4F66-B82D-8D580DD06EAE}"/>
    <cellStyle name="Style 152 4 2 4 3" xfId="5767" xr:uid="{9E3A6382-A5D8-4469-822F-EB9F164D5B96}"/>
    <cellStyle name="Style 152 4 2 4 3 2" xfId="27386" xr:uid="{EBC97E3F-1024-4172-BE68-79CAB048FD75}"/>
    <cellStyle name="Style 152 4 2 4 4" xfId="23141" xr:uid="{7B3627E5-8016-47E3-8622-364347F37BF5}"/>
    <cellStyle name="Style 152 4 2 5" xfId="5769" xr:uid="{DC1585B0-8161-4742-A693-08EA0B5A2146}"/>
    <cellStyle name="Style 152 4 2 5 2" xfId="24564" xr:uid="{F8613A17-C415-4CE7-96C2-1234DA0BE4DB}"/>
    <cellStyle name="Style 152 4 2 6" xfId="5761" xr:uid="{CA3C70CB-BC89-436E-992E-BB7CE419C210}"/>
    <cellStyle name="Style 152 4 2 6 2" xfId="27382" xr:uid="{17128DF7-7871-42BC-8214-BED01166281D}"/>
    <cellStyle name="Style 152 4 2 7" xfId="23136" xr:uid="{24F2CB27-2A98-47FF-8930-A0E4490A0305}"/>
    <cellStyle name="Style 152 4 3" xfId="1774" xr:uid="{5A08D4B4-3634-4A74-B204-4A79C7B0340A}"/>
    <cellStyle name="Style 152 4 3 2" xfId="5770" xr:uid="{A5E454F8-8E90-4803-A6AE-50314D182A7F}"/>
    <cellStyle name="Style 152 4 3 2 2" xfId="27388" xr:uid="{464EED56-83EB-4B5B-B870-8A865D5598CE}"/>
    <cellStyle name="Style 152 4 3 3" xfId="23143" xr:uid="{85B59422-C4DC-438B-A1EF-A98EAE0EB0FD}"/>
    <cellStyle name="Style 152 4 4" xfId="5771" xr:uid="{5904830B-B5C0-4206-A950-01B0E0BF6D23}"/>
    <cellStyle name="Style 152 4 4 2" xfId="5772" xr:uid="{C9608E01-5CB1-4B24-B678-FCD8A9CFED97}"/>
    <cellStyle name="Style 152 4 4 2 2" xfId="24565" xr:uid="{129113ED-6895-4172-8858-9010A2ADE829}"/>
    <cellStyle name="Style 152 4 4 3" xfId="23144" xr:uid="{EB8CFB45-9E38-4DC1-BA5B-5876355F0A53}"/>
    <cellStyle name="Style 152 4 5" xfId="5760" xr:uid="{BD4EB129-F66F-4896-9BC8-74940B71626E}"/>
    <cellStyle name="Style 152 4 5 2" xfId="25933" xr:uid="{84E9B02C-BADF-4F41-A323-2A3C09FA6C5C}"/>
    <cellStyle name="Style 152 4 6" xfId="4373" xr:uid="{C113703A-1B59-485E-B4C9-F03E47BDB39D}"/>
    <cellStyle name="Style 152 4 6 2" xfId="26589" xr:uid="{113AE078-0B5D-4103-8C53-67F024E83D92}"/>
    <cellStyle name="Style 152 4 7" xfId="23135" xr:uid="{8F2BCDAB-F260-4D12-B3DB-321C5691A82B}"/>
    <cellStyle name="Style 152 5" xfId="1775" xr:uid="{571E3ABD-307C-4CE5-B70F-84E87E117E31}"/>
    <cellStyle name="Style 152 5 2" xfId="1776" xr:uid="{B1947DB3-4FA2-4E74-8B5F-86D7FCA7FEED}"/>
    <cellStyle name="Style 152 5 2 2" xfId="1777" xr:uid="{A3936A1B-B9EB-4476-9053-38F7BCA7DF2E}"/>
    <cellStyle name="Style 152 5 2 2 2" xfId="5775" xr:uid="{37CC2C1B-157E-4A31-850C-FB1EF9694B71}"/>
    <cellStyle name="Style 152 5 2 2 2 2" xfId="27390" xr:uid="{7E135488-1ED4-48DC-8FC6-6F3FD906D13C}"/>
    <cellStyle name="Style 152 5 2 2 3" xfId="23147" xr:uid="{FA5EB080-B887-4F34-AE66-A06A76420591}"/>
    <cellStyle name="Style 152 5 2 3" xfId="1778" xr:uid="{5DFB985B-EC94-42E4-B7D6-26E12E1D4872}"/>
    <cellStyle name="Style 152 5 2 3 2" xfId="1779" xr:uid="{D84D4727-3598-4935-A4D1-9296BDC9E7AD}"/>
    <cellStyle name="Style 152 5 2 3 2 2" xfId="5777" xr:uid="{633EC02D-7D04-4937-8DCC-AD5F44BDCF79}"/>
    <cellStyle name="Style 152 5 2 3 2 2 2" xfId="27392" xr:uid="{C72CA6F4-0DE8-45D4-BB1C-32DDADD3AF6E}"/>
    <cellStyle name="Style 152 5 2 3 2 3" xfId="23149" xr:uid="{AAAC2D2D-CC8A-466D-BE2E-8966F552072E}"/>
    <cellStyle name="Style 152 5 2 3 3" xfId="5778" xr:uid="{405971EB-6D5A-4020-A6A5-AA7BAB2D639A}"/>
    <cellStyle name="Style 152 5 2 3 3 2" xfId="23150" xr:uid="{5786F8D9-A299-40A8-8FF3-94253B3754C4}"/>
    <cellStyle name="Style 152 5 2 3 4" xfId="5779" xr:uid="{F836031C-6C3F-4702-A466-AFD7ADC5A04B}"/>
    <cellStyle name="Style 152 5 2 3 4 2" xfId="24566" xr:uid="{E84C6A9B-5CCC-476A-8BCD-85C961DC5072}"/>
    <cellStyle name="Style 152 5 2 3 5" xfId="5776" xr:uid="{97E83A86-208B-4C03-B7C5-B34110F8F19B}"/>
    <cellStyle name="Style 152 5 2 3 5 2" xfId="27391" xr:uid="{2E7DF540-FFBF-47B5-A3AB-7E4299F05B4C}"/>
    <cellStyle name="Style 152 5 2 3 6" xfId="23148" xr:uid="{1A143B0F-435F-4EB6-9C20-8EA1F1E06199}"/>
    <cellStyle name="Style 152 5 2 4" xfId="1780" xr:uid="{62B5E2CB-A564-4652-9099-9387A759239F}"/>
    <cellStyle name="Style 152 5 2 4 2" xfId="1781" xr:uid="{82C27A53-5C4B-473E-9166-9667AC6709A9}"/>
    <cellStyle name="Style 152 5 2 4 2 2" xfId="5781" xr:uid="{D2ECD33D-E7FD-4261-9899-C641EB2594CE}"/>
    <cellStyle name="Style 152 5 2 4 2 2 2" xfId="27394" xr:uid="{6018A53A-CD9E-4F76-AB66-FCB85DE55B41}"/>
    <cellStyle name="Style 152 5 2 4 2 3" xfId="23152" xr:uid="{BFD4A992-DEC1-48D1-AAC7-7364A424D7D6}"/>
    <cellStyle name="Style 152 5 2 4 3" xfId="5780" xr:uid="{BA71E3D5-0F62-43B8-B4C3-CE9336B359F9}"/>
    <cellStyle name="Style 152 5 2 4 3 2" xfId="27393" xr:uid="{5F78C352-E926-4CE7-AC94-ADED9EDFD3E5}"/>
    <cellStyle name="Style 152 5 2 4 4" xfId="23151" xr:uid="{A6A5E646-4E1B-4618-BA4D-AC3698838CC0}"/>
    <cellStyle name="Style 152 5 2 5" xfId="5782" xr:uid="{14040C53-A7E6-43B9-9C0C-363809CDCCDA}"/>
    <cellStyle name="Style 152 5 2 5 2" xfId="24567" xr:uid="{5CF5F893-34FC-4C32-8C36-EEA7513D75D1}"/>
    <cellStyle name="Style 152 5 2 6" xfId="5774" xr:uid="{A493E067-FC5A-4E4E-B84C-971F2F60B710}"/>
    <cellStyle name="Style 152 5 2 6 2" xfId="27389" xr:uid="{F4FDA36C-5B04-4919-B56F-C743EA7FA2C4}"/>
    <cellStyle name="Style 152 5 2 7" xfId="23146" xr:uid="{74D6A71B-706F-44D6-9EA5-C9B813ECEDCF}"/>
    <cellStyle name="Style 152 5 3" xfId="1782" xr:uid="{5A9C8EF9-CF36-48F5-B903-B82D9241604C}"/>
    <cellStyle name="Style 152 5 3 2" xfId="5783" xr:uid="{58CC75D0-C84D-4A2C-AA1C-913FC90B037A}"/>
    <cellStyle name="Style 152 5 3 2 2" xfId="27395" xr:uid="{FFB7FE88-13FA-48E8-A7E6-CDDA5E80B3DA}"/>
    <cellStyle name="Style 152 5 3 3" xfId="23153" xr:uid="{399DE075-4B0C-433F-8C77-BBA8BA1837C2}"/>
    <cellStyle name="Style 152 5 4" xfId="5784" xr:uid="{E724BCD2-23F3-46D1-B217-86B512AA1E54}"/>
    <cellStyle name="Style 152 5 4 2" xfId="5785" xr:uid="{E1B1DC31-F748-4039-84B2-6C743F45F393}"/>
    <cellStyle name="Style 152 5 4 2 2" xfId="24568" xr:uid="{C0AC6AC2-4B4B-437B-80A1-6DAC1AA94C9E}"/>
    <cellStyle name="Style 152 5 4 3" xfId="23154" xr:uid="{B66DB8BB-0AED-43B6-BE55-D0861046147D}"/>
    <cellStyle name="Style 152 5 5" xfId="5773" xr:uid="{20AD65A3-A5D6-45BA-9E13-DDA2B8A1CA69}"/>
    <cellStyle name="Style 152 5 5 2" xfId="25934" xr:uid="{B0C4B499-962C-4DDC-967F-0E3082F709AE}"/>
    <cellStyle name="Style 152 5 6" xfId="4374" xr:uid="{C7CCFD6D-9FB6-45CE-B571-C5F053C320A2}"/>
    <cellStyle name="Style 152 5 6 2" xfId="26590" xr:uid="{3A5CE9B6-444C-4227-A2F1-E476970C7170}"/>
    <cellStyle name="Style 152 5 7" xfId="23145" xr:uid="{E864AAFF-40D0-4DD0-A114-CD95E2B7C4A6}"/>
    <cellStyle name="Style 152 6" xfId="1783" xr:uid="{9C7FE491-7691-4028-8495-F9744FD0AAD3}"/>
    <cellStyle name="Style 152 6 2" xfId="1784" xr:uid="{F405541C-0717-4DCE-9B3B-552B916856C6}"/>
    <cellStyle name="Style 152 6 2 2" xfId="5787" xr:uid="{F673F7CC-C8BA-473C-B5F6-FD685DB94980}"/>
    <cellStyle name="Style 152 6 2 2 2" xfId="27397" xr:uid="{B2F41CD3-93E8-4849-86F5-07CBAE76558B}"/>
    <cellStyle name="Style 152 6 2 3" xfId="23156" xr:uid="{2D15D8F9-6EDD-4124-A6AF-34F141B0F067}"/>
    <cellStyle name="Style 152 6 3" xfId="1785" xr:uid="{716747AF-68A2-4EA7-89B6-F1720A8DF92A}"/>
    <cellStyle name="Style 152 6 3 2" xfId="1786" xr:uid="{1832FD2C-4E3A-4240-ADD3-68E17DD7B283}"/>
    <cellStyle name="Style 152 6 3 2 2" xfId="5789" xr:uid="{0310307F-EF36-4D69-9C9B-B5E7A5E1ED5E}"/>
    <cellStyle name="Style 152 6 3 2 2 2" xfId="27399" xr:uid="{169511BD-1BF7-4234-B352-FCBED93DAF00}"/>
    <cellStyle name="Style 152 6 3 2 3" xfId="23158" xr:uid="{9FB53D07-9835-4F21-B63B-CC4144883BDA}"/>
    <cellStyle name="Style 152 6 3 3" xfId="5790" xr:uid="{540C7869-2F96-48C5-9EB2-237DB7EC9920}"/>
    <cellStyle name="Style 152 6 3 3 2" xfId="23159" xr:uid="{733A3849-36E5-4087-9BB0-42FDFB6DC700}"/>
    <cellStyle name="Style 152 6 3 4" xfId="5791" xr:uid="{66B051F4-A599-4A36-AAB9-9169F1B60C01}"/>
    <cellStyle name="Style 152 6 3 4 2" xfId="24569" xr:uid="{975E5BB3-C337-471E-A37B-60884AEBF876}"/>
    <cellStyle name="Style 152 6 3 5" xfId="5788" xr:uid="{C9942FD2-1DE4-4AFA-B09B-1877425CCFED}"/>
    <cellStyle name="Style 152 6 3 5 2" xfId="27398" xr:uid="{F3108BF0-95D5-4503-8301-1FECD14A15B4}"/>
    <cellStyle name="Style 152 6 3 6" xfId="23157" xr:uid="{8E78744D-03B0-489C-94C7-2784DDFB3BD6}"/>
    <cellStyle name="Style 152 6 4" xfId="1787" xr:uid="{84DA8D12-01ED-4B46-BA8C-E8C1FC9CAAB3}"/>
    <cellStyle name="Style 152 6 4 2" xfId="1788" xr:uid="{F4D31086-0E50-4DAF-86A5-BC9102FF2DAD}"/>
    <cellStyle name="Style 152 6 4 2 2" xfId="5793" xr:uid="{A8F8EF6E-C9DC-408E-AA41-DAB1B65C39C6}"/>
    <cellStyle name="Style 152 6 4 2 2 2" xfId="27401" xr:uid="{4423D559-6EA1-4FE9-9B92-728EB4E1F741}"/>
    <cellStyle name="Style 152 6 4 2 3" xfId="23161" xr:uid="{6BEA8CD2-BCEC-4440-8085-E23459DAE2EB}"/>
    <cellStyle name="Style 152 6 4 3" xfId="5792" xr:uid="{3E8A82D0-5DD2-4B5E-9CF2-BC0122408739}"/>
    <cellStyle name="Style 152 6 4 3 2" xfId="27400" xr:uid="{6E7E298A-33CE-4199-AFFC-9CDC112B4DBA}"/>
    <cellStyle name="Style 152 6 4 4" xfId="23160" xr:uid="{16B4FAD3-98E1-4D29-832D-C797F256D61E}"/>
    <cellStyle name="Style 152 6 5" xfId="5794" xr:uid="{DEB0146E-3FCA-427B-A2D4-AD606237F28E}"/>
    <cellStyle name="Style 152 6 5 2" xfId="24570" xr:uid="{8EDB7A9D-83C0-49D8-A2CF-CBABA78DB73D}"/>
    <cellStyle name="Style 152 6 6" xfId="5786" xr:uid="{868D038E-914F-450A-96D0-4448D1D01A72}"/>
    <cellStyle name="Style 152 6 6 2" xfId="27396" xr:uid="{5BFA2308-D61C-45FF-9F42-CA0A7D9FBB17}"/>
    <cellStyle name="Style 152 6 7" xfId="23155" xr:uid="{6712B12E-56F1-478A-B299-E5AFCF1E7683}"/>
    <cellStyle name="Style 152 7" xfId="1789" xr:uid="{BBEC13F1-8A9A-451D-813A-A7D609CA169F}"/>
    <cellStyle name="Style 152 7 2" xfId="1790" xr:uid="{8FE52FF6-DB39-47DF-9960-6CAE5F0D9434}"/>
    <cellStyle name="Style 152 7 2 2" xfId="5796" xr:uid="{1D379790-6668-4DFA-9741-1BBB3240AEA9}"/>
    <cellStyle name="Style 152 7 2 2 2" xfId="27403" xr:uid="{85A52AB0-4183-4D60-9D4B-6940A3567313}"/>
    <cellStyle name="Style 152 7 2 3" xfId="23163" xr:uid="{74983B4D-BDF3-447E-980F-99BE506BE3BC}"/>
    <cellStyle name="Style 152 7 3" xfId="5797" xr:uid="{AF323F2F-56C8-4273-BC4C-E922061FF5D6}"/>
    <cellStyle name="Style 152 7 3 2" xfId="23164" xr:uid="{274F7C56-9643-461A-8C56-82A614B5EF9F}"/>
    <cellStyle name="Style 152 7 4" xfId="5798" xr:uid="{DE04620C-F806-46C0-B8D2-7CD17E861DA1}"/>
    <cellStyle name="Style 152 7 4 2" xfId="24571" xr:uid="{FBAC8777-1129-4B89-95F6-CFC8CEE5BF26}"/>
    <cellStyle name="Style 152 7 5" xfId="5795" xr:uid="{5E50AB34-338B-4014-AAD1-8F774226DA4B}"/>
    <cellStyle name="Style 152 7 5 2" xfId="27402" xr:uid="{3EEB8CC3-8486-4693-B5C7-FB9C45F41198}"/>
    <cellStyle name="Style 152 7 6" xfId="23162" xr:uid="{23C6FE8D-AE61-471E-94D7-8B43E8F5B35F}"/>
    <cellStyle name="Style 152 8" xfId="1791" xr:uid="{6BBFFC43-B1B7-4B61-B45A-4458138E38B7}"/>
    <cellStyle name="Style 152 8 2" xfId="1792" xr:uid="{B9DC6EE5-FBDB-4519-903F-044C586C1942}"/>
    <cellStyle name="Style 152 8 2 2" xfId="5800" xr:uid="{EF08E885-0C01-4BD1-89C5-941CB92F2E55}"/>
    <cellStyle name="Style 152 8 2 2 2" xfId="27405" xr:uid="{4FE92E20-1E84-4D81-9210-3C0E4516A03A}"/>
    <cellStyle name="Style 152 8 2 3" xfId="23166" xr:uid="{5CBF7F18-AE62-4A0F-993A-52EFE8C2CC39}"/>
    <cellStyle name="Style 152 8 3" xfId="5801" xr:uid="{CF5B3238-B50E-46C8-B7E8-AAF6224CEA2C}"/>
    <cellStyle name="Style 152 8 3 2" xfId="23167" xr:uid="{B4924C84-A16D-497C-9B23-08FB327B33C5}"/>
    <cellStyle name="Style 152 8 4" xfId="5802" xr:uid="{E76773C4-A6B9-4502-9DBC-DD615BC059C6}"/>
    <cellStyle name="Style 152 8 4 2" xfId="24572" xr:uid="{1B75EACB-1291-4F03-8CEE-6EC23BB18A33}"/>
    <cellStyle name="Style 152 8 5" xfId="5799" xr:uid="{95E7EAFC-B667-4109-9F74-8A063D81E711}"/>
    <cellStyle name="Style 152 8 5 2" xfId="27404" xr:uid="{BA9C0AC5-9FA0-405E-925A-6A04F7D32B62}"/>
    <cellStyle name="Style 152 8 6" xfId="23165" xr:uid="{27C1406A-ACBA-4E28-8B26-B19B108D2D49}"/>
    <cellStyle name="Style 152 9" xfId="1793" xr:uid="{AC95F3EA-9ABF-4910-8071-77FB4FC441D8}"/>
    <cellStyle name="Style 152 9 2" xfId="1794" xr:uid="{EC40FA94-EA23-497C-9AF8-BFA261B3FAEC}"/>
    <cellStyle name="Style 152 9 2 2" xfId="5803" xr:uid="{10904DD0-62EC-4CD7-ABB2-0E14B1C82896}"/>
    <cellStyle name="Style 152 9 2 2 2" xfId="27407" xr:uid="{982F0225-E3AE-4D39-A6AC-0D8D66386E44}"/>
    <cellStyle name="Style 152 9 2 3" xfId="24573" xr:uid="{34621B98-F62E-478C-A823-A000C1859781}"/>
    <cellStyle name="Style 152 9 3" xfId="4115" xr:uid="{32AC0639-C313-4B3E-9CF9-8236031FB269}"/>
    <cellStyle name="Style 152 9 3 2" xfId="27406" xr:uid="{1655972A-7F80-4D12-A620-6D7AA65546E1}"/>
    <cellStyle name="Style 152 9 4" xfId="23168" xr:uid="{3393C131-EA62-4756-A23E-EAEADB656E2A}"/>
    <cellStyle name="Style 152_ADDON" xfId="25776" xr:uid="{9BA47F4F-53B7-44A1-B7F5-C7B8BE3458E3}"/>
    <cellStyle name="Style 153" xfId="1795" xr:uid="{7A92F1C2-A2D1-488C-8815-C681AC3C7559}"/>
    <cellStyle name="Style 153 2" xfId="1796" xr:uid="{7A164126-8B45-495F-820C-B3F17A8220C8}"/>
    <cellStyle name="Style 153 2 2" xfId="1797" xr:uid="{B8B2A569-29B2-4784-A34E-33BF2AED459F}"/>
    <cellStyle name="Style 153 2 2 2" xfId="1798" xr:uid="{F73D4173-437F-4CAD-8769-5D97C37C3587}"/>
    <cellStyle name="Style 153 2 2 2 2" xfId="1799" xr:uid="{36396FE8-F38D-4B28-AC8D-F498A012B5E1}"/>
    <cellStyle name="Style 153 2 2 2 2 2" xfId="1800" xr:uid="{3BD150E0-5E13-4F98-8EE6-C0BB583FD2BB}"/>
    <cellStyle name="Style 153 2 2 2 2 2 2" xfId="9175" xr:uid="{7BB76F29-9932-4396-BE61-11E143BC78C5}"/>
    <cellStyle name="Style 153 2 2 2 2 3" xfId="9176" xr:uid="{0E310346-6BD3-4B4D-909B-EA9B23F78D9F}"/>
    <cellStyle name="Style 153 2 2 2 3" xfId="1801" xr:uid="{3E2CB3E5-D45D-43CF-AC9D-EE2C60F0932F}"/>
    <cellStyle name="Style 153 2 2 2 3 2" xfId="9177" xr:uid="{29FB0E50-47CC-454F-B6E6-B346E0D6BBD8}"/>
    <cellStyle name="Style 153 2 2 2 4" xfId="9178" xr:uid="{B2E9CCC4-11E3-4AA2-898A-6AA36ECCB0F2}"/>
    <cellStyle name="Style 153 2 2 3" xfId="1802" xr:uid="{A0BFBBCA-557D-448B-92E8-F284C9889437}"/>
    <cellStyle name="Style 153 2 2 3 2" xfId="1803" xr:uid="{8C59B36F-64FF-4C1C-96B4-CCA7AD4237AC}"/>
    <cellStyle name="Style 153 2 2 3 2 2" xfId="9179" xr:uid="{EE167277-70B4-4017-8168-010B90229E25}"/>
    <cellStyle name="Style 153 2 2 3 3" xfId="9180" xr:uid="{15F8521E-C053-4E4C-A91E-DBF62026A684}"/>
    <cellStyle name="Style 153 2 2 4" xfId="1804" xr:uid="{3487C86C-10D1-4578-A6E9-8E02DB7DA16E}"/>
    <cellStyle name="Style 153 2 2 4 2" xfId="9181" xr:uid="{6FD1653E-C0FB-4977-B8A8-F333DB2E9665}"/>
    <cellStyle name="Style 153 2 2 5" xfId="9182" xr:uid="{F39215BF-36FD-4C0A-BBBD-52244CB154C5}"/>
    <cellStyle name="Style 153 2 3" xfId="1805" xr:uid="{D8477F86-BC93-4ACD-9B6B-7455B8C15196}"/>
    <cellStyle name="Style 153 2 3 2" xfId="1806" xr:uid="{6510C8E7-6C98-4C88-83FA-F972EA062DAA}"/>
    <cellStyle name="Style 153 2 3 2 2" xfId="1807" xr:uid="{EA3035D5-CD95-478C-9777-CCC3A7D5C578}"/>
    <cellStyle name="Style 153 2 3 2 2 2" xfId="9183" xr:uid="{CEE62E14-2560-4066-87B6-8A27EA822E22}"/>
    <cellStyle name="Style 153 2 3 2 3" xfId="9184" xr:uid="{30A45EB1-D100-4AF7-BAD0-4EA39BDA4B01}"/>
    <cellStyle name="Style 153 2 3 3" xfId="1808" xr:uid="{E85B3DDD-0EDB-45CA-A1DE-2DAB0EFE65F5}"/>
    <cellStyle name="Style 153 2 3 3 2" xfId="9185" xr:uid="{22BBE5C8-2B61-414B-8999-335B037428E8}"/>
    <cellStyle name="Style 153 2 3 4" xfId="9186" xr:uid="{2649AE46-09B3-4DAD-8945-DEC18FB74AF6}"/>
    <cellStyle name="Style 153 2 4" xfId="1809" xr:uid="{3F658230-7AB8-48B7-9212-B67DA3465ABD}"/>
    <cellStyle name="Style 153 2 4 2" xfId="1810" xr:uid="{38D75B8F-62FA-4E3F-BC42-C4FC61696A0E}"/>
    <cellStyle name="Style 153 2 4 2 2" xfId="9187" xr:uid="{F447F296-A495-4E1C-A9DF-F64532C35DCA}"/>
    <cellStyle name="Style 153 2 4 3" xfId="9188" xr:uid="{1AA8CE33-E38A-45FF-B49C-288C67E1A35F}"/>
    <cellStyle name="Style 153 2 5" xfId="1811" xr:uid="{62550D4F-931B-49A3-B607-56BF0F80CF8C}"/>
    <cellStyle name="Style 153 2 5 2" xfId="9189" xr:uid="{17FF0A57-A73E-4E22-B976-637F94E6B761}"/>
    <cellStyle name="Style 153 2 6" xfId="9190" xr:uid="{4C73F8A4-33E4-4781-8CA6-92CA182F900D}"/>
    <cellStyle name="Style 153 3" xfId="1812" xr:uid="{B7AE7955-11EF-43F2-86A8-4F6D0651C811}"/>
    <cellStyle name="Style 153 3 2" xfId="1813" xr:uid="{DBBF5935-22D6-4FE8-91C5-ADE65A248609}"/>
    <cellStyle name="Style 153 3 2 2" xfId="1814" xr:uid="{0192A30C-266C-4A77-8E07-C68F2C6F4544}"/>
    <cellStyle name="Style 153 3 2 2 2" xfId="1815" xr:uid="{FD68B3C1-1DEC-4114-8CB4-2C88D2D7DF8B}"/>
    <cellStyle name="Style 153 3 2 2 2 2" xfId="1816" xr:uid="{6CE9DF92-58AD-44CD-AC9D-1B52A0C61C83}"/>
    <cellStyle name="Style 153 3 2 2 2 2 2" xfId="9191" xr:uid="{4C2C5358-C313-4A25-9722-821DC9CECB05}"/>
    <cellStyle name="Style 153 3 2 2 2 3" xfId="9192" xr:uid="{BCF56252-D5FD-463A-A4D2-9117C746971E}"/>
    <cellStyle name="Style 153 3 2 2 3" xfId="1817" xr:uid="{E1BC647F-B0E9-4514-93B6-99386C804F01}"/>
    <cellStyle name="Style 153 3 2 2 3 2" xfId="9193" xr:uid="{66408D5C-D89A-485B-A15F-93DBCB5FC7A8}"/>
    <cellStyle name="Style 153 3 2 2 4" xfId="9194" xr:uid="{1559C403-4F0E-4F31-B776-40E360039AC3}"/>
    <cellStyle name="Style 153 3 2 3" xfId="1818" xr:uid="{1AF9769F-2EDB-452D-BA2D-FB2A2D46DACA}"/>
    <cellStyle name="Style 153 3 2 3 2" xfId="1819" xr:uid="{650D1E89-49A0-4721-B660-D5F391689137}"/>
    <cellStyle name="Style 153 3 2 3 2 2" xfId="9195" xr:uid="{C6F8B937-DB88-49FB-8B79-14DCE1A9A223}"/>
    <cellStyle name="Style 153 3 2 3 3" xfId="9196" xr:uid="{75855ED4-317C-4DB6-9FEE-9E032067A9A1}"/>
    <cellStyle name="Style 153 3 2 4" xfId="1820" xr:uid="{7F9C26F3-85B0-478C-B21B-16866B787A28}"/>
    <cellStyle name="Style 153 3 2 4 2" xfId="9197" xr:uid="{600EDEF7-37CA-44A5-8759-BC37731BE09C}"/>
    <cellStyle name="Style 153 3 2 5" xfId="9198" xr:uid="{D1629D47-F58A-4BDE-A879-E98343FFC083}"/>
    <cellStyle name="Style 153 3 3" xfId="1821" xr:uid="{795CDF48-57AF-4E26-A50E-39BED38536C7}"/>
    <cellStyle name="Style 153 3 3 2" xfId="1822" xr:uid="{E89BAFC6-21DD-4780-84A9-30968E39E5CE}"/>
    <cellStyle name="Style 153 3 3 2 2" xfId="1823" xr:uid="{5118EC88-C795-4003-B3BE-B2D5EAC7E653}"/>
    <cellStyle name="Style 153 3 3 2 2 2" xfId="1824" xr:uid="{5052581B-BA22-48A3-B579-ACC3BF457F4C}"/>
    <cellStyle name="Style 153 3 3 2 2 2 2" xfId="9199" xr:uid="{5AD14030-D699-4095-BAF1-0112295B2F3F}"/>
    <cellStyle name="Style 153 3 3 2 2 3" xfId="9200" xr:uid="{3AFA56CD-20DE-4247-BAE9-A6B7A5AC0EFB}"/>
    <cellStyle name="Style 153 3 3 2 3" xfId="1825" xr:uid="{582E9D97-E6A2-4FB8-BDB7-B9A230C2FD0B}"/>
    <cellStyle name="Style 153 3 3 2 3 2" xfId="9201" xr:uid="{C4DBDBC7-3940-4A30-A588-CB6C24D734B9}"/>
    <cellStyle name="Style 153 3 3 2 4" xfId="9202" xr:uid="{EFB9F5EB-A3F7-4EDD-81FA-BD170BA468D6}"/>
    <cellStyle name="Style 153 3 3 3" xfId="1826" xr:uid="{C48AB5BB-7000-485A-AC5E-98BB49C7DA0D}"/>
    <cellStyle name="Style 153 3 3 3 2" xfId="9203" xr:uid="{17238B08-513D-46C7-AECE-6B550419725A}"/>
    <cellStyle name="Style 153 3 3 4" xfId="5804" xr:uid="{E10BD727-5B05-475D-9AAB-17CCE8C1AF66}"/>
    <cellStyle name="Style 153 3 3 5" xfId="9204" xr:uid="{D17A57C7-BED8-472C-B7A4-E07F131D46F4}"/>
    <cellStyle name="Style 153 3 4" xfId="1827" xr:uid="{A441F950-E275-4771-A331-A263492AF233}"/>
    <cellStyle name="Style 153 3 4 2" xfId="1828" xr:uid="{C6C3C91E-86BF-4E76-8B07-51FE58DF58C6}"/>
    <cellStyle name="Style 153 3 4 2 2" xfId="9205" xr:uid="{7032EF22-8356-4BCE-A1A0-8F07B9D2DA00}"/>
    <cellStyle name="Style 153 3 4 3" xfId="9206" xr:uid="{B14DE24A-5BBD-4EC2-A919-29CA3FADD949}"/>
    <cellStyle name="Style 153 3 5" xfId="1829" xr:uid="{9AEB19DF-44F4-4EC4-AF79-7AAA335BF182}"/>
    <cellStyle name="Style 153 3 5 2" xfId="9207" xr:uid="{491FBBD1-0703-4A60-BE33-C868E1F1D0D9}"/>
    <cellStyle name="Style 153 3 6" xfId="9208" xr:uid="{D2592E66-CA13-498B-BB3A-802F4902393E}"/>
    <cellStyle name="Style 153 4" xfId="1830" xr:uid="{62E6095C-1242-4D25-AFB8-DABA6D3913F1}"/>
    <cellStyle name="Style 153 4 2" xfId="1831" xr:uid="{CD9DCAA7-457A-4AA9-953A-5429DB2A0D8B}"/>
    <cellStyle name="Style 153 4 2 2" xfId="1832" xr:uid="{FDB512B2-EE23-4796-8F9B-C88FDC3637BE}"/>
    <cellStyle name="Style 153 4 2 2 2" xfId="1833" xr:uid="{B8B48AB6-CBC1-4223-90C0-688F71ADDE9F}"/>
    <cellStyle name="Style 153 4 2 2 2 2" xfId="9209" xr:uid="{86B8D4F4-0D3D-4937-826D-52CEBDC6FCCB}"/>
    <cellStyle name="Style 153 4 2 2 3" xfId="9210" xr:uid="{D058DA79-CFE9-4D4F-BB8A-553D9401BD0C}"/>
    <cellStyle name="Style 153 4 2 3" xfId="1834" xr:uid="{12132330-F77F-4472-941D-4BC68A021218}"/>
    <cellStyle name="Style 153 4 2 3 2" xfId="9211" xr:uid="{FC185765-5F85-45C3-B48C-58707672DE3C}"/>
    <cellStyle name="Style 153 4 2 4" xfId="9212" xr:uid="{4489D4DF-68B0-48E6-BD34-B481AA2DE9DA}"/>
    <cellStyle name="Style 153 4 3" xfId="1835" xr:uid="{3F7A11AC-22AA-4E0D-BCAC-36B92AD106B5}"/>
    <cellStyle name="Style 153 4 3 2" xfId="9213" xr:uid="{82DB1330-18D0-4E7B-80D7-8F2490DF3F7B}"/>
    <cellStyle name="Style 153 4 4" xfId="5805" xr:uid="{B64DF3A1-8A93-4389-B85E-F9A79608359C}"/>
    <cellStyle name="Style 153 4 5" xfId="9214" xr:uid="{FCB72EE7-DDFE-4C78-8E0A-04868F8B53DF}"/>
    <cellStyle name="Style 153 5" xfId="1836" xr:uid="{2DEA803A-78BC-4505-AB62-5D6BB56252BB}"/>
    <cellStyle name="Style 153 5 2" xfId="1837" xr:uid="{8575FA72-9BC8-4BDA-B6DC-D4D0F328AFE7}"/>
    <cellStyle name="Style 153 5 2 2" xfId="9215" xr:uid="{69CEF8D3-52C7-4F1F-B4AD-AE9A82B85FA8}"/>
    <cellStyle name="Style 153 5 3" xfId="9216" xr:uid="{FB5B2DEE-0D3D-4E4D-987D-4AC53B55825D}"/>
    <cellStyle name="Style 153 6" xfId="1838" xr:uid="{87CF070F-FA52-40CC-98AE-1C91C6B0CC66}"/>
    <cellStyle name="Style 153 6 2" xfId="4117" xr:uid="{98C33272-497A-4D85-B835-3F6FDE2EE54C}"/>
    <cellStyle name="Style 153 6 2 2" xfId="5806" xr:uid="{2D1CBA0B-D358-4F47-911B-44DE8D89E2BF}"/>
    <cellStyle name="Style 153 6 3" xfId="9217" xr:uid="{B486956F-1EDA-4954-9EC9-B034EE704090}"/>
    <cellStyle name="Style 153 7" xfId="4116" xr:uid="{742BF6EF-95F5-418D-9AFB-D1B4CD086499}"/>
    <cellStyle name="Style 153 7 2" xfId="5808" xr:uid="{9BDB2CDD-38CE-4F6C-80AC-814D1C953C5F}"/>
    <cellStyle name="Style 153 7 3" xfId="5807" xr:uid="{23606869-104D-420B-A5CF-B72F5EFC8F00}"/>
    <cellStyle name="Style 153 8" xfId="5809" xr:uid="{5AE744A1-2CC2-413C-94A9-977536B54FE4}"/>
    <cellStyle name="Style 153 9" xfId="9218" xr:uid="{DB0EF9C7-CE24-4940-B288-C597077CE90A}"/>
    <cellStyle name="Style 153 9 2" xfId="26591" xr:uid="{8D8F0397-EA21-4177-9A62-C284437500EC}"/>
    <cellStyle name="Style 153_ADDON" xfId="25777" xr:uid="{C0BC5D1F-269E-4BF4-9E6B-A83255EE0295}"/>
    <cellStyle name="Style 154" xfId="1839" xr:uid="{4D1F48B1-FBEB-413D-8C4B-E61A4511AF82}"/>
    <cellStyle name="Style 154 2" xfId="1840" xr:uid="{00E06497-4D0E-499F-9CD9-216FFA690590}"/>
    <cellStyle name="Style 154 2 2" xfId="1841" xr:uid="{29C8DD21-6384-4046-8A3F-D718471C0C37}"/>
    <cellStyle name="Style 154 2 2 2" xfId="1842" xr:uid="{5231805F-3755-4D1E-A61F-B0458BC3F4D7}"/>
    <cellStyle name="Style 154 2 2 2 2" xfId="1843" xr:uid="{6F4255A0-BE6E-483D-9496-6003E94EAD9C}"/>
    <cellStyle name="Style 154 2 2 2 2 2" xfId="1844" xr:uid="{FD68A3C1-4A0B-481F-8FBC-269B357808F3}"/>
    <cellStyle name="Style 154 2 2 2 2 2 2" xfId="9219" xr:uid="{8D0CAF8D-3329-4898-8AEB-8E5760364CCA}"/>
    <cellStyle name="Style 154 2 2 2 2 3" xfId="9220" xr:uid="{9E2BD01A-6451-4752-B54D-AC781AFF18D9}"/>
    <cellStyle name="Style 154 2 2 2 3" xfId="1845" xr:uid="{CC041112-24A8-42A8-A358-E28839BA5A7E}"/>
    <cellStyle name="Style 154 2 2 2 3 2" xfId="9221" xr:uid="{CE40AFCA-0275-4066-A496-3E431EB65B6C}"/>
    <cellStyle name="Style 154 2 2 2 4" xfId="9222" xr:uid="{7AFD86CD-60A3-4EA6-B078-3D43ED38CA54}"/>
    <cellStyle name="Style 154 2 2 3" xfId="1846" xr:uid="{0857666A-9ED7-4A7C-A531-8F28011CC862}"/>
    <cellStyle name="Style 154 2 2 3 2" xfId="1847" xr:uid="{57478753-1C7E-46C7-ABC9-FF978D0CCA47}"/>
    <cellStyle name="Style 154 2 2 3 2 2" xfId="9223" xr:uid="{02053516-4409-47B8-9576-13E81E5CC8E3}"/>
    <cellStyle name="Style 154 2 2 3 3" xfId="9224" xr:uid="{B5DF3A3B-436B-4B78-8DA0-D32C010DD473}"/>
    <cellStyle name="Style 154 2 2 4" xfId="1848" xr:uid="{4C56A314-D60E-4030-B087-77F0E3B95F9E}"/>
    <cellStyle name="Style 154 2 2 4 2" xfId="9225" xr:uid="{827FD8E2-B5DD-42D5-88E3-5BBE0121C262}"/>
    <cellStyle name="Style 154 2 2 5" xfId="9226" xr:uid="{75A8B839-2CDE-4BA7-8CA4-182B4065245A}"/>
    <cellStyle name="Style 154 2 3" xfId="1849" xr:uid="{22D82025-18F6-4EEC-B0AA-97A64A17D5DB}"/>
    <cellStyle name="Style 154 2 3 2" xfId="1850" xr:uid="{2B0B57EC-308A-4A12-8905-417C8F476351}"/>
    <cellStyle name="Style 154 2 3 2 2" xfId="1851" xr:uid="{2EBE8F7D-1938-47E6-92F9-F37D0A8120F8}"/>
    <cellStyle name="Style 154 2 3 2 2 2" xfId="9227" xr:uid="{5ADC2987-54D9-416E-80CF-1DE6FF3DAF96}"/>
    <cellStyle name="Style 154 2 3 2 3" xfId="9228" xr:uid="{5FFF098B-A2A2-447D-A2B1-CC87C995106F}"/>
    <cellStyle name="Style 154 2 3 3" xfId="1852" xr:uid="{7CF90EFF-7132-464E-B6E0-149E52B9BF32}"/>
    <cellStyle name="Style 154 2 3 3 2" xfId="9229" xr:uid="{9D5256E9-209A-432E-AF5A-32094827264C}"/>
    <cellStyle name="Style 154 2 3 4" xfId="9230" xr:uid="{5294905A-7CEA-438B-B2ED-686E7B77E466}"/>
    <cellStyle name="Style 154 2 4" xfId="1853" xr:uid="{04CB4402-E46A-4E16-B339-726A4A918304}"/>
    <cellStyle name="Style 154 2 4 2" xfId="1854" xr:uid="{C75D4B9A-72CE-428F-8473-A53733DDC078}"/>
    <cellStyle name="Style 154 2 4 2 2" xfId="9231" xr:uid="{7B8E7E28-85AC-4156-88B6-A6A71D62E14E}"/>
    <cellStyle name="Style 154 2 4 3" xfId="9232" xr:uid="{30DB0D71-D6AB-4943-B3D9-995E8CAFDDDF}"/>
    <cellStyle name="Style 154 2 5" xfId="1855" xr:uid="{E0599BB5-1661-4140-B1FF-8479A229B306}"/>
    <cellStyle name="Style 154 2 5 2" xfId="9233" xr:uid="{BCC233AE-7C22-440C-BB6A-1F23E7FDBE54}"/>
    <cellStyle name="Style 154 2 6" xfId="9234" xr:uid="{BE090DD5-F48C-43B2-AAE9-D65123C90E33}"/>
    <cellStyle name="Style 154 3" xfId="1856" xr:uid="{D1BC3FF0-1086-41D4-B700-83B69D29B57B}"/>
    <cellStyle name="Style 154 3 2" xfId="1857" xr:uid="{5780631D-96E4-41A9-8135-E192C1FF8277}"/>
    <cellStyle name="Style 154 3 2 2" xfId="1858" xr:uid="{EA7A661F-7365-4DB4-ABA8-4EBE9A75E471}"/>
    <cellStyle name="Style 154 3 2 2 2" xfId="1859" xr:uid="{BF1B6DC8-D0AA-4887-87DC-3C3396E0E7B7}"/>
    <cellStyle name="Style 154 3 2 2 2 2" xfId="1860" xr:uid="{C2BADFEA-8750-45F7-BC5A-A95460FAC73F}"/>
    <cellStyle name="Style 154 3 2 2 2 2 2" xfId="9235" xr:uid="{8BE424FD-3848-4651-A6D7-DF57F666706A}"/>
    <cellStyle name="Style 154 3 2 2 2 3" xfId="9236" xr:uid="{E68DFAFC-9E8B-483D-AD75-A87AB66FBCDB}"/>
    <cellStyle name="Style 154 3 2 2 3" xfId="1861" xr:uid="{A6A1AFC4-5267-4BEF-AE9E-996F296027D0}"/>
    <cellStyle name="Style 154 3 2 2 3 2" xfId="9237" xr:uid="{8F3F6353-C193-4264-91DE-C7AD68BF71FF}"/>
    <cellStyle name="Style 154 3 2 2 4" xfId="9238" xr:uid="{BB1B83CC-DA67-4145-ADAB-158DEA3D83FA}"/>
    <cellStyle name="Style 154 3 2 3" xfId="1862" xr:uid="{1B5E6FCE-4C5E-4981-9ADA-FD129E5B9986}"/>
    <cellStyle name="Style 154 3 2 3 2" xfId="1863" xr:uid="{DACFBC6A-BC88-42E4-B171-BCDBB0BCBE52}"/>
    <cellStyle name="Style 154 3 2 3 2 2" xfId="9239" xr:uid="{1A130E90-6E13-4B6A-9F58-188453559C38}"/>
    <cellStyle name="Style 154 3 2 3 3" xfId="9240" xr:uid="{02F25E11-16D3-4728-A22E-2346880D02A5}"/>
    <cellStyle name="Style 154 3 2 4" xfId="1864" xr:uid="{DFE4243A-6924-4504-AD57-C191F7A6AC86}"/>
    <cellStyle name="Style 154 3 2 4 2" xfId="9241" xr:uid="{F173F0AC-3538-4E06-99BE-6E51AC7DCE18}"/>
    <cellStyle name="Style 154 3 2 5" xfId="9242" xr:uid="{331C00F8-5CB9-4C0D-BB13-9499C803FFF0}"/>
    <cellStyle name="Style 154 3 3" xfId="1865" xr:uid="{316EC30A-7EEA-416A-AD52-D53118C36491}"/>
    <cellStyle name="Style 154 3 3 2" xfId="1866" xr:uid="{EEED9109-C04E-4BF3-B4B9-A4DDC524DC3C}"/>
    <cellStyle name="Style 154 3 3 2 2" xfId="1867" xr:uid="{E3AC7DA2-1F2E-4057-A84D-8F47463D9000}"/>
    <cellStyle name="Style 154 3 3 2 2 2" xfId="1868" xr:uid="{A5D7BCAA-FD54-4388-BA91-97BF3DCC2F55}"/>
    <cellStyle name="Style 154 3 3 2 2 2 2" xfId="9243" xr:uid="{1CC26DDC-6134-48BB-A4F5-C8BAB55F0945}"/>
    <cellStyle name="Style 154 3 3 2 2 3" xfId="9244" xr:uid="{D77E2A26-593D-4725-8A51-432A00CC1762}"/>
    <cellStyle name="Style 154 3 3 2 3" xfId="1869" xr:uid="{30E1D522-8F16-4F5D-BA91-6B17B8AB08A7}"/>
    <cellStyle name="Style 154 3 3 2 3 2" xfId="9245" xr:uid="{71B646DB-B9E3-4A33-A528-A85CD6C1008F}"/>
    <cellStyle name="Style 154 3 3 2 4" xfId="9246" xr:uid="{F3482CA2-9FED-4D93-8999-70F43E168DC3}"/>
    <cellStyle name="Style 154 3 3 3" xfId="1870" xr:uid="{AD8C7565-CDA0-4BF3-B8EE-120D4D1FBE70}"/>
    <cellStyle name="Style 154 3 3 3 2" xfId="9247" xr:uid="{78E9F170-EE97-4BC6-8CD0-CFF24A4D8A8A}"/>
    <cellStyle name="Style 154 3 3 4" xfId="5810" xr:uid="{C86145B8-35D3-4123-8B7F-5224326EAF6D}"/>
    <cellStyle name="Style 154 3 3 5" xfId="9248" xr:uid="{395BD444-8B60-4C3E-8375-ED26B1A39761}"/>
    <cellStyle name="Style 154 3 4" xfId="1871" xr:uid="{828E3B0F-A7AC-4AE2-84CB-B5A353E48042}"/>
    <cellStyle name="Style 154 3 4 2" xfId="1872" xr:uid="{F18E50BD-DB86-4F4C-8E42-2B6FADAF9AB3}"/>
    <cellStyle name="Style 154 3 4 2 2" xfId="9249" xr:uid="{F5A6B5FB-4AA9-4532-974C-CE22F0A739F5}"/>
    <cellStyle name="Style 154 3 4 3" xfId="9250" xr:uid="{7D86FC79-8AF1-4B78-BD24-862EC3F83562}"/>
    <cellStyle name="Style 154 3 5" xfId="1873" xr:uid="{1897F05C-D487-4A94-AD56-08B90976C0C2}"/>
    <cellStyle name="Style 154 3 5 2" xfId="9251" xr:uid="{5B9BC411-FD6A-4439-955E-DE655FFD7F9D}"/>
    <cellStyle name="Style 154 3 6" xfId="9252" xr:uid="{FC8A602F-9CBA-4E43-A1E4-B45F517270FE}"/>
    <cellStyle name="Style 154 4" xfId="1874" xr:uid="{EBD64F9A-1F09-49D9-A7A0-92031A597A1A}"/>
    <cellStyle name="Style 154 4 2" xfId="1875" xr:uid="{20695FF9-BB46-43A1-8275-E66F065D14D4}"/>
    <cellStyle name="Style 154 4 2 2" xfId="1876" xr:uid="{D65C7209-FA44-4F1B-A74E-6063BFABD10E}"/>
    <cellStyle name="Style 154 4 2 2 2" xfId="1877" xr:uid="{BE04C9C5-9426-44DE-8AEC-4EF5497435ED}"/>
    <cellStyle name="Style 154 4 2 2 2 2" xfId="9253" xr:uid="{A3437B99-1DE5-4B70-B381-86DFEC14771F}"/>
    <cellStyle name="Style 154 4 2 2 3" xfId="9254" xr:uid="{77222BD5-1984-4A4D-8B03-03E37DCA34E1}"/>
    <cellStyle name="Style 154 4 2 3" xfId="1878" xr:uid="{D80CDB4A-00E9-4C8F-9B4D-4492D5AF54BD}"/>
    <cellStyle name="Style 154 4 2 3 2" xfId="9255" xr:uid="{EB6259C6-813F-4A22-90D8-75ABD22D378D}"/>
    <cellStyle name="Style 154 4 2 4" xfId="9256" xr:uid="{D1A6E4B2-18B5-4DAC-9D2B-CCD34664C045}"/>
    <cellStyle name="Style 154 4 3" xfId="1879" xr:uid="{20B83C3D-931C-4B8F-A41C-02CAAB94CFF0}"/>
    <cellStyle name="Style 154 4 3 2" xfId="9257" xr:uid="{DF41F568-E783-44C3-BF25-A9E773C23A7D}"/>
    <cellStyle name="Style 154 4 4" xfId="5811" xr:uid="{3BF079EF-E84A-43A8-81EB-D0FF4B88EC9A}"/>
    <cellStyle name="Style 154 4 5" xfId="9258" xr:uid="{4E802347-FB79-4A80-A1E6-5E73FCB4995C}"/>
    <cellStyle name="Style 154 5" xfId="1880" xr:uid="{7F2D17DE-D887-4754-A498-A79E159F5DE1}"/>
    <cellStyle name="Style 154 5 2" xfId="1881" xr:uid="{EB1071CC-6953-4B29-A92C-BD0C32C4F203}"/>
    <cellStyle name="Style 154 5 2 2" xfId="9259" xr:uid="{2DB542E0-3D87-4804-87CE-E04C301FD914}"/>
    <cellStyle name="Style 154 5 3" xfId="9260" xr:uid="{7B279C60-7EB8-4CE8-9FA5-BF011F33CD58}"/>
    <cellStyle name="Style 154 6" xfId="1882" xr:uid="{090457E0-A80D-4902-B082-F2184247BCEA}"/>
    <cellStyle name="Style 154 6 2" xfId="4119" xr:uid="{A83B35F9-AA80-4A47-A1CA-549FA4816BA0}"/>
    <cellStyle name="Style 154 6 2 2" xfId="5812" xr:uid="{2D1AD4FB-21D2-40BB-B805-54E3C85020C3}"/>
    <cellStyle name="Style 154 6 3" xfId="9261" xr:uid="{034E32FF-AA23-494A-9A59-8E7FEFE1461E}"/>
    <cellStyle name="Style 154 7" xfId="4118" xr:uid="{8B919931-C737-4BED-9A55-3F968D929B5E}"/>
    <cellStyle name="Style 154 7 2" xfId="5814" xr:uid="{B2A82F0D-0182-47FE-BF85-3AAFB1FCC36B}"/>
    <cellStyle name="Style 154 7 3" xfId="5813" xr:uid="{81BA2BE4-963D-4EB8-9465-C0048F599073}"/>
    <cellStyle name="Style 154 8" xfId="5815" xr:uid="{32DAE44F-C386-4E40-90C5-8FF2CD89B9A1}"/>
    <cellStyle name="Style 154 9" xfId="9262" xr:uid="{5449E65B-A174-4E33-9AA6-A11FA0CF72AB}"/>
    <cellStyle name="Style 154 9 2" xfId="26592" xr:uid="{708849CB-0E81-4175-800C-7A0A978F49AA}"/>
    <cellStyle name="Style 154_ADDON" xfId="25778" xr:uid="{EA5EDDD7-9AAD-4D0E-A70B-ADBCD67BD8E1}"/>
    <cellStyle name="Style 159" xfId="1883" xr:uid="{59E60425-9810-4FC3-9ED7-2A4DD4559706}"/>
    <cellStyle name="Style 159 10" xfId="1884" xr:uid="{87959050-0A56-41CC-8274-75A3EC16D32D}"/>
    <cellStyle name="Style 159 10 2" xfId="1885" xr:uid="{45FFF7DD-2EAC-4726-BD7D-EF75B8495726}"/>
    <cellStyle name="Style 159 10 2 2" xfId="5816" xr:uid="{79906673-A3C4-4EBA-A1EC-001CCE799C4B}"/>
    <cellStyle name="Style 159 10 2 2 2" xfId="27409" xr:uid="{43008C99-2324-49A9-A72D-F7B8C5C01156}"/>
    <cellStyle name="Style 159 10 2 3" xfId="24574" xr:uid="{71F71F46-D6E3-4FDC-919B-EC1BB0A76E60}"/>
    <cellStyle name="Style 159 10 3" xfId="4120" xr:uid="{91786E7A-3011-4A4A-961B-DFB71D204E68}"/>
    <cellStyle name="Style 159 10 3 2" xfId="27408" xr:uid="{5F329B46-F408-4DD8-B41F-A8974C6D8D03}"/>
    <cellStyle name="Style 159 10 4" xfId="23170" xr:uid="{B9567D88-04F4-43A5-B17A-1FB3BFADE196}"/>
    <cellStyle name="Style 159 11" xfId="1886" xr:uid="{2F0DCB0D-5F49-4EB0-B126-86D56460B758}"/>
    <cellStyle name="Style 159 11 2" xfId="1887" xr:uid="{B38F2B2A-8009-42B3-8D65-0D183E55CC40}"/>
    <cellStyle name="Style 159 11 2 2" xfId="5818" xr:uid="{FED7F584-4275-4BCF-95C3-D2BDF93C69EE}"/>
    <cellStyle name="Style 159 11 2 2 2" xfId="27411" xr:uid="{691A37E6-689A-4507-937A-9CBA80CCC0F4}"/>
    <cellStyle name="Style 159 11 2 3" xfId="24575" xr:uid="{A8171EF7-F7CD-4295-9317-833E24A508E8}"/>
    <cellStyle name="Style 159 11 3" xfId="5817" xr:uid="{755EC1F9-FC6C-4657-BF7C-4FA1C2F91ABF}"/>
    <cellStyle name="Style 159 11 3 2" xfId="27410" xr:uid="{F4647FD6-6C80-41B2-8AFC-98D3C2B94D97}"/>
    <cellStyle name="Style 159 11 4" xfId="23171" xr:uid="{9FB14E31-6183-4418-B99B-5359DC71FD4E}"/>
    <cellStyle name="Style 159 12" xfId="1888" xr:uid="{21A58483-BDAA-41A7-BE6E-FA14544437E6}"/>
    <cellStyle name="Style 159 12 2" xfId="5819" xr:uid="{F881984E-929D-45AC-820E-E590BBFDFFFA}"/>
    <cellStyle name="Style 159 12 2 2" xfId="27412" xr:uid="{535C4C74-3891-43B8-A96E-439AAF08F9FF}"/>
    <cellStyle name="Style 159 12 3" xfId="9263" xr:uid="{45E144A0-03B7-4718-AF4A-B77A963A6A58}"/>
    <cellStyle name="Style 159 12 3 2" xfId="28912" xr:uid="{5BC5EE3A-6429-4E2C-92D3-B40A4455311D}"/>
    <cellStyle name="Style 159 12 4" xfId="9264" xr:uid="{CADF96E0-248A-4592-ADB5-53CC79EBB953}"/>
    <cellStyle name="Style 159 12 4 2" xfId="28913" xr:uid="{8B1AB8B6-243B-4A18-B0DF-EF99CB0A6C25}"/>
    <cellStyle name="Style 159 12 5" xfId="9265" xr:uid="{73914EB1-C123-4F2A-B622-D0BDEB9F1D98}"/>
    <cellStyle name="Style 159 12 5 2" xfId="28914" xr:uid="{CD539FF9-296D-4AFA-8690-B0ADB0A24B73}"/>
    <cellStyle name="Style 159 12 6" xfId="9266" xr:uid="{A1C556F1-C272-4FFD-A461-1FFFF165341D}"/>
    <cellStyle name="Style 159 12 6 2" xfId="28915" xr:uid="{A4B1D317-B2AA-465C-91FA-0E50DD034450}"/>
    <cellStyle name="Style 159 12 7" xfId="24576" xr:uid="{32F53894-7AEA-4152-80F5-D2ECD9C692FB}"/>
    <cellStyle name="Style 159 13" xfId="9267" xr:uid="{D80538C4-A694-40E7-9EDC-C15345F54538}"/>
    <cellStyle name="Style 159 13 2" xfId="9268" xr:uid="{555D393C-2CA9-4D49-A6EB-933D69979DD4}"/>
    <cellStyle name="Style 159 13 2 2" xfId="28916" xr:uid="{62EB3C62-7AB1-4976-B333-D284E8066700}"/>
    <cellStyle name="Style 159 13 3" xfId="9269" xr:uid="{D8E70A34-7AB8-416B-9169-656E98AA773F}"/>
    <cellStyle name="Style 159 13 3 2" xfId="28917" xr:uid="{946E9265-92FE-4910-B314-0BDBBEF0318D}"/>
    <cellStyle name="Style 159 13 4" xfId="26593" xr:uid="{2708C1B8-F8BD-4828-AF88-248C8F79C4ED}"/>
    <cellStyle name="Style 159 14" xfId="9270" xr:uid="{8B118643-6D99-4739-9C6E-E4D2F1E1FAED}"/>
    <cellStyle name="Style 159 14 2" xfId="9271" xr:uid="{2C1AB52B-8C69-42D4-93C3-33597CF5F27A}"/>
    <cellStyle name="Style 159 14 2 2" xfId="28919" xr:uid="{CD221FEB-D1FB-458D-8B3B-68B8027FC325}"/>
    <cellStyle name="Style 159 14 3" xfId="28918" xr:uid="{9C8DB6A7-56FA-4987-8B9A-D52C59C37DD5}"/>
    <cellStyle name="Style 159 15" xfId="9272" xr:uid="{77DCE75B-5A4A-4E9C-8D3F-6AC71126C78B}"/>
    <cellStyle name="Style 159 15 2" xfId="9273" xr:uid="{8EE781E0-1C68-4523-B9E6-4690097F22BE}"/>
    <cellStyle name="Style 159 15 2 2" xfId="28921" xr:uid="{96140EE2-4094-4701-BFC7-3FD0F7B2CDFA}"/>
    <cellStyle name="Style 159 15 3" xfId="28920" xr:uid="{5D223519-AC4D-47B2-B06C-6672A250AA23}"/>
    <cellStyle name="Style 159 16" xfId="23169" xr:uid="{5D7AF1E2-E3F5-43ED-9E01-4D1542951AC4}"/>
    <cellStyle name="Style 159 2" xfId="1889" xr:uid="{8971948E-6879-42E8-8616-041114A58C4D}"/>
    <cellStyle name="Style 159 2 2" xfId="4375" xr:uid="{672EFB09-05BC-40B0-97E3-712CCA842C85}"/>
    <cellStyle name="Style 159 2 2 2" xfId="26594" xr:uid="{17FCCE4F-6C1C-497B-A010-B2B5AD04BC40}"/>
    <cellStyle name="Style 159 2 3" xfId="23172" xr:uid="{DFCAFB7F-453C-4402-A44A-CF0181B685A0}"/>
    <cellStyle name="Style 159 3" xfId="1890" xr:uid="{4981C1BF-2FB4-470C-8AB4-33A888E65CE1}"/>
    <cellStyle name="Style 159 3 2" xfId="1891" xr:uid="{0301C6A7-08F8-4406-B1A1-F84252A45A64}"/>
    <cellStyle name="Style 159 3 2 2" xfId="1892" xr:uid="{E2110C19-86F4-4B77-97DB-D4FF975BD280}"/>
    <cellStyle name="Style 159 3 2 2 2" xfId="5820" xr:uid="{A9177DB1-DB79-4111-958D-21CD32F91014}"/>
    <cellStyle name="Style 159 3 2 2 2 2" xfId="27413" xr:uid="{66F639B2-5E2F-4CD0-998A-E6CE2DFA5424}"/>
    <cellStyle name="Style 159 3 2 2 3" xfId="23175" xr:uid="{9E405EEC-CEF1-4103-9244-8B8FB62A6231}"/>
    <cellStyle name="Style 159 3 2 3" xfId="4377" xr:uid="{04CD2273-256A-41A9-AD62-7C367C96E7A8}"/>
    <cellStyle name="Style 159 3 2 3 2" xfId="26596" xr:uid="{A0B42EC7-D90C-4E98-A6B3-DCB017248693}"/>
    <cellStyle name="Style 159 3 2 4" xfId="23174" xr:uid="{785C86E6-334C-4D0A-AF90-AAD2DAA2EBE2}"/>
    <cellStyle name="Style 159 3 3" xfId="1893" xr:uid="{BAF9AFA5-CB48-4126-91D4-26C97A2A7129}"/>
    <cellStyle name="Style 159 3 3 2" xfId="1894" xr:uid="{4CDB4B3E-985B-48C2-91FA-0AC469EE13C4}"/>
    <cellStyle name="Style 159 3 3 2 2" xfId="5822" xr:uid="{5D4D8DD5-471C-4F91-B0EC-E8076AB91B21}"/>
    <cellStyle name="Style 159 3 3 2 2 2" xfId="27415" xr:uid="{1083C24C-0334-464E-9335-829A43488381}"/>
    <cellStyle name="Style 159 3 3 2 3" xfId="23177" xr:uid="{AB231E2E-2A72-4B8E-98E7-1F7DE5EB7899}"/>
    <cellStyle name="Style 159 3 3 3" xfId="1895" xr:uid="{33F0884F-0914-4DF9-A387-C74B227F344B}"/>
    <cellStyle name="Style 159 3 3 3 2" xfId="1896" xr:uid="{624339B3-ED44-485A-B0FD-A913ACA2BDDD}"/>
    <cellStyle name="Style 159 3 3 3 2 2" xfId="5824" xr:uid="{9559198E-93C4-4D7D-A693-A655452A6980}"/>
    <cellStyle name="Style 159 3 3 3 2 2 2" xfId="27417" xr:uid="{029D2CB0-A23E-4E09-BCF2-C8DB580A0926}"/>
    <cellStyle name="Style 159 3 3 3 2 3" xfId="23179" xr:uid="{47EC4160-A17B-41DD-BB1C-5E67A7A99A7B}"/>
    <cellStyle name="Style 159 3 3 3 3" xfId="5825" xr:uid="{97DAB997-A924-40D9-9C1C-B12A87F8B2B3}"/>
    <cellStyle name="Style 159 3 3 3 3 2" xfId="23180" xr:uid="{2AAF5180-AF20-4926-BB24-A719BFC556C2}"/>
    <cellStyle name="Style 159 3 3 3 4" xfId="5826" xr:uid="{A76576ED-8C6F-4C3C-89AD-23999F06DEF8}"/>
    <cellStyle name="Style 159 3 3 3 4 2" xfId="24577" xr:uid="{21FD7964-A886-4599-8DF2-C0DF11D1D4AD}"/>
    <cellStyle name="Style 159 3 3 3 5" xfId="5823" xr:uid="{3F917475-07C3-4E94-8262-87AA79C25388}"/>
    <cellStyle name="Style 159 3 3 3 5 2" xfId="27416" xr:uid="{87195A85-269C-4751-9A41-43D9FDDD9E34}"/>
    <cellStyle name="Style 159 3 3 3 6" xfId="23178" xr:uid="{C999072A-E5EA-4EB7-8050-762DE9AE3114}"/>
    <cellStyle name="Style 159 3 3 4" xfId="1897" xr:uid="{59C42248-BEA9-4D1C-9E58-0C1D7C76DE20}"/>
    <cellStyle name="Style 159 3 3 4 2" xfId="1898" xr:uid="{1B3B0914-CFBD-478E-AD77-CA65113FD382}"/>
    <cellStyle name="Style 159 3 3 4 2 2" xfId="5828" xr:uid="{0DF1268A-6700-415C-B79A-5BA1CDF9A0D9}"/>
    <cellStyle name="Style 159 3 3 4 2 2 2" xfId="27419" xr:uid="{36C55700-BCF8-46E8-B2DA-047146F8A126}"/>
    <cellStyle name="Style 159 3 3 4 2 3" xfId="23182" xr:uid="{921AB6B4-B34F-450C-B719-58FFF6374A47}"/>
    <cellStyle name="Style 159 3 3 4 3" xfId="5827" xr:uid="{A46ADA7D-0F9C-4D06-A273-A36E24D15545}"/>
    <cellStyle name="Style 159 3 3 4 3 2" xfId="27418" xr:uid="{52585A02-4AA1-4113-B480-5509AD65AF88}"/>
    <cellStyle name="Style 159 3 3 4 4" xfId="23181" xr:uid="{BD61634F-49AD-47CD-B5D6-1ABAC561D879}"/>
    <cellStyle name="Style 159 3 3 5" xfId="5829" xr:uid="{CE2824C2-2DE8-4067-8D60-A90721816A1A}"/>
    <cellStyle name="Style 159 3 3 5 2" xfId="24578" xr:uid="{63DA9809-BEE3-4F33-94AE-3AC75E533843}"/>
    <cellStyle name="Style 159 3 3 6" xfId="5821" xr:uid="{D202EA0E-A551-486F-90FD-071BEABF95CA}"/>
    <cellStyle name="Style 159 3 3 6 2" xfId="27414" xr:uid="{599342E7-5AEE-4B95-91E2-4261226DC3B3}"/>
    <cellStyle name="Style 159 3 3 7" xfId="23176" xr:uid="{D30F376F-6110-4874-8444-4E37E434652E}"/>
    <cellStyle name="Style 159 3 4" xfId="1899" xr:uid="{330AF4FE-F6C7-4C7A-AFFD-E50A50738336}"/>
    <cellStyle name="Style 159 3 4 2" xfId="5831" xr:uid="{2D14B37B-D9F5-4D70-AC05-F9EB077A18E7}"/>
    <cellStyle name="Style 159 3 4 2 2" xfId="23184" xr:uid="{30A90EFA-4316-40C7-91C9-40859B51A465}"/>
    <cellStyle name="Style 159 3 4 3" xfId="5832" xr:uid="{5234D7AA-761B-4C33-A5BA-05246096114D}"/>
    <cellStyle name="Style 159 3 4 3 2" xfId="24579" xr:uid="{BAE55492-6D7A-412D-B4DE-4A3BFE78B367}"/>
    <cellStyle name="Style 159 3 4 4" xfId="5830" xr:uid="{5F407AAE-45EF-4754-B711-FF38B801D7D9}"/>
    <cellStyle name="Style 159 3 4 4 2" xfId="27420" xr:uid="{6377340D-C58E-4382-910A-65C4E33C3C2B}"/>
    <cellStyle name="Style 159 3 4 5" xfId="23183" xr:uid="{4535F5E0-CC92-4424-8E00-6B170457930E}"/>
    <cellStyle name="Style 159 3 5" xfId="5833" xr:uid="{07070708-01D8-43B8-9CBC-91E3499F0145}"/>
    <cellStyle name="Style 159 3 5 2" xfId="9274" xr:uid="{AC031B5C-46BD-4325-9DA6-1B3661FD3463}"/>
    <cellStyle name="Style 159 3 5 2 2" xfId="27421" xr:uid="{23E06E7C-1D14-4932-BFB3-463D6DE8EC7B}"/>
    <cellStyle name="Style 159 3 5 3" xfId="23185" xr:uid="{E368193E-C56B-4F34-9173-91804DB17C3C}"/>
    <cellStyle name="Style 159 3 6" xfId="4376" xr:uid="{412EADD8-3944-4474-B0D2-F14B651F59B4}"/>
    <cellStyle name="Style 159 3 6 2" xfId="26595" xr:uid="{076511F4-D62E-4270-A486-567A33DDFA19}"/>
    <cellStyle name="Style 159 3 7" xfId="23173" xr:uid="{61EE535B-9F4D-42EE-A846-4514A63EFC26}"/>
    <cellStyle name="Style 159 4" xfId="1900" xr:uid="{302402F8-A4AA-4322-A67F-A99DD758040D}"/>
    <cellStyle name="Style 159 4 2" xfId="1901" xr:uid="{7C2AEF0B-6723-46C2-93C9-57112F9083BA}"/>
    <cellStyle name="Style 159 4 2 2" xfId="1902" xr:uid="{2BD7A79F-845D-42CD-81DE-D67377309D92}"/>
    <cellStyle name="Style 159 4 2 2 2" xfId="5836" xr:uid="{3E90A8EA-7D2C-40DE-B186-E8498DCA4AE1}"/>
    <cellStyle name="Style 159 4 2 2 2 2" xfId="27423" xr:uid="{7FDA7D22-C57C-445F-9DE2-60254DA3EC90}"/>
    <cellStyle name="Style 159 4 2 2 3" xfId="23188" xr:uid="{8F2DC765-F330-42BF-B0FF-9E7BBC22CFF9}"/>
    <cellStyle name="Style 159 4 2 3" xfId="1903" xr:uid="{43CBC553-7135-4856-9ABB-855E777BAC7F}"/>
    <cellStyle name="Style 159 4 2 3 2" xfId="1904" xr:uid="{2D78B352-EDD5-497D-AFC1-5F5653EC60C9}"/>
    <cellStyle name="Style 159 4 2 3 2 2" xfId="5838" xr:uid="{27DDB8AC-EBF3-4BE1-B3C7-082CB63BE573}"/>
    <cellStyle name="Style 159 4 2 3 2 2 2" xfId="27425" xr:uid="{D91309E1-90B7-4986-951F-642FD1D66B93}"/>
    <cellStyle name="Style 159 4 2 3 2 3" xfId="23190" xr:uid="{F879C4B2-40CD-415A-AF00-3471B8BAD18F}"/>
    <cellStyle name="Style 159 4 2 3 3" xfId="5839" xr:uid="{88D10161-DF27-4849-A39C-E1E0B93FF34D}"/>
    <cellStyle name="Style 159 4 2 3 3 2" xfId="23191" xr:uid="{2BD68C0F-C6BD-4D9B-90EE-7062EC6830A2}"/>
    <cellStyle name="Style 159 4 2 3 4" xfId="5840" xr:uid="{8B6363E2-87DA-4EDB-85BE-61FA8BB2F9E3}"/>
    <cellStyle name="Style 159 4 2 3 4 2" xfId="24580" xr:uid="{6C8F7875-DED5-4F0E-9044-BF1C255B841B}"/>
    <cellStyle name="Style 159 4 2 3 5" xfId="5837" xr:uid="{6B78E50D-44F7-411F-9A0B-F5C656CE7960}"/>
    <cellStyle name="Style 159 4 2 3 5 2" xfId="27424" xr:uid="{ED84D45E-D562-47C2-9CB0-941BCC7C6F60}"/>
    <cellStyle name="Style 159 4 2 3 6" xfId="23189" xr:uid="{ADA45604-D7B4-4A90-BF9C-276BE9ADBF18}"/>
    <cellStyle name="Style 159 4 2 4" xfId="1905" xr:uid="{673508D9-4A42-4F2F-82A7-9CF42CAFDE3E}"/>
    <cellStyle name="Style 159 4 2 4 2" xfId="1906" xr:uid="{C39B7171-8502-483F-99B0-231C791FF062}"/>
    <cellStyle name="Style 159 4 2 4 2 2" xfId="5842" xr:uid="{27BBD6A7-D947-4C58-964C-FCF695672A73}"/>
    <cellStyle name="Style 159 4 2 4 2 2 2" xfId="27427" xr:uid="{D6021306-43C0-4236-90F6-0FB797A1866F}"/>
    <cellStyle name="Style 159 4 2 4 2 3" xfId="23193" xr:uid="{69DCC20E-98EA-4322-A604-6D919200B9C0}"/>
    <cellStyle name="Style 159 4 2 4 3" xfId="5841" xr:uid="{069A2F7E-0C9C-429B-AC9C-535A72042232}"/>
    <cellStyle name="Style 159 4 2 4 3 2" xfId="27426" xr:uid="{351B4A89-B8FC-4F9D-9A16-89F69D9DDF1C}"/>
    <cellStyle name="Style 159 4 2 4 4" xfId="23192" xr:uid="{8284964B-D4B9-4DB2-BF97-371779DB6296}"/>
    <cellStyle name="Style 159 4 2 5" xfId="5843" xr:uid="{2E64A7CD-3500-4407-B892-1C92864118FA}"/>
    <cellStyle name="Style 159 4 2 5 2" xfId="24581" xr:uid="{2A27DBEE-E8DC-435A-9F05-1C4CDB99227D}"/>
    <cellStyle name="Style 159 4 2 6" xfId="5835" xr:uid="{F24CF7D8-7144-433C-90D0-EAA5981ED02E}"/>
    <cellStyle name="Style 159 4 2 6 2" xfId="27422" xr:uid="{F841E8EF-5086-4CDB-8E92-327C4CD3F1CB}"/>
    <cellStyle name="Style 159 4 2 7" xfId="23187" xr:uid="{4D652B5A-55A1-4D41-A878-1DBFE5EF4CB6}"/>
    <cellStyle name="Style 159 4 3" xfId="1907" xr:uid="{34A3AE27-D649-4888-95B9-A2C6DC04DDBB}"/>
    <cellStyle name="Style 159 4 3 2" xfId="5844" xr:uid="{10AB650E-382A-4E58-9F8D-8BBD70EEF722}"/>
    <cellStyle name="Style 159 4 3 2 2" xfId="27428" xr:uid="{B880E50D-3003-4776-869E-392A0DFC8152}"/>
    <cellStyle name="Style 159 4 3 3" xfId="23194" xr:uid="{B3F7E3E5-7FDE-4B3A-858F-9D42A92C5A1E}"/>
    <cellStyle name="Style 159 4 4" xfId="5845" xr:uid="{C60D8E03-F707-4051-8948-A554D3552364}"/>
    <cellStyle name="Style 159 4 4 2" xfId="5846" xr:uid="{B823C444-9E29-405A-B487-8470C564DDC2}"/>
    <cellStyle name="Style 159 4 4 2 2" xfId="24582" xr:uid="{F3969381-8503-44A7-AB56-260402B16230}"/>
    <cellStyle name="Style 159 4 4 3" xfId="23195" xr:uid="{7A07554E-F45F-4B9D-9596-63100E71CF0A}"/>
    <cellStyle name="Style 159 4 5" xfId="5834" xr:uid="{EEC02076-493A-49E0-90AC-29411193B439}"/>
    <cellStyle name="Style 159 4 5 2" xfId="25935" xr:uid="{60C46DF7-D4C6-411F-80C8-A52E127BF09E}"/>
    <cellStyle name="Style 159 4 6" xfId="4378" xr:uid="{0751F47A-7FBB-4E84-8308-F98E7989542B}"/>
    <cellStyle name="Style 159 4 6 2" xfId="26597" xr:uid="{D91BBDFE-094E-44BD-B57B-5761E798BE1B}"/>
    <cellStyle name="Style 159 4 7" xfId="23186" xr:uid="{99A05A52-9BF5-4490-9927-73647555597D}"/>
    <cellStyle name="Style 159 5" xfId="1908" xr:uid="{A445462F-DD37-4EAE-9441-786F37DCFEEC}"/>
    <cellStyle name="Style 159 5 2" xfId="1909" xr:uid="{D15F34C2-6805-4F99-B855-A45930B0A1A2}"/>
    <cellStyle name="Style 159 5 2 2" xfId="1910" xr:uid="{0E715119-6E81-4244-8944-F43B334C6BBC}"/>
    <cellStyle name="Style 159 5 2 2 2" xfId="5849" xr:uid="{3637A718-48DB-47D2-9FDA-DE1497FFEDD5}"/>
    <cellStyle name="Style 159 5 2 2 2 2" xfId="27430" xr:uid="{BE337C0C-3A24-42D2-AD9A-9F91DFFFEA95}"/>
    <cellStyle name="Style 159 5 2 2 3" xfId="23198" xr:uid="{8EB816FD-EBA0-49F5-A9A0-07326DD0B12E}"/>
    <cellStyle name="Style 159 5 2 3" xfId="1911" xr:uid="{95A83FB1-783D-4206-9FFB-D385DAD6A1D2}"/>
    <cellStyle name="Style 159 5 2 3 2" xfId="1912" xr:uid="{FD256F57-0C32-459E-9094-ADB54A52182B}"/>
    <cellStyle name="Style 159 5 2 3 2 2" xfId="5851" xr:uid="{7332D0A4-1B1A-47BE-81FD-0C260DADC119}"/>
    <cellStyle name="Style 159 5 2 3 2 2 2" xfId="27432" xr:uid="{EFAF07AD-6554-4478-A068-AFAC402D94A0}"/>
    <cellStyle name="Style 159 5 2 3 2 3" xfId="23200" xr:uid="{1E114BE3-00BD-44CA-8FF2-BB2EC467121E}"/>
    <cellStyle name="Style 159 5 2 3 3" xfId="5852" xr:uid="{CA1D0B07-23CB-438E-9137-6EA05308B069}"/>
    <cellStyle name="Style 159 5 2 3 3 2" xfId="23201" xr:uid="{9CF2E993-E569-4599-9966-5F8B7E7C49A7}"/>
    <cellStyle name="Style 159 5 2 3 4" xfId="5853" xr:uid="{1AED5758-0BEB-44E1-90CE-D27F8A17359C}"/>
    <cellStyle name="Style 159 5 2 3 4 2" xfId="24583" xr:uid="{203658D6-CFAB-42E6-94D3-8D325F4EDF71}"/>
    <cellStyle name="Style 159 5 2 3 5" xfId="5850" xr:uid="{2D0D470A-F663-4D90-BB80-C13D99AACAFB}"/>
    <cellStyle name="Style 159 5 2 3 5 2" xfId="27431" xr:uid="{7BAB9B8F-62B4-4458-9C88-CACD769CA6C6}"/>
    <cellStyle name="Style 159 5 2 3 6" xfId="23199" xr:uid="{3FB0B5E7-F3B5-45FF-91B8-D51637D5E323}"/>
    <cellStyle name="Style 159 5 2 4" xfId="1913" xr:uid="{FA4C66C2-7095-4316-8965-A02BCEB51EBA}"/>
    <cellStyle name="Style 159 5 2 4 2" xfId="1914" xr:uid="{3077253E-7858-41BD-B02B-78673AFDA0D0}"/>
    <cellStyle name="Style 159 5 2 4 2 2" xfId="5855" xr:uid="{E8E97340-D86E-4EAE-829A-EEEE78B65C7F}"/>
    <cellStyle name="Style 159 5 2 4 2 2 2" xfId="27434" xr:uid="{DCB6DDE5-C504-4E79-AAA8-F542979CD51A}"/>
    <cellStyle name="Style 159 5 2 4 2 3" xfId="23203" xr:uid="{9FD786DD-3F42-4160-91EC-EEF55991EC99}"/>
    <cellStyle name="Style 159 5 2 4 3" xfId="5854" xr:uid="{6BA924B9-4586-4EA0-A4C9-38BFF65D2F18}"/>
    <cellStyle name="Style 159 5 2 4 3 2" xfId="27433" xr:uid="{E1A0C3EC-C23D-4C59-BDFF-0A15685BC3E2}"/>
    <cellStyle name="Style 159 5 2 4 4" xfId="23202" xr:uid="{6E5711C2-41A4-4A44-B081-AB0184930306}"/>
    <cellStyle name="Style 159 5 2 5" xfId="5856" xr:uid="{7CD37F33-6A8D-4A26-A4C7-0889D25854CF}"/>
    <cellStyle name="Style 159 5 2 5 2" xfId="24584" xr:uid="{E2BBD8FD-955A-4860-9B01-C274DF6E15CC}"/>
    <cellStyle name="Style 159 5 2 6" xfId="5848" xr:uid="{75111787-8331-454B-800B-3749F33C1D56}"/>
    <cellStyle name="Style 159 5 2 6 2" xfId="27429" xr:uid="{EDDA7A4B-4F10-4BCD-99DF-A50ACBB3E987}"/>
    <cellStyle name="Style 159 5 2 7" xfId="23197" xr:uid="{20C5BD24-C00F-41A9-8069-3031B0062857}"/>
    <cellStyle name="Style 159 5 3" xfId="1915" xr:uid="{F2BAFCD2-4377-4805-B8AE-2560D0427824}"/>
    <cellStyle name="Style 159 5 3 2" xfId="5857" xr:uid="{6F24C5BD-C3D0-4EA5-8ECD-E46545026AB6}"/>
    <cellStyle name="Style 159 5 3 2 2" xfId="27435" xr:uid="{70DFB891-5B75-4E59-9530-3432C44CBEB3}"/>
    <cellStyle name="Style 159 5 3 3" xfId="23204" xr:uid="{FBB617B1-EFD4-44FD-B3B8-26B2887C6DCE}"/>
    <cellStyle name="Style 159 5 4" xfId="5858" xr:uid="{A5F2D05D-1FB1-4B9B-A8EF-B8C47B41FB62}"/>
    <cellStyle name="Style 159 5 4 2" xfId="5859" xr:uid="{4C05CF4D-20A9-439E-B0A2-CEEB337498F2}"/>
    <cellStyle name="Style 159 5 4 2 2" xfId="24585" xr:uid="{8B687112-111F-46D8-BA06-C7D0B047A3D9}"/>
    <cellStyle name="Style 159 5 4 3" xfId="23205" xr:uid="{986E1E0E-F0A3-46C5-9190-54CB4FDFAB31}"/>
    <cellStyle name="Style 159 5 5" xfId="5847" xr:uid="{364FDD76-91E5-4D5B-B1FE-5DA8EB9957AD}"/>
    <cellStyle name="Style 159 5 5 2" xfId="25936" xr:uid="{258D75AE-A904-456B-B515-F750D539074C}"/>
    <cellStyle name="Style 159 5 6" xfId="4379" xr:uid="{4E5CD86E-4D11-4CE8-A826-146964B84356}"/>
    <cellStyle name="Style 159 5 6 2" xfId="26598" xr:uid="{67A12DD2-AA6C-43C3-9FE9-C4DBAEDF8FE3}"/>
    <cellStyle name="Style 159 5 7" xfId="23196" xr:uid="{ACB5BC66-5C98-4B2A-B6CB-FD2317693383}"/>
    <cellStyle name="Style 159 6" xfId="1916" xr:uid="{8B36FE7F-D0F5-442E-A728-FFED57A00F93}"/>
    <cellStyle name="Style 159 6 2" xfId="1917" xr:uid="{19A78C15-0032-47D5-A4CF-CBEA18D71970}"/>
    <cellStyle name="Style 159 6 2 2" xfId="5861" xr:uid="{67630B80-1291-47F5-A035-D9FC038E1EE7}"/>
    <cellStyle name="Style 159 6 2 2 2" xfId="27437" xr:uid="{2296ECE5-821C-4816-96D5-E506C0653B7C}"/>
    <cellStyle name="Style 159 6 2 3" xfId="23207" xr:uid="{76B01A1E-6CB4-461C-B65B-84A86294A483}"/>
    <cellStyle name="Style 159 6 3" xfId="1918" xr:uid="{12752FC3-A425-41A0-B6E6-52EF5724062B}"/>
    <cellStyle name="Style 159 6 3 2" xfId="1919" xr:uid="{11CF3AC5-D88D-4DE2-9CF0-5595270A9170}"/>
    <cellStyle name="Style 159 6 3 2 2" xfId="5863" xr:uid="{2346BA18-59C9-4A04-8D9D-F43603EB4FFA}"/>
    <cellStyle name="Style 159 6 3 2 2 2" xfId="27439" xr:uid="{5D699278-7E9D-4A91-84DD-BC72E1BC5EB0}"/>
    <cellStyle name="Style 159 6 3 2 3" xfId="23209" xr:uid="{CF5C45CC-9517-46CD-B516-E6B463BB6397}"/>
    <cellStyle name="Style 159 6 3 3" xfId="5864" xr:uid="{8C2A8BF7-6040-4322-8334-E07E3C49B1E3}"/>
    <cellStyle name="Style 159 6 3 3 2" xfId="23210" xr:uid="{B4375EDC-F728-45EF-89E9-E7897468505E}"/>
    <cellStyle name="Style 159 6 3 4" xfId="5865" xr:uid="{927BBB89-01BA-4ED6-90C5-B2B9CE211C63}"/>
    <cellStyle name="Style 159 6 3 4 2" xfId="24586" xr:uid="{74148A02-D966-433B-BA6E-2A26FF903533}"/>
    <cellStyle name="Style 159 6 3 5" xfId="5862" xr:uid="{79925826-C7BF-4246-B914-BD20D638A2D4}"/>
    <cellStyle name="Style 159 6 3 5 2" xfId="27438" xr:uid="{64B013D6-795A-443F-9089-C3542929A24D}"/>
    <cellStyle name="Style 159 6 3 6" xfId="23208" xr:uid="{2E4B595D-6AE0-4C38-8633-0CDBE013262E}"/>
    <cellStyle name="Style 159 6 4" xfId="1920" xr:uid="{5877DADB-3D45-487E-93BB-5D52CC21F4E8}"/>
    <cellStyle name="Style 159 6 4 2" xfId="1921" xr:uid="{70C69C0E-5DE4-40FC-B513-D24040233C84}"/>
    <cellStyle name="Style 159 6 4 2 2" xfId="5867" xr:uid="{F918CAEC-5A66-458A-BBD9-25897A7F797C}"/>
    <cellStyle name="Style 159 6 4 2 2 2" xfId="27441" xr:uid="{E435FC93-AD66-48EB-9EF8-65B46E92ADBD}"/>
    <cellStyle name="Style 159 6 4 2 3" xfId="23212" xr:uid="{E75B44E3-9CD2-4E54-9961-B6BC8204C6A6}"/>
    <cellStyle name="Style 159 6 4 3" xfId="5866" xr:uid="{042580B1-5E1E-40C5-8139-680594490A63}"/>
    <cellStyle name="Style 159 6 4 3 2" xfId="27440" xr:uid="{483C08F2-D4D8-40AF-AD27-B593F05E70E4}"/>
    <cellStyle name="Style 159 6 4 4" xfId="23211" xr:uid="{42A86E67-CCE2-4CA0-ACE4-802B8AC7861F}"/>
    <cellStyle name="Style 159 6 5" xfId="5868" xr:uid="{2C8832C6-BE72-4FF1-BB7A-ACAA764FCE91}"/>
    <cellStyle name="Style 159 6 5 2" xfId="24587" xr:uid="{1444DB40-19F4-4F23-A014-DC5418D8924C}"/>
    <cellStyle name="Style 159 6 6" xfId="5860" xr:uid="{F1C489FE-9870-4640-AF95-C2409F1F7BB3}"/>
    <cellStyle name="Style 159 6 6 2" xfId="27436" xr:uid="{FFEA29F1-684E-42D9-AF24-10F4578EC85F}"/>
    <cellStyle name="Style 159 6 7" xfId="23206" xr:uid="{D7F43371-9B28-402A-AD0A-B9BC06A90932}"/>
    <cellStyle name="Style 159 7" xfId="1922" xr:uid="{553DD291-9AE8-442E-98D1-7FC8C04B6F28}"/>
    <cellStyle name="Style 159 7 2" xfId="1923" xr:uid="{13B8B793-5290-416A-AA6E-C34E409C4F2A}"/>
    <cellStyle name="Style 159 7 2 2" xfId="5870" xr:uid="{01A2B4E0-BA39-4DD7-AB24-8C0EBBF0F43D}"/>
    <cellStyle name="Style 159 7 2 2 2" xfId="27443" xr:uid="{CAC4E912-47E9-46CC-BC7E-EC97968A42C6}"/>
    <cellStyle name="Style 159 7 2 3" xfId="23214" xr:uid="{1466C2FD-C96E-4072-8E48-24D1B39B3C86}"/>
    <cellStyle name="Style 159 7 3" xfId="5871" xr:uid="{2A6195E5-E673-4322-9100-65E93A04A631}"/>
    <cellStyle name="Style 159 7 3 2" xfId="23215" xr:uid="{26A95678-F988-45EF-862F-2127686FE377}"/>
    <cellStyle name="Style 159 7 4" xfId="5872" xr:uid="{E0027780-6853-42E5-AE4A-09A7DF0FB2F3}"/>
    <cellStyle name="Style 159 7 4 2" xfId="24588" xr:uid="{E8D7E824-7594-48FB-BE38-CD025667A51D}"/>
    <cellStyle name="Style 159 7 5" xfId="5869" xr:uid="{A05F7710-96B5-4DEE-9DCF-12A4E8D0A0EC}"/>
    <cellStyle name="Style 159 7 5 2" xfId="27442" xr:uid="{5B664734-F271-4A43-8F75-E60AFE516849}"/>
    <cellStyle name="Style 159 7 6" xfId="23213" xr:uid="{C89A5D15-BD89-4649-A8AB-1DD3BF8D2049}"/>
    <cellStyle name="Style 159 8" xfId="1924" xr:uid="{24E8E25C-9389-462E-82EE-5FC04DE44177}"/>
    <cellStyle name="Style 159 8 2" xfId="1925" xr:uid="{8F1B1418-09BA-42C4-9139-3B7DB47228EE}"/>
    <cellStyle name="Style 159 8 2 2" xfId="5874" xr:uid="{8ED58CC0-777D-4933-85DE-CCD6AE9536E4}"/>
    <cellStyle name="Style 159 8 2 2 2" xfId="27445" xr:uid="{F62BD08E-A385-4F00-9F13-5713888C37F8}"/>
    <cellStyle name="Style 159 8 2 3" xfId="23217" xr:uid="{DD12E078-B1BD-4260-A189-BDE64DF0F86B}"/>
    <cellStyle name="Style 159 8 3" xfId="5875" xr:uid="{CA03793F-D861-4190-A771-C4A21CD2E68E}"/>
    <cellStyle name="Style 159 8 3 2" xfId="23218" xr:uid="{AF223F51-AB89-41FC-ACCC-8BA65F81536D}"/>
    <cellStyle name="Style 159 8 4" xfId="5876" xr:uid="{154468BE-9251-4866-9E5F-95580BE42A94}"/>
    <cellStyle name="Style 159 8 4 2" xfId="24589" xr:uid="{A68E6A82-5C3A-4671-AA4C-EDC37F0BB76B}"/>
    <cellStyle name="Style 159 8 5" xfId="5873" xr:uid="{EAD73D2E-04C2-480F-9951-2AF63407A01C}"/>
    <cellStyle name="Style 159 8 5 2" xfId="27444" xr:uid="{E8D14A55-BB81-4A47-A38E-6D63055CA1EA}"/>
    <cellStyle name="Style 159 8 6" xfId="23216" xr:uid="{C23409DE-7558-4238-9246-AC1A9F561EC8}"/>
    <cellStyle name="Style 159 9" xfId="1926" xr:uid="{0DF012DA-3194-477F-80B3-96E57A8635BB}"/>
    <cellStyle name="Style 159 9 2" xfId="1927" xr:uid="{EC7502B2-5D9A-4CAE-BCD3-4AC5457BD9C2}"/>
    <cellStyle name="Style 159 9 2 2" xfId="5877" xr:uid="{E02B4C76-2139-467B-81C7-2CDF40DDF4CE}"/>
    <cellStyle name="Style 159 9 2 2 2" xfId="27447" xr:uid="{42733C12-9F3A-4B72-A85A-C6A71ECF6FC5}"/>
    <cellStyle name="Style 159 9 2 3" xfId="24590" xr:uid="{A4F557B0-42C0-4CD9-A4DF-A4A51CAF7909}"/>
    <cellStyle name="Style 159 9 3" xfId="4121" xr:uid="{61322C70-5055-491F-B7BD-5A21C46A6999}"/>
    <cellStyle name="Style 159 9 3 2" xfId="27446" xr:uid="{7CD11E14-D136-4D0E-854A-5A527398B229}"/>
    <cellStyle name="Style 159 9 4" xfId="23219" xr:uid="{6AEC167E-C2C0-4430-8C20-9638ECDA4EDE}"/>
    <cellStyle name="Style 159_ADDON" xfId="25779" xr:uid="{CBD6EE71-C51A-48F2-BFD0-70768F3D6E67}"/>
    <cellStyle name="Style 160" xfId="1928" xr:uid="{A6F218D0-9B14-4380-8FE1-78A04C1985FE}"/>
    <cellStyle name="Style 160 10" xfId="23220" xr:uid="{A7BFFE55-DBC3-4D9D-BB11-7AE4660510F1}"/>
    <cellStyle name="Style 160 2" xfId="1929" xr:uid="{3F86872C-F241-4E0E-982B-663854AEC318}"/>
    <cellStyle name="Style 160 2 2" xfId="9275" xr:uid="{F9EB1C7B-2C65-4791-A82E-AB6596924999}"/>
    <cellStyle name="Style 160 2 2 2" xfId="28922" xr:uid="{CBF89918-EA51-4071-9C9B-6FE47CA4B707}"/>
    <cellStyle name="Style 160 2 3" xfId="23221" xr:uid="{BA586EC9-7520-4A85-A3EC-4F081B873DC9}"/>
    <cellStyle name="Style 160 3" xfId="1930" xr:uid="{3F17217A-B8E0-4830-A771-CAF0990DB8A8}"/>
    <cellStyle name="Style 160 3 2" xfId="1931" xr:uid="{B075DB98-7AD7-4607-9380-E06C57F4C984}"/>
    <cellStyle name="Style 160 3 2 2" xfId="23223" xr:uid="{12764E78-8DBA-4EAA-8B72-0D5973E18627}"/>
    <cellStyle name="Style 160 3 3" xfId="1932" xr:uid="{66089AFD-C7E7-43CF-AAD4-4FA4D6330F28}"/>
    <cellStyle name="Style 160 3 3 2" xfId="1933" xr:uid="{FE531084-ECE6-4F19-A1BF-88E5B2D662B3}"/>
    <cellStyle name="Style 160 3 3 2 2" xfId="23225" xr:uid="{97C8527B-23B0-4E9B-9F47-C43960BCE944}"/>
    <cellStyle name="Style 160 3 3 3" xfId="5878" xr:uid="{E66B2336-154E-4079-BA38-FE229A9A0C19}"/>
    <cellStyle name="Style 160 3 3 3 2" xfId="23226" xr:uid="{975E14A8-3B80-47ED-8312-7A3708DB4F08}"/>
    <cellStyle name="Style 160 3 3 4" xfId="5879" xr:uid="{A4E5D9C1-A229-4F70-B91A-C9AFAD97EBAF}"/>
    <cellStyle name="Style 160 3 3 4 2" xfId="24591" xr:uid="{237392EE-8064-4D73-BF7F-92E46AB45C64}"/>
    <cellStyle name="Style 160 3 3 5" xfId="23224" xr:uid="{9CF1DD77-55F2-4352-B4D4-27F81C210AC9}"/>
    <cellStyle name="Style 160 3 4" xfId="1934" xr:uid="{9940712F-81F9-4251-AB6F-9E2B10CCB3E6}"/>
    <cellStyle name="Style 160 3 4 2" xfId="1935" xr:uid="{66527FA5-5A77-4DC0-BFA7-F8A9B95472A5}"/>
    <cellStyle name="Style 160 3 4 2 2" xfId="23228" xr:uid="{222820B9-CEAD-461A-83E7-855FBADD208F}"/>
    <cellStyle name="Style 160 3 4 3" xfId="23227" xr:uid="{85FA6554-1A5F-4B8D-B0F9-21DCF7AE68FD}"/>
    <cellStyle name="Style 160 3 5" xfId="5880" xr:uid="{284C3D38-D68B-4AFE-BBDB-2AFD5F772D72}"/>
    <cellStyle name="Style 160 3 5 2" xfId="24592" xr:uid="{EDBF736A-31BE-4A49-90F2-8CFB3079321E}"/>
    <cellStyle name="Style 160 3 6" xfId="23222" xr:uid="{EE7AE7B8-1183-4619-A7EB-B6250E78564C}"/>
    <cellStyle name="Style 160 4" xfId="1936" xr:uid="{44BB779F-09FD-4DF3-8B7F-73A113129ED4}"/>
    <cellStyle name="Style 160 4 2" xfId="1937" xr:uid="{4DAC5C0C-BA00-4743-B731-E2CB98A45FFF}"/>
    <cellStyle name="Style 160 4 2 2" xfId="23230" xr:uid="{F66E172B-C0AA-478A-8C5F-61665B9D3BCC}"/>
    <cellStyle name="Style 160 4 3" xfId="5881" xr:uid="{568AF906-A4C5-4152-9346-8C371CF4FD05}"/>
    <cellStyle name="Style 160 4 3 2" xfId="23231" xr:uid="{04A20843-3445-40AF-8904-969DB3BD82B7}"/>
    <cellStyle name="Style 160 4 4" xfId="5882" xr:uid="{7A91E2F3-DE27-4605-BECD-FC59280A8DE3}"/>
    <cellStyle name="Style 160 4 4 2" xfId="24593" xr:uid="{CAA9821F-9D0E-45D0-9094-DD79FAA2B8BF}"/>
    <cellStyle name="Style 160 4 5" xfId="23229" xr:uid="{01DFAD53-4E48-4CC0-8537-60755459EDAE}"/>
    <cellStyle name="Style 160 5" xfId="1938" xr:uid="{4110688F-0384-42F0-81DB-6CEEBCB07D48}"/>
    <cellStyle name="Style 160 5 2" xfId="1939" xr:uid="{0A601379-1F1E-41A9-99BC-CE02E0B0ED3C}"/>
    <cellStyle name="Style 160 5 2 2" xfId="23233" xr:uid="{0CB95A36-BAEF-45CC-A904-ECD56C18008D}"/>
    <cellStyle name="Style 160 5 3" xfId="23232" xr:uid="{6B105520-F68D-433F-8CE4-EDEA8320C645}"/>
    <cellStyle name="Style 160 6" xfId="1940" xr:uid="{FC36EC93-7D22-4634-AFE8-E37787FCA375}"/>
    <cellStyle name="Style 160 6 2" xfId="1941" xr:uid="{CD7D5035-B602-4FA7-B2FD-06151CC68AFB}"/>
    <cellStyle name="Style 160 6 2 2" xfId="24594" xr:uid="{34E7E101-BA98-4EA9-9D80-A284C0576FB5}"/>
    <cellStyle name="Style 160 6 3" xfId="4123" xr:uid="{D6D9E4E1-AA08-42CC-B7FB-1BA3F37B2D62}"/>
    <cellStyle name="Style 160 6 3 2" xfId="28321" xr:uid="{8B7B5A25-E831-482B-AE17-B1F297B0A981}"/>
    <cellStyle name="Style 160 6 4" xfId="23234" xr:uid="{71372BFB-3FDD-4FE4-8266-B3743F3CD70B}"/>
    <cellStyle name="Style 160 7" xfId="4122" xr:uid="{56819791-342B-4BE9-A895-26F64C58DEE2}"/>
    <cellStyle name="Style 160 7 2" xfId="5884" xr:uid="{5BEFA1AA-78B9-406A-86A2-E00404C84484}"/>
    <cellStyle name="Style 160 7 2 2" xfId="24595" xr:uid="{EA27C2D6-16B3-49A7-B6A7-84DED93FA903}"/>
    <cellStyle name="Style 160 7 3" xfId="5883" xr:uid="{562D619F-A68A-47FB-BCAF-1E74514E83BC}"/>
    <cellStyle name="Style 160 7 3 2" xfId="40718" xr:uid="{CE6B71A5-64E8-4916-A74A-0A6A64FD5FBA}"/>
    <cellStyle name="Style 160 7 4" xfId="23235" xr:uid="{10D3FE92-39AD-404C-A756-322F8AA0E65E}"/>
    <cellStyle name="Style 160 8" xfId="5885" xr:uid="{351C156A-5708-4881-9D14-00CDA805BBFB}"/>
    <cellStyle name="Style 160 8 2" xfId="24596" xr:uid="{C81224D0-13C6-40B3-87E4-158D19553897}"/>
    <cellStyle name="Style 160 9" xfId="9276" xr:uid="{5E16B959-FAB3-41C7-AC36-47915B28A0A0}"/>
    <cellStyle name="Style 160 9 2" xfId="26599" xr:uid="{1938A510-A40F-4332-88BC-5CD6B742C24C}"/>
    <cellStyle name="Style 160_ADDON" xfId="25740" xr:uid="{3888B015-75D5-482D-A9D7-E440DEE3E454}"/>
    <cellStyle name="Style 161" xfId="1942" xr:uid="{68A73367-A5B4-452A-8F32-196DBBAD5056}"/>
    <cellStyle name="Style 161 2" xfId="1943" xr:uid="{C967696C-5517-43A2-843F-27139DFB7A7A}"/>
    <cellStyle name="Style 161 2 2" xfId="1944" xr:uid="{6B5D66BE-6256-4205-B162-392160268A69}"/>
    <cellStyle name="Style 161 2 2 2" xfId="1945" xr:uid="{28F01CF9-C4EE-4609-9E34-FA0F10242412}"/>
    <cellStyle name="Style 161 2 2 2 2" xfId="1946" xr:uid="{093C60C1-BD5E-45A2-84E1-E7A9C2C6DA62}"/>
    <cellStyle name="Style 161 2 2 2 2 2" xfId="1947" xr:uid="{AFB3F8FD-8D48-46A8-A5E9-EE2715188CD7}"/>
    <cellStyle name="Style 161 2 2 2 2 2 2" xfId="9277" xr:uid="{58356B35-0BCC-45F3-8219-2DDBB1805A9A}"/>
    <cellStyle name="Style 161 2 2 2 2 3" xfId="9278" xr:uid="{E49183A8-B525-485A-826C-FA8F5F423909}"/>
    <cellStyle name="Style 161 2 2 2 3" xfId="1948" xr:uid="{9BB68783-A32A-42F9-B4BB-DA46976B31F6}"/>
    <cellStyle name="Style 161 2 2 2 3 2" xfId="9279" xr:uid="{DAA53783-BB80-413E-8C52-3BF2145AAACB}"/>
    <cellStyle name="Style 161 2 2 2 4" xfId="9280" xr:uid="{4BD40841-81B1-4EC0-8299-62B3F26537FE}"/>
    <cellStyle name="Style 161 2 2 3" xfId="1949" xr:uid="{72015A48-58F4-4E00-8044-B04046EA1A86}"/>
    <cellStyle name="Style 161 2 2 3 2" xfId="1950" xr:uid="{FE7B6F84-E005-4576-A94A-169CCC93B55C}"/>
    <cellStyle name="Style 161 2 2 3 2 2" xfId="9281" xr:uid="{5F7C688C-24E4-4668-8361-2B53967593F4}"/>
    <cellStyle name="Style 161 2 2 3 3" xfId="9282" xr:uid="{3A7B74D2-A647-4750-8042-7F6B6AA824F4}"/>
    <cellStyle name="Style 161 2 2 4" xfId="1951" xr:uid="{314427CE-7702-49E4-ABE3-B459BDC6090C}"/>
    <cellStyle name="Style 161 2 2 4 2" xfId="9283" xr:uid="{B158B5AD-CFBB-4A84-9198-015D47FDBFCC}"/>
    <cellStyle name="Style 161 2 2 5" xfId="9284" xr:uid="{25F085CA-6840-4C1F-A126-A0F91362F29D}"/>
    <cellStyle name="Style 161 2 3" xfId="1952" xr:uid="{7A17B129-2905-4BE4-B921-0E15360F9177}"/>
    <cellStyle name="Style 161 2 3 2" xfId="1953" xr:uid="{2FB2F56A-BE33-4685-A5EF-04B70B9FB6C4}"/>
    <cellStyle name="Style 161 2 3 2 2" xfId="1954" xr:uid="{372AE389-33E3-4316-ACA5-EE4D27F253E9}"/>
    <cellStyle name="Style 161 2 3 2 2 2" xfId="9285" xr:uid="{902D3208-0E55-4F0B-B6D5-3995699D81DC}"/>
    <cellStyle name="Style 161 2 3 2 3" xfId="9286" xr:uid="{EAFC08CD-B25B-447A-B19C-5A59627165D2}"/>
    <cellStyle name="Style 161 2 3 3" xfId="1955" xr:uid="{BECB5DB3-8D5C-487F-B272-85B6FEC547E4}"/>
    <cellStyle name="Style 161 2 3 3 2" xfId="9287" xr:uid="{3CE08C9D-45A4-4D3D-9024-6411B95CD4BC}"/>
    <cellStyle name="Style 161 2 3 4" xfId="9288" xr:uid="{2650837A-61AF-4882-8078-6B47483BE8C1}"/>
    <cellStyle name="Style 161 2 4" xfId="1956" xr:uid="{C87F8B2C-0C22-48F6-AF01-81D9DFFBAA6F}"/>
    <cellStyle name="Style 161 2 4 2" xfId="1957" xr:uid="{D58E856E-E800-45C7-9168-DEFB05353F48}"/>
    <cellStyle name="Style 161 2 4 2 2" xfId="9289" xr:uid="{9EC0B9B9-62C6-480E-B059-E64D9342D666}"/>
    <cellStyle name="Style 161 2 4 3" xfId="9290" xr:uid="{8282A2AB-B4E6-4295-83E2-20ED569FFACF}"/>
    <cellStyle name="Style 161 2 5" xfId="1958" xr:uid="{A256B5E4-7F21-4CE4-8AE6-2C70ACD1E129}"/>
    <cellStyle name="Style 161 2 5 2" xfId="9291" xr:uid="{CB391060-1E3A-404B-A316-37A58BD38AF2}"/>
    <cellStyle name="Style 161 2 6" xfId="9292" xr:uid="{FD04E2DB-E650-4AA0-85B7-9016009DF817}"/>
    <cellStyle name="Style 161 3" xfId="1959" xr:uid="{FE6431D4-D640-42C5-87D3-BF608F8CC915}"/>
    <cellStyle name="Style 161 3 2" xfId="1960" xr:uid="{DB6CA963-6407-4400-80DE-872B79BCB1AE}"/>
    <cellStyle name="Style 161 3 2 2" xfId="1961" xr:uid="{F426A2F0-434D-474B-ABEA-C786A7A78D06}"/>
    <cellStyle name="Style 161 3 2 2 2" xfId="1962" xr:uid="{88756BBC-13A4-4FF4-A13B-99E254DFC8BF}"/>
    <cellStyle name="Style 161 3 2 2 2 2" xfId="1963" xr:uid="{31A13E00-43F9-48FC-98DA-0DBD85497B42}"/>
    <cellStyle name="Style 161 3 2 2 2 2 2" xfId="9293" xr:uid="{644F6BA4-29AE-4591-8F5F-2E6417697017}"/>
    <cellStyle name="Style 161 3 2 2 2 3" xfId="9294" xr:uid="{C197CB72-0BB4-4B98-B411-102DDF4DA4CA}"/>
    <cellStyle name="Style 161 3 2 2 3" xfId="1964" xr:uid="{36839397-60CF-4BD0-A61F-F1591D019C8B}"/>
    <cellStyle name="Style 161 3 2 2 3 2" xfId="9295" xr:uid="{425E446F-FA8D-403F-8427-BEA41AAED621}"/>
    <cellStyle name="Style 161 3 2 2 4" xfId="9296" xr:uid="{E0FEF6AE-9FDF-4D67-B646-B65E6C6CD4DF}"/>
    <cellStyle name="Style 161 3 2 3" xfId="1965" xr:uid="{B29949FC-03C7-48C0-8032-7043E997B5D5}"/>
    <cellStyle name="Style 161 3 2 3 2" xfId="1966" xr:uid="{3677B8D4-EEEB-4A7A-93DB-2FA5171C2B45}"/>
    <cellStyle name="Style 161 3 2 3 2 2" xfId="9297" xr:uid="{546B1EEB-D204-4487-A62C-D2C590F392CA}"/>
    <cellStyle name="Style 161 3 2 3 3" xfId="9298" xr:uid="{5DDE81C6-CF39-47BF-ACC3-0C1F3BA32BDF}"/>
    <cellStyle name="Style 161 3 2 4" xfId="1967" xr:uid="{FF5C64FA-93A0-4E75-8FA4-40B18A207A42}"/>
    <cellStyle name="Style 161 3 2 4 2" xfId="9299" xr:uid="{11692942-8684-4C9F-BB49-96DB4EA771F4}"/>
    <cellStyle name="Style 161 3 2 5" xfId="9300" xr:uid="{F8405A78-E4FF-4B19-9B16-5A1B9E1C5A8A}"/>
    <cellStyle name="Style 161 3 3" xfId="1968" xr:uid="{680959B6-3881-430F-AB45-7EBCCD936F43}"/>
    <cellStyle name="Style 161 3 3 2" xfId="1969" xr:uid="{704B19A2-FA2B-4BCA-A4BE-B6DB990C214A}"/>
    <cellStyle name="Style 161 3 3 2 2" xfId="1970" xr:uid="{A6280260-11CE-4ECB-BD7C-B3B62EA29495}"/>
    <cellStyle name="Style 161 3 3 2 2 2" xfId="1971" xr:uid="{4090E38C-F722-45A9-A424-49D64D5363AF}"/>
    <cellStyle name="Style 161 3 3 2 2 2 2" xfId="9301" xr:uid="{9E62E41F-DEA0-4E07-B4DA-78BD8159EC9C}"/>
    <cellStyle name="Style 161 3 3 2 2 3" xfId="9302" xr:uid="{69855B97-91C1-4BDF-BE8F-65982B7452EE}"/>
    <cellStyle name="Style 161 3 3 2 3" xfId="1972" xr:uid="{2CFF2427-491B-4BE3-9030-F386EA4517E1}"/>
    <cellStyle name="Style 161 3 3 2 3 2" xfId="9303" xr:uid="{7A7E85F7-396C-474B-A8ED-57EA04EA7744}"/>
    <cellStyle name="Style 161 3 3 2 4" xfId="9304" xr:uid="{A47D3712-5B80-416B-A373-395BD0D806C5}"/>
    <cellStyle name="Style 161 3 3 3" xfId="1973" xr:uid="{D840DF8A-619D-4A4A-AFED-A519A5190D29}"/>
    <cellStyle name="Style 161 3 3 3 2" xfId="9305" xr:uid="{FA381A4A-6BE1-4DFC-88E3-6BFE937E828F}"/>
    <cellStyle name="Style 161 3 3 4" xfId="5886" xr:uid="{70DC3634-8E39-4901-939B-56DB0C057D30}"/>
    <cellStyle name="Style 161 3 3 5" xfId="9306" xr:uid="{AC5A9FA6-862F-4D1A-B4F1-33D1095839DD}"/>
    <cellStyle name="Style 161 3 4" xfId="1974" xr:uid="{BAA13DC1-778D-420D-9042-7C5A4715FA99}"/>
    <cellStyle name="Style 161 3 4 2" xfId="1975" xr:uid="{BBD023B0-6893-43AA-88A1-0EB19F67F4A4}"/>
    <cellStyle name="Style 161 3 4 2 2" xfId="9307" xr:uid="{17D9874A-9E25-4DE1-B864-C428157E76B3}"/>
    <cellStyle name="Style 161 3 4 3" xfId="9308" xr:uid="{F289DA97-E2C4-41FD-AD50-1F1204FDDB82}"/>
    <cellStyle name="Style 161 3 5" xfId="1976" xr:uid="{403FB4FA-C360-4021-A4B1-264AFA45038E}"/>
    <cellStyle name="Style 161 3 5 2" xfId="9309" xr:uid="{53BE7B0C-F285-4ED7-8FC2-AE47746296A8}"/>
    <cellStyle name="Style 161 3 6" xfId="9310" xr:uid="{27741023-6512-4132-889D-3010FF1F3A6A}"/>
    <cellStyle name="Style 161 4" xfId="1977" xr:uid="{D02E7E14-FB7C-4826-A80C-ACC746213A97}"/>
    <cellStyle name="Style 161 4 2" xfId="1978" xr:uid="{FBC0220B-EEB8-4777-B467-F1B6AB888C02}"/>
    <cellStyle name="Style 161 4 2 2" xfId="1979" xr:uid="{13131D5B-1995-4C59-986E-9E510A409A9F}"/>
    <cellStyle name="Style 161 4 2 2 2" xfId="1980" xr:uid="{EAC24EF1-4BCE-40D3-95E2-3AF7DA80A465}"/>
    <cellStyle name="Style 161 4 2 2 2 2" xfId="9311" xr:uid="{59CF0605-D487-422B-9A01-BF70965F6D68}"/>
    <cellStyle name="Style 161 4 2 2 3" xfId="9312" xr:uid="{F25AB528-6458-4C30-ACF3-724B0E45829F}"/>
    <cellStyle name="Style 161 4 2 3" xfId="1981" xr:uid="{6CD8C999-716B-4D92-9019-BDFDA1305190}"/>
    <cellStyle name="Style 161 4 2 3 2" xfId="9313" xr:uid="{CB11011B-F218-46F0-B7DC-F637C1651052}"/>
    <cellStyle name="Style 161 4 2 4" xfId="9314" xr:uid="{9BE40229-698B-48B6-AE00-821A5BF68F83}"/>
    <cellStyle name="Style 161 4 3" xfId="1982" xr:uid="{1DAF134E-B1ED-4E43-A165-34524D0CC541}"/>
    <cellStyle name="Style 161 4 3 2" xfId="9315" xr:uid="{3977B9AF-D861-465C-8B65-D0E7B8034234}"/>
    <cellStyle name="Style 161 4 4" xfId="5887" xr:uid="{D4C91E8F-19A0-42AC-9DD4-F3E9E89708A6}"/>
    <cellStyle name="Style 161 4 5" xfId="9316" xr:uid="{63B4489F-243A-4388-9410-5D4A270FA177}"/>
    <cellStyle name="Style 161 5" xfId="1983" xr:uid="{27FE5009-1FEA-46DF-8521-A8DC8A8EB951}"/>
    <cellStyle name="Style 161 5 2" xfId="1984" xr:uid="{8CB8AEC0-27C2-41F7-8EFA-219456B0514C}"/>
    <cellStyle name="Style 161 5 2 2" xfId="9317" xr:uid="{7A4F6509-2137-40E8-9975-B3147C53D4E2}"/>
    <cellStyle name="Style 161 5 3" xfId="9318" xr:uid="{0FC15061-7CF6-449D-8D2B-CC62B59980A7}"/>
    <cellStyle name="Style 161 6" xfId="1985" xr:uid="{869C74C2-E577-40A4-BD27-EB92FB082EA8}"/>
    <cellStyle name="Style 161 6 2" xfId="4125" xr:uid="{4A0B7CDC-A9D4-49C9-BECD-0A77121946D3}"/>
    <cellStyle name="Style 161 6 2 2" xfId="5888" xr:uid="{F2A4616F-C1F4-4BD0-8BF5-F19492F520AA}"/>
    <cellStyle name="Style 161 6 3" xfId="9319" xr:uid="{74AB8064-1294-4291-ACBA-BC07D767A1A9}"/>
    <cellStyle name="Style 161 7" xfId="4124" xr:uid="{AB12DE51-8ADA-43C8-8BE6-9AB1DF2491E2}"/>
    <cellStyle name="Style 161 7 2" xfId="5890" xr:uid="{4C10263B-1412-4A91-BACD-E86749FDA65C}"/>
    <cellStyle name="Style 161 7 3" xfId="5889" xr:uid="{6704F964-FF06-4916-AAAE-44F426E7DC30}"/>
    <cellStyle name="Style 161 8" xfId="5891" xr:uid="{F45F1E78-8F2D-43C3-A774-CBAFF2842B2A}"/>
    <cellStyle name="Style 161 9" xfId="9320" xr:uid="{AFAABE7F-A45F-475F-B3CF-7A2CF35C2213}"/>
    <cellStyle name="Style 161 9 2" xfId="26600" xr:uid="{32FEDE83-38AE-4F74-A8C4-A436BF35A40D}"/>
    <cellStyle name="Style 161_ADDON" xfId="25780" xr:uid="{F3D6A4E1-A646-4A5D-AB79-32CEA8C19068}"/>
    <cellStyle name="Style 162" xfId="1986" xr:uid="{028F0EFF-057D-43D4-BF5D-13D72FCBC980}"/>
    <cellStyle name="Style 162 10" xfId="23236" xr:uid="{90D5F9F1-CB24-4181-BCFE-B5B012F5114C}"/>
    <cellStyle name="Style 162 2" xfId="1987" xr:uid="{342AA14A-CC90-48C1-8245-A62F702B65F6}"/>
    <cellStyle name="Style 162 2 2" xfId="9321" xr:uid="{24741C93-ADAB-4224-AD13-4E04526FA78A}"/>
    <cellStyle name="Style 162 2 2 2" xfId="28923" xr:uid="{0479F052-A6BF-4023-A523-508215D19B39}"/>
    <cellStyle name="Style 162 2 3" xfId="23237" xr:uid="{C069B30A-249A-4239-9765-06223C8502B0}"/>
    <cellStyle name="Style 162 3" xfId="1988" xr:uid="{A88060E5-78A1-4E14-9AFB-6E6407D4B62A}"/>
    <cellStyle name="Style 162 3 2" xfId="1989" xr:uid="{E0D8E17B-57FC-4044-A53B-36B46BC98BAF}"/>
    <cellStyle name="Style 162 3 2 2" xfId="23239" xr:uid="{6D28DC43-217C-4487-A5D4-B6923312C15A}"/>
    <cellStyle name="Style 162 3 3" xfId="1990" xr:uid="{69CABC93-09C9-4771-BD88-A8BC85FB40D4}"/>
    <cellStyle name="Style 162 3 3 2" xfId="1991" xr:uid="{4815F39E-7928-457C-A269-749B113F0B28}"/>
    <cellStyle name="Style 162 3 3 2 2" xfId="23241" xr:uid="{86111F93-1399-42EA-9857-6A9FFF281FA0}"/>
    <cellStyle name="Style 162 3 3 3" xfId="5892" xr:uid="{940C6437-61CC-4E11-90BC-5E5B34AE74A7}"/>
    <cellStyle name="Style 162 3 3 3 2" xfId="23242" xr:uid="{2BE0A99C-3EB2-4486-9586-B1BC73EEA6A6}"/>
    <cellStyle name="Style 162 3 3 4" xfId="5893" xr:uid="{AFD21B1B-6E80-4E2B-B6AB-B0A621F5AD80}"/>
    <cellStyle name="Style 162 3 3 4 2" xfId="24597" xr:uid="{049C0E99-512C-46CD-87CE-473640A92509}"/>
    <cellStyle name="Style 162 3 3 5" xfId="23240" xr:uid="{7C1FFFF1-7543-4912-864B-0FDEC1DCE144}"/>
    <cellStyle name="Style 162 3 4" xfId="1992" xr:uid="{A4B86D5F-2BA7-4022-B28D-8D4995440A0D}"/>
    <cellStyle name="Style 162 3 4 2" xfId="1993" xr:uid="{0002537D-FADA-416B-AA6C-4C8483452B4E}"/>
    <cellStyle name="Style 162 3 4 2 2" xfId="23244" xr:uid="{AEA53599-F3AB-4C0B-BEDE-3C03A28F5DEB}"/>
    <cellStyle name="Style 162 3 4 3" xfId="23243" xr:uid="{25E9F700-C131-4CE9-878B-CF71DDC9864F}"/>
    <cellStyle name="Style 162 3 5" xfId="5894" xr:uid="{A47D3629-1EA4-47F0-8C0F-3F2D10A37301}"/>
    <cellStyle name="Style 162 3 5 2" xfId="24598" xr:uid="{AAD266F1-911D-4829-B517-AC0761D56D6F}"/>
    <cellStyle name="Style 162 3 6" xfId="23238" xr:uid="{25D4478F-E41B-486F-8224-E6A47D9127C2}"/>
    <cellStyle name="Style 162 4" xfId="1994" xr:uid="{D0871773-3707-4822-A1F3-8B20F8FA1752}"/>
    <cellStyle name="Style 162 4 2" xfId="1995" xr:uid="{C24E80A2-0F34-44BB-BD2D-649E13CE4E5A}"/>
    <cellStyle name="Style 162 4 2 2" xfId="23246" xr:uid="{0D351CDB-3C6B-4418-9008-B22D23A2F74E}"/>
    <cellStyle name="Style 162 4 3" xfId="5895" xr:uid="{172FAC07-8F81-410F-B382-D7AE70D2E548}"/>
    <cellStyle name="Style 162 4 3 2" xfId="23247" xr:uid="{F4DC0034-675D-4A12-9D6D-7E7FC7F94858}"/>
    <cellStyle name="Style 162 4 4" xfId="5896" xr:uid="{8E1855A8-86B5-4D8E-B4B2-D3DEF525D288}"/>
    <cellStyle name="Style 162 4 4 2" xfId="24599" xr:uid="{64E7072D-32F8-41C8-B44F-2DBE9B29473F}"/>
    <cellStyle name="Style 162 4 5" xfId="23245" xr:uid="{4571395A-DC48-456B-B827-D321B0CF6EF2}"/>
    <cellStyle name="Style 162 5" xfId="1996" xr:uid="{1128D099-8A48-4FD5-A098-237D53D9E7CA}"/>
    <cellStyle name="Style 162 5 2" xfId="1997" xr:uid="{AECAEDFC-770B-4A09-841E-4620BBAF5672}"/>
    <cellStyle name="Style 162 5 2 2" xfId="23249" xr:uid="{5B4DD1E0-D523-402C-AA41-AF279E459076}"/>
    <cellStyle name="Style 162 5 3" xfId="23248" xr:uid="{9C485892-C532-4EA2-9CB1-79B75C95D66A}"/>
    <cellStyle name="Style 162 6" xfId="1998" xr:uid="{6FFF17C9-564F-42D0-9FFD-C5B992F781BB}"/>
    <cellStyle name="Style 162 6 2" xfId="1999" xr:uid="{0FACBDDF-2478-4D63-9C9A-BC7E28820680}"/>
    <cellStyle name="Style 162 6 2 2" xfId="24600" xr:uid="{82508593-BB37-41C7-A8B8-B9C0A35AD4C8}"/>
    <cellStyle name="Style 162 6 3" xfId="4127" xr:uid="{98597E00-AEAE-4C57-8FBF-CEA1DAA1FBA9}"/>
    <cellStyle name="Style 162 6 3 2" xfId="28322" xr:uid="{4A0B7068-2ABD-4691-84DE-7FB729B3C347}"/>
    <cellStyle name="Style 162 6 4" xfId="23250" xr:uid="{17C03640-D46F-43AD-B5AE-2BA3C056AA55}"/>
    <cellStyle name="Style 162 7" xfId="4126" xr:uid="{898E440E-4155-45AD-934D-AB427CEB30BB}"/>
    <cellStyle name="Style 162 7 2" xfId="5898" xr:uid="{9FDBBD9B-F0A8-409F-9327-3115187DF792}"/>
    <cellStyle name="Style 162 7 2 2" xfId="24601" xr:uid="{82115954-071C-4D3A-9A0D-2C8F85B54F2B}"/>
    <cellStyle name="Style 162 7 3" xfId="5897" xr:uid="{83B4D3DB-4ECF-438E-A83D-305147401AB1}"/>
    <cellStyle name="Style 162 7 3 2" xfId="40719" xr:uid="{4B88A141-6105-453A-964D-E9D6FFC10C4D}"/>
    <cellStyle name="Style 162 7 4" xfId="23251" xr:uid="{3380BE22-AE96-4622-955A-889B0391F0E4}"/>
    <cellStyle name="Style 162 8" xfId="5899" xr:uid="{7799289B-A5B0-4A6A-BE81-1166517962E4}"/>
    <cellStyle name="Style 162 8 2" xfId="24602" xr:uid="{199DA9B1-2B97-4D3A-B69F-CC9D10C217F5}"/>
    <cellStyle name="Style 162 9" xfId="9322" xr:uid="{0570CB8A-81FD-4D9F-A4DF-F71F61A64041}"/>
    <cellStyle name="Style 162 9 2" xfId="26601" xr:uid="{10BF1369-8CFF-4197-9B15-D617157C1455}"/>
    <cellStyle name="Style 162_ADDON" xfId="25741" xr:uid="{11D58A61-7C22-4FD0-A69F-FE7D500DAE28}"/>
    <cellStyle name="Style 163" xfId="2000" xr:uid="{7864CAB1-47D0-4F63-B9AD-A4F4366680D7}"/>
    <cellStyle name="Style 163 10" xfId="2001" xr:uid="{0DE7CCA9-DE3E-4D56-9BED-22447EA730B3}"/>
    <cellStyle name="Style 163 10 2" xfId="2002" xr:uid="{670A44AE-33C9-4156-8D05-49B01C7C2BD3}"/>
    <cellStyle name="Style 163 10 2 2" xfId="5900" xr:uid="{11CBB50F-0BF3-404B-9A95-E8E704555879}"/>
    <cellStyle name="Style 163 10 2 2 2" xfId="27449" xr:uid="{A5AB1038-7FC2-4B65-A63C-99A738C3AE3C}"/>
    <cellStyle name="Style 163 10 2 3" xfId="24603" xr:uid="{F6F14E77-7A07-428C-A2DC-89497B251377}"/>
    <cellStyle name="Style 163 10 3" xfId="4128" xr:uid="{6CEF2FEF-5F1B-4315-BF5B-FD2A2EBF4B71}"/>
    <cellStyle name="Style 163 10 3 2" xfId="27448" xr:uid="{09162BA0-5A62-4A53-8D5A-0C8C45E94995}"/>
    <cellStyle name="Style 163 10 4" xfId="23253" xr:uid="{51DA9DEE-EF71-4ED0-B81C-E0906DE99226}"/>
    <cellStyle name="Style 163 11" xfId="2003" xr:uid="{C73E0547-A212-47CC-9782-9362F81D5A3B}"/>
    <cellStyle name="Style 163 11 2" xfId="2004" xr:uid="{75613B5A-7FC1-4B98-A543-61192B0ABFCA}"/>
    <cellStyle name="Style 163 11 2 2" xfId="5902" xr:uid="{2698B4A0-840D-4F78-B4AF-ABADA0C3346B}"/>
    <cellStyle name="Style 163 11 2 2 2" xfId="27451" xr:uid="{527E555B-B771-48A6-A580-28D011A35C04}"/>
    <cellStyle name="Style 163 11 2 3" xfId="24604" xr:uid="{36B935A4-6BA0-43F0-8EF6-72B65DC112DD}"/>
    <cellStyle name="Style 163 11 3" xfId="5901" xr:uid="{017272DD-9BAC-4113-8B3A-2D5B28D795EA}"/>
    <cellStyle name="Style 163 11 3 2" xfId="27450" xr:uid="{BD30C9DF-34D4-46A2-954C-533C9D103263}"/>
    <cellStyle name="Style 163 11 4" xfId="23254" xr:uid="{73C6593D-7D81-40C0-B48D-2266A1A5A27C}"/>
    <cellStyle name="Style 163 12" xfId="2005" xr:uid="{98D1AA0F-BD04-4E63-9620-62DB2B01A73E}"/>
    <cellStyle name="Style 163 12 2" xfId="5903" xr:uid="{6030D6CA-D102-455A-A762-9326F54A801E}"/>
    <cellStyle name="Style 163 12 2 2" xfId="27452" xr:uid="{A7A1B0EE-637E-41FD-87B2-4AD5DD1B17EB}"/>
    <cellStyle name="Style 163 12 3" xfId="9323" xr:uid="{36219C1F-70AF-41BE-BCDE-AF6F58B9BB04}"/>
    <cellStyle name="Style 163 12 3 2" xfId="28924" xr:uid="{55E93A72-27C8-4382-95FF-8E01C944ADE6}"/>
    <cellStyle name="Style 163 12 4" xfId="9324" xr:uid="{6DA5FE10-DB5D-4930-BDF3-DB6D842C01A1}"/>
    <cellStyle name="Style 163 12 4 2" xfId="28925" xr:uid="{41BD1A11-2CA6-40F6-A60E-F4D691BC1C3F}"/>
    <cellStyle name="Style 163 12 5" xfId="9325" xr:uid="{369F553A-4627-4F48-BA20-A3FD4022B1A6}"/>
    <cellStyle name="Style 163 12 5 2" xfId="28926" xr:uid="{1CB9F5ED-D18A-499B-8994-03F80C411850}"/>
    <cellStyle name="Style 163 12 6" xfId="9326" xr:uid="{B0B387F2-09DE-4188-BEDE-1C0C52801334}"/>
    <cellStyle name="Style 163 12 6 2" xfId="28927" xr:uid="{8A3A6011-F436-49FD-9E4E-CF7538F074EC}"/>
    <cellStyle name="Style 163 12 7" xfId="24605" xr:uid="{1F8DCAA8-58CC-4DDE-9F57-A95696EB949D}"/>
    <cellStyle name="Style 163 13" xfId="9327" xr:uid="{9FE25F2C-3D20-4CE3-9BBA-C653D3686316}"/>
    <cellStyle name="Style 163 13 2" xfId="9328" xr:uid="{CF628C9D-A9AC-4831-B4EF-20B78805D242}"/>
    <cellStyle name="Style 163 13 2 2" xfId="28928" xr:uid="{32A104F6-02AA-49C1-AE20-2255D83DB838}"/>
    <cellStyle name="Style 163 13 3" xfId="9329" xr:uid="{541D7CE2-76BA-43A3-BB87-27EA095806B6}"/>
    <cellStyle name="Style 163 13 3 2" xfId="28929" xr:uid="{5403F27C-C1C6-45EE-A112-67F5B9FBCD1B}"/>
    <cellStyle name="Style 163 13 4" xfId="26602" xr:uid="{931FBDA1-70C0-437D-B9C7-EFB2A4969149}"/>
    <cellStyle name="Style 163 14" xfId="9330" xr:uid="{BA1CC314-8C5F-482E-8CE1-62725801B618}"/>
    <cellStyle name="Style 163 14 2" xfId="9331" xr:uid="{4D728313-441D-469D-9157-7A0C849EB1FD}"/>
    <cellStyle name="Style 163 14 2 2" xfId="28931" xr:uid="{FBE1D08F-6576-4D47-878A-CD2D6CDCFFCC}"/>
    <cellStyle name="Style 163 14 3" xfId="28930" xr:uid="{219339BA-F781-4698-86A7-BDAE6B23FEB1}"/>
    <cellStyle name="Style 163 15" xfId="9332" xr:uid="{6091DD76-3E13-4661-B82F-CD118338B39F}"/>
    <cellStyle name="Style 163 15 2" xfId="9333" xr:uid="{BB99E1DF-4865-426D-BD77-8579348DB12F}"/>
    <cellStyle name="Style 163 15 2 2" xfId="28933" xr:uid="{EAAE1383-8A88-4D02-B40E-974BFB69227B}"/>
    <cellStyle name="Style 163 15 3" xfId="28932" xr:uid="{AF881595-7050-47B7-BA93-36EEE28B636B}"/>
    <cellStyle name="Style 163 16" xfId="23252" xr:uid="{6E41C159-C87B-4FAD-A674-4965A5C69F37}"/>
    <cellStyle name="Style 163 2" xfId="2006" xr:uid="{34B31EBF-805E-4B1C-B105-53DAF1A40F35}"/>
    <cellStyle name="Style 163 2 2" xfId="4380" xr:uid="{724DB730-1B5F-4444-A950-7AC5B4428D17}"/>
    <cellStyle name="Style 163 2 2 2" xfId="26603" xr:uid="{2325505E-0F7D-4A0D-8B26-F9D331FAB7D9}"/>
    <cellStyle name="Style 163 2 3" xfId="23255" xr:uid="{42CC44F0-C4C4-47E7-996E-9304496C5C97}"/>
    <cellStyle name="Style 163 3" xfId="2007" xr:uid="{D67A16FD-2D78-4558-BD87-92ADC834A876}"/>
    <cellStyle name="Style 163 3 2" xfId="2008" xr:uid="{CAFEE7BD-80A7-4495-B5F7-D17096E474CB}"/>
    <cellStyle name="Style 163 3 2 2" xfId="2009" xr:uid="{1A382349-5D48-4580-A9B0-B40B49E69609}"/>
    <cellStyle name="Style 163 3 2 2 2" xfId="5904" xr:uid="{172930E6-1BDE-4A11-BE36-5380D0C6EF97}"/>
    <cellStyle name="Style 163 3 2 2 2 2" xfId="27453" xr:uid="{30478131-2AF9-4651-B401-5B5B24AF0181}"/>
    <cellStyle name="Style 163 3 2 2 3" xfId="23258" xr:uid="{6E86FF11-4E59-418A-BD48-B9B748A7532B}"/>
    <cellStyle name="Style 163 3 2 3" xfId="4382" xr:uid="{8B384D3F-0ED7-4E91-B8A0-8F20C7FF64B9}"/>
    <cellStyle name="Style 163 3 2 3 2" xfId="26605" xr:uid="{34DD77BB-E6AC-4C27-8C90-3797AF1E51A1}"/>
    <cellStyle name="Style 163 3 2 4" xfId="23257" xr:uid="{0D3F3CB5-B936-4251-98F7-A35E8D12F5FE}"/>
    <cellStyle name="Style 163 3 3" xfId="2010" xr:uid="{C107C02F-34BA-4080-846B-AB2D3B8998F2}"/>
    <cellStyle name="Style 163 3 3 2" xfId="2011" xr:uid="{8B8C1186-3DFA-45C4-9CB2-490C1103A133}"/>
    <cellStyle name="Style 163 3 3 2 2" xfId="5906" xr:uid="{90A5C6D8-838D-43D1-A44B-8DF659C817AB}"/>
    <cellStyle name="Style 163 3 3 2 2 2" xfId="27455" xr:uid="{1247D999-4D0F-48F9-82EA-B31D87A72470}"/>
    <cellStyle name="Style 163 3 3 2 3" xfId="23260" xr:uid="{C87CB0EB-DF26-4A9D-A6C7-D5339E816E48}"/>
    <cellStyle name="Style 163 3 3 3" xfId="2012" xr:uid="{4D059357-6689-4845-9DE4-454937F45CA1}"/>
    <cellStyle name="Style 163 3 3 3 2" xfId="2013" xr:uid="{849C04CF-5695-4DE3-8AC4-6839E7230A5D}"/>
    <cellStyle name="Style 163 3 3 3 2 2" xfId="5908" xr:uid="{95CB016E-5E04-4353-947F-D70AC4F827E7}"/>
    <cellStyle name="Style 163 3 3 3 2 2 2" xfId="27457" xr:uid="{0F0542BD-3E47-46F2-970D-A88AB4A38334}"/>
    <cellStyle name="Style 163 3 3 3 2 3" xfId="23262" xr:uid="{0F8C79A8-F76D-4CD5-83BF-97CE3542D8E6}"/>
    <cellStyle name="Style 163 3 3 3 3" xfId="5909" xr:uid="{06313C36-DA1C-442F-88F9-1AD14F75CDB7}"/>
    <cellStyle name="Style 163 3 3 3 3 2" xfId="23263" xr:uid="{60D1DFC5-D110-4D92-B7AD-B95410E73197}"/>
    <cellStyle name="Style 163 3 3 3 4" xfId="5910" xr:uid="{15C43947-C998-4A42-8240-4A3504D7F360}"/>
    <cellStyle name="Style 163 3 3 3 4 2" xfId="24606" xr:uid="{D90B4A47-AFC7-4899-A97A-662002F0C2F5}"/>
    <cellStyle name="Style 163 3 3 3 5" xfId="5907" xr:uid="{050F9205-3656-4192-9AF1-722DB3F9A132}"/>
    <cellStyle name="Style 163 3 3 3 5 2" xfId="27456" xr:uid="{E9EE7DE0-2CE9-484D-8078-DF0B8208528E}"/>
    <cellStyle name="Style 163 3 3 3 6" xfId="23261" xr:uid="{7FD480E9-3FD5-418A-A081-AB6C3225770F}"/>
    <cellStyle name="Style 163 3 3 4" xfId="2014" xr:uid="{A882068D-B1B3-4070-801E-C0C5A8A5DFAA}"/>
    <cellStyle name="Style 163 3 3 4 2" xfId="2015" xr:uid="{C51CC16E-91D3-471A-B0C4-1D8C96B02206}"/>
    <cellStyle name="Style 163 3 3 4 2 2" xfId="5912" xr:uid="{81955969-6F32-42BD-BDC9-AADDA63C96B0}"/>
    <cellStyle name="Style 163 3 3 4 2 2 2" xfId="27459" xr:uid="{DB1CE406-FA64-4596-92D6-79E02C961275}"/>
    <cellStyle name="Style 163 3 3 4 2 3" xfId="23265" xr:uid="{C670ABA9-2890-4959-AAA9-926104DB3121}"/>
    <cellStyle name="Style 163 3 3 4 3" xfId="5911" xr:uid="{AB4EBCB0-92DE-4B14-B558-EF5E3992A34D}"/>
    <cellStyle name="Style 163 3 3 4 3 2" xfId="27458" xr:uid="{119BF00A-C2C7-49A4-BE87-13207015F3A0}"/>
    <cellStyle name="Style 163 3 3 4 4" xfId="23264" xr:uid="{F9639F28-B42F-49DE-934C-6D870FA98924}"/>
    <cellStyle name="Style 163 3 3 5" xfId="5913" xr:uid="{A0E4895A-5B14-4B0D-B554-2D9DDA99AE1D}"/>
    <cellStyle name="Style 163 3 3 5 2" xfId="24607" xr:uid="{471440FA-6786-4A92-A3BD-1F1F6EC89391}"/>
    <cellStyle name="Style 163 3 3 6" xfId="5905" xr:uid="{05EBDF16-863E-44A7-871B-AFBC5566B7AC}"/>
    <cellStyle name="Style 163 3 3 6 2" xfId="27454" xr:uid="{1A9C710D-097B-4CDC-88CA-A6A653C7A30D}"/>
    <cellStyle name="Style 163 3 3 7" xfId="23259" xr:uid="{359282D8-A1EC-433A-920B-3E53885BD884}"/>
    <cellStyle name="Style 163 3 4" xfId="2016" xr:uid="{0BE602DB-88D1-42D8-AD70-F7ADA573E039}"/>
    <cellStyle name="Style 163 3 4 2" xfId="5915" xr:uid="{C27115DB-564A-4CE0-87BB-E1674F9406E5}"/>
    <cellStyle name="Style 163 3 4 2 2" xfId="23267" xr:uid="{2CC71FFE-9136-48CC-95B6-33EDA38F3167}"/>
    <cellStyle name="Style 163 3 4 3" xfId="5916" xr:uid="{3DD60298-AA0D-4251-9FD5-D4665323EA35}"/>
    <cellStyle name="Style 163 3 4 3 2" xfId="24608" xr:uid="{D63A9CB9-E205-490A-A641-81B690276BD6}"/>
    <cellStyle name="Style 163 3 4 4" xfId="5914" xr:uid="{BB0B633C-47DF-4E1B-A664-4ABF30470BAD}"/>
    <cellStyle name="Style 163 3 4 4 2" xfId="27460" xr:uid="{802C88B4-043F-4AC0-87D9-A06924023A65}"/>
    <cellStyle name="Style 163 3 4 5" xfId="23266" xr:uid="{551D712F-71DD-4E6D-AB9A-E8A0FB0C6BD3}"/>
    <cellStyle name="Style 163 3 5" xfId="5917" xr:uid="{F0D2216C-EE6B-47C4-B4E7-BBD7250CEE5B}"/>
    <cellStyle name="Style 163 3 5 2" xfId="9334" xr:uid="{43C65C8A-99EC-4A89-BCA2-766729392B34}"/>
    <cellStyle name="Style 163 3 5 2 2" xfId="27461" xr:uid="{88741CA5-83F6-4D22-81D8-2B146987AE4A}"/>
    <cellStyle name="Style 163 3 5 3" xfId="23268" xr:uid="{3B2561B7-86B8-4462-876E-58950D4C6FD3}"/>
    <cellStyle name="Style 163 3 6" xfId="4381" xr:uid="{55D4E4DE-587B-4F70-86A2-B745E7790AC8}"/>
    <cellStyle name="Style 163 3 6 2" xfId="26604" xr:uid="{52973ED3-98B9-4335-AEC5-5BD706EC6F86}"/>
    <cellStyle name="Style 163 3 7" xfId="23256" xr:uid="{B8772D18-2266-427A-AA6E-BB1A268009C2}"/>
    <cellStyle name="Style 163 4" xfId="2017" xr:uid="{E11BA3B4-A9D4-463F-90C9-4E3808D80F73}"/>
    <cellStyle name="Style 163 4 2" xfId="2018" xr:uid="{DA2288DA-857A-4EEF-83F8-20865D861738}"/>
    <cellStyle name="Style 163 4 2 2" xfId="2019" xr:uid="{D00909BD-F370-4201-983D-06CE45AF640E}"/>
    <cellStyle name="Style 163 4 2 2 2" xfId="5920" xr:uid="{4A500538-B097-4D25-A393-105A7E47F376}"/>
    <cellStyle name="Style 163 4 2 2 2 2" xfId="27463" xr:uid="{237B5EBF-4E60-4F93-A17E-47F307A96C24}"/>
    <cellStyle name="Style 163 4 2 2 3" xfId="23271" xr:uid="{F2A7D3D7-15E0-4CAC-A384-B512BE90A76D}"/>
    <cellStyle name="Style 163 4 2 3" xfId="2020" xr:uid="{3F92AB9D-CECC-4C6E-BE88-A49F68FD5AC3}"/>
    <cellStyle name="Style 163 4 2 3 2" xfId="2021" xr:uid="{C555FC8E-A420-45EF-86A0-28432CA99389}"/>
    <cellStyle name="Style 163 4 2 3 2 2" xfId="5922" xr:uid="{A6B1C900-9B9B-41A6-9BF7-B0C2070F6B9D}"/>
    <cellStyle name="Style 163 4 2 3 2 2 2" xfId="27465" xr:uid="{33CC2088-32CA-406A-8E9F-DA889BDC769B}"/>
    <cellStyle name="Style 163 4 2 3 2 3" xfId="23273" xr:uid="{0B26B6B7-F09F-4E4F-BDAC-B0B5298B6A8E}"/>
    <cellStyle name="Style 163 4 2 3 3" xfId="5923" xr:uid="{EA0784F0-8F83-472F-A55B-A2DF32ED46FB}"/>
    <cellStyle name="Style 163 4 2 3 3 2" xfId="23274" xr:uid="{42F1D316-CFB5-4AD6-A49B-C334A18F0054}"/>
    <cellStyle name="Style 163 4 2 3 4" xfId="5924" xr:uid="{F369BE98-4CA4-4EF3-8CAE-6C87D182B01F}"/>
    <cellStyle name="Style 163 4 2 3 4 2" xfId="24609" xr:uid="{809790E5-EA76-4B40-A60A-C45671B83AE0}"/>
    <cellStyle name="Style 163 4 2 3 5" xfId="5921" xr:uid="{302345DE-8658-4A98-B3AB-D83990F66B41}"/>
    <cellStyle name="Style 163 4 2 3 5 2" xfId="27464" xr:uid="{DA283274-EE6F-4A03-9150-5C40AC6A5025}"/>
    <cellStyle name="Style 163 4 2 3 6" xfId="23272" xr:uid="{67660D26-C37B-4CFB-B8F5-1FE8740BE2F0}"/>
    <cellStyle name="Style 163 4 2 4" xfId="2022" xr:uid="{BA92D92A-0DF1-44BB-A7AB-831D8C8159F9}"/>
    <cellStyle name="Style 163 4 2 4 2" xfId="2023" xr:uid="{9010A7E5-78CE-473D-8B05-ED861914945E}"/>
    <cellStyle name="Style 163 4 2 4 2 2" xfId="5926" xr:uid="{5805DB33-A76D-426B-8DA8-BBA230BC1CA7}"/>
    <cellStyle name="Style 163 4 2 4 2 2 2" xfId="27467" xr:uid="{EDA40635-421C-4BFD-A1AD-301A54CBCB03}"/>
    <cellStyle name="Style 163 4 2 4 2 3" xfId="23276" xr:uid="{D1420DE8-C6C3-4193-B305-13696B352C03}"/>
    <cellStyle name="Style 163 4 2 4 3" xfId="5925" xr:uid="{C42C8F28-C2B1-4FA6-891B-0A17127098A6}"/>
    <cellStyle name="Style 163 4 2 4 3 2" xfId="27466" xr:uid="{A72EADDA-A736-461C-BA34-1F41FE252CC4}"/>
    <cellStyle name="Style 163 4 2 4 4" xfId="23275" xr:uid="{0FD3776A-7C70-4332-B9AB-B92A3DDC77E8}"/>
    <cellStyle name="Style 163 4 2 5" xfId="5927" xr:uid="{BC29C99B-F8E8-4336-986D-1BBB75D6FF78}"/>
    <cellStyle name="Style 163 4 2 5 2" xfId="24610" xr:uid="{A3587E91-D6ED-4347-810C-BB23595C8E9C}"/>
    <cellStyle name="Style 163 4 2 6" xfId="5919" xr:uid="{ABC29D69-57A1-4327-BA2F-991107D22E45}"/>
    <cellStyle name="Style 163 4 2 6 2" xfId="27462" xr:uid="{C0AE1C0D-2FAE-48FA-9D75-1726B9743CBB}"/>
    <cellStyle name="Style 163 4 2 7" xfId="23270" xr:uid="{20B37F88-3B08-497E-93AE-636F039E1E16}"/>
    <cellStyle name="Style 163 4 3" xfId="2024" xr:uid="{F0146A03-00DA-418F-BBD0-789588D7DBBA}"/>
    <cellStyle name="Style 163 4 3 2" xfId="5928" xr:uid="{0992B6C5-C54A-45F6-92C3-757BD863F095}"/>
    <cellStyle name="Style 163 4 3 2 2" xfId="27468" xr:uid="{4964FE46-2C23-4F3D-AA40-56F675AA9759}"/>
    <cellStyle name="Style 163 4 3 3" xfId="23277" xr:uid="{2FA208B9-FB4B-4375-8FBC-9C91E85A62DE}"/>
    <cellStyle name="Style 163 4 4" xfId="5929" xr:uid="{A92B8217-1AEB-4420-83B4-833DEDD7CDFE}"/>
    <cellStyle name="Style 163 4 4 2" xfId="5930" xr:uid="{DA924C6B-AE0B-4A00-9D21-23CD29F7526E}"/>
    <cellStyle name="Style 163 4 4 2 2" xfId="24611" xr:uid="{6A0C5567-1A37-415E-9561-9D9D5AA4CF94}"/>
    <cellStyle name="Style 163 4 4 3" xfId="23278" xr:uid="{79AFD53E-F6A5-4018-9633-42AD69FED350}"/>
    <cellStyle name="Style 163 4 5" xfId="5918" xr:uid="{11137519-FCD9-4869-BADD-3289CA80D8C7}"/>
    <cellStyle name="Style 163 4 5 2" xfId="25937" xr:uid="{329353BA-1892-42E2-9C2E-13D225885850}"/>
    <cellStyle name="Style 163 4 6" xfId="4383" xr:uid="{BC698A1C-1F15-46C7-8606-1A215DBD4450}"/>
    <cellStyle name="Style 163 4 6 2" xfId="26606" xr:uid="{1A16BFA6-932F-41B7-AB60-F3206047CB60}"/>
    <cellStyle name="Style 163 4 7" xfId="23269" xr:uid="{041C5E52-1351-4661-991C-EE764C4C69F4}"/>
    <cellStyle name="Style 163 5" xfId="2025" xr:uid="{86B43CC5-6D12-4D8B-9F8B-9D33BD139EC2}"/>
    <cellStyle name="Style 163 5 2" xfId="2026" xr:uid="{AEFD551C-BD7F-46C2-8EC7-E8DF15955903}"/>
    <cellStyle name="Style 163 5 2 2" xfId="2027" xr:uid="{AD5509FA-5E93-4314-8200-521B1E72B220}"/>
    <cellStyle name="Style 163 5 2 2 2" xfId="5933" xr:uid="{1A92F5F9-B0F7-49E3-A200-E62D7C50C673}"/>
    <cellStyle name="Style 163 5 2 2 2 2" xfId="27470" xr:uid="{BC7DA9FD-E8C8-4FC7-8C92-088E9813EB19}"/>
    <cellStyle name="Style 163 5 2 2 3" xfId="23281" xr:uid="{DF9E5401-1CC6-4254-964F-3B8FC09F1E6D}"/>
    <cellStyle name="Style 163 5 2 3" xfId="2028" xr:uid="{DAF9D745-5583-426D-85EE-B04FE58B261E}"/>
    <cellStyle name="Style 163 5 2 3 2" xfId="2029" xr:uid="{C2B45525-75E3-4AEA-B35B-B3E48C7C1857}"/>
    <cellStyle name="Style 163 5 2 3 2 2" xfId="5935" xr:uid="{46852C9E-D4FD-42BE-8CFA-916DBFDF5EF7}"/>
    <cellStyle name="Style 163 5 2 3 2 2 2" xfId="27472" xr:uid="{D0BCEB18-CFE0-4127-B23D-E157B24D7526}"/>
    <cellStyle name="Style 163 5 2 3 2 3" xfId="23283" xr:uid="{A94FF8D3-08B4-4A3D-AF05-B93D24891C49}"/>
    <cellStyle name="Style 163 5 2 3 3" xfId="5936" xr:uid="{DD9DD83F-752D-48FE-936A-3A90D8F6F5E0}"/>
    <cellStyle name="Style 163 5 2 3 3 2" xfId="23284" xr:uid="{D395266A-42B2-4BB2-972A-DAF959815234}"/>
    <cellStyle name="Style 163 5 2 3 4" xfId="5937" xr:uid="{4DFC4FF8-343A-4A7C-AECE-39AF57C2BB7C}"/>
    <cellStyle name="Style 163 5 2 3 4 2" xfId="24612" xr:uid="{007AB722-CB52-4CE7-8B26-7CC9E35DC7D4}"/>
    <cellStyle name="Style 163 5 2 3 5" xfId="5934" xr:uid="{C90905F1-04A1-4A9F-A19C-D9A54F78A775}"/>
    <cellStyle name="Style 163 5 2 3 5 2" xfId="27471" xr:uid="{FE04F704-5DE0-4BF1-914E-349727E3A341}"/>
    <cellStyle name="Style 163 5 2 3 6" xfId="23282" xr:uid="{25A0EA09-859D-4C51-8CC5-F2398E55355A}"/>
    <cellStyle name="Style 163 5 2 4" xfId="2030" xr:uid="{AC7D62FA-60C5-4D68-B246-6F9119E3722B}"/>
    <cellStyle name="Style 163 5 2 4 2" xfId="2031" xr:uid="{EF4D0C23-E0EF-414E-9F83-1208F8E6BAA5}"/>
    <cellStyle name="Style 163 5 2 4 2 2" xfId="5939" xr:uid="{ADB328A0-7975-4B4E-96D2-23EC9DF3EA5B}"/>
    <cellStyle name="Style 163 5 2 4 2 2 2" xfId="27474" xr:uid="{1A82C7D5-1166-40BF-81B7-80721D11273F}"/>
    <cellStyle name="Style 163 5 2 4 2 3" xfId="23286" xr:uid="{F80A6BCF-E4EE-4A77-9EFF-E3BDF8687061}"/>
    <cellStyle name="Style 163 5 2 4 3" xfId="5938" xr:uid="{A3AEC6DC-62BD-4ADE-B236-846580AB02E7}"/>
    <cellStyle name="Style 163 5 2 4 3 2" xfId="27473" xr:uid="{773F9CE1-5080-48E5-9FA4-E3A8D580F107}"/>
    <cellStyle name="Style 163 5 2 4 4" xfId="23285" xr:uid="{7DD99B82-8784-459D-BB64-632CB778268D}"/>
    <cellStyle name="Style 163 5 2 5" xfId="5940" xr:uid="{4A6326E1-A311-48D9-87C8-91AEE2EFFEE8}"/>
    <cellStyle name="Style 163 5 2 5 2" xfId="24613" xr:uid="{69AB55EC-9112-44B9-9163-4AE22F5311CF}"/>
    <cellStyle name="Style 163 5 2 6" xfId="5932" xr:uid="{14269A4D-F630-4564-AA43-629515BF4897}"/>
    <cellStyle name="Style 163 5 2 6 2" xfId="27469" xr:uid="{65CB3692-6FA6-4A14-86B8-6683D9FB5A45}"/>
    <cellStyle name="Style 163 5 2 7" xfId="23280" xr:uid="{158C54D8-EBAD-439C-9AD8-E687C72878EB}"/>
    <cellStyle name="Style 163 5 3" xfId="2032" xr:uid="{FBA2F4AE-1F28-4466-B7B5-8ECEFC2066FE}"/>
    <cellStyle name="Style 163 5 3 2" xfId="5941" xr:uid="{51543A61-B50C-4E62-94FB-21A6211FEB3D}"/>
    <cellStyle name="Style 163 5 3 2 2" xfId="27475" xr:uid="{1AF02FE7-4764-48EF-A078-A6F63EC8C2DA}"/>
    <cellStyle name="Style 163 5 3 3" xfId="23287" xr:uid="{5B7211DB-605B-4329-B588-D8E2827E5AA6}"/>
    <cellStyle name="Style 163 5 4" xfId="5942" xr:uid="{7E9586E5-716D-478A-884E-CE027B4B0623}"/>
    <cellStyle name="Style 163 5 4 2" xfId="5943" xr:uid="{9FAFD31D-B78F-4485-AAC7-87DD31E502FC}"/>
    <cellStyle name="Style 163 5 4 2 2" xfId="24614" xr:uid="{7B92270E-FAE6-4A98-90EC-824D63675768}"/>
    <cellStyle name="Style 163 5 4 3" xfId="23288" xr:uid="{75847328-3B4F-465D-8369-4199C9A87B93}"/>
    <cellStyle name="Style 163 5 5" xfId="5931" xr:uid="{B7EE10D1-E18F-4D1D-B6E5-F1E4DC77FBDA}"/>
    <cellStyle name="Style 163 5 5 2" xfId="25938" xr:uid="{782BAB81-1BA6-4D74-989F-54A8929DE63D}"/>
    <cellStyle name="Style 163 5 6" xfId="4384" xr:uid="{C8B10140-F5CC-4035-9B7B-FF70BAD25F20}"/>
    <cellStyle name="Style 163 5 6 2" xfId="26607" xr:uid="{2AA8F927-864D-40AF-9524-5A14BB70E11C}"/>
    <cellStyle name="Style 163 5 7" xfId="23279" xr:uid="{1B838C36-B10C-4E24-B954-DB2982D24188}"/>
    <cellStyle name="Style 163 6" xfId="2033" xr:uid="{90FC2E07-016C-405E-8FB9-FAEB0CAC6483}"/>
    <cellStyle name="Style 163 6 2" xfId="2034" xr:uid="{E38335FC-085F-4098-9852-2B85410FED43}"/>
    <cellStyle name="Style 163 6 2 2" xfId="5945" xr:uid="{5118FAB3-9698-4A96-9F0F-74E725732D2E}"/>
    <cellStyle name="Style 163 6 2 2 2" xfId="27477" xr:uid="{343CD17E-00B0-490C-9A6B-D23529CC4332}"/>
    <cellStyle name="Style 163 6 2 3" xfId="23290" xr:uid="{4AAED42D-605F-4CBB-AFC7-2C6AF146A597}"/>
    <cellStyle name="Style 163 6 3" xfId="2035" xr:uid="{59FEB074-430E-4D97-BE26-8583DA415BB1}"/>
    <cellStyle name="Style 163 6 3 2" xfId="2036" xr:uid="{C4B21A89-6629-4AA7-8F13-21A2F9294E3B}"/>
    <cellStyle name="Style 163 6 3 2 2" xfId="5947" xr:uid="{9CFC4DBF-14CF-4205-B4F0-F87BF77B9D10}"/>
    <cellStyle name="Style 163 6 3 2 2 2" xfId="27479" xr:uid="{DCE7E413-8304-40DE-B878-BA177593193A}"/>
    <cellStyle name="Style 163 6 3 2 3" xfId="23292" xr:uid="{01DF3190-121F-4CEF-A017-F567A7D728F4}"/>
    <cellStyle name="Style 163 6 3 3" xfId="5948" xr:uid="{65827AC0-C79A-4AAB-87A4-EB2F575B849B}"/>
    <cellStyle name="Style 163 6 3 3 2" xfId="23293" xr:uid="{0F8B8ECE-E27C-4C57-8EBA-4F32A42F5C3E}"/>
    <cellStyle name="Style 163 6 3 4" xfId="5949" xr:uid="{2C3FB365-9AC0-48A0-91A6-7B866C0EE288}"/>
    <cellStyle name="Style 163 6 3 4 2" xfId="24615" xr:uid="{1A03D37E-A591-4DD0-97B8-5CAC634FBF3D}"/>
    <cellStyle name="Style 163 6 3 5" xfId="5946" xr:uid="{BD58DFCD-D26C-47F6-AECA-1D7BCC2D0FDC}"/>
    <cellStyle name="Style 163 6 3 5 2" xfId="27478" xr:uid="{C9405136-0A77-4990-8790-7099E50DD897}"/>
    <cellStyle name="Style 163 6 3 6" xfId="23291" xr:uid="{D9F19492-B871-4E45-9B57-A5FB9FA87A91}"/>
    <cellStyle name="Style 163 6 4" xfId="2037" xr:uid="{02CFDF68-606E-49FF-976C-184F4D3AC971}"/>
    <cellStyle name="Style 163 6 4 2" xfId="2038" xr:uid="{1B8D7D60-A8A2-4D9E-A111-3F3EE6429637}"/>
    <cellStyle name="Style 163 6 4 2 2" xfId="5951" xr:uid="{DD496530-C62B-4451-BDE0-586505C86654}"/>
    <cellStyle name="Style 163 6 4 2 2 2" xfId="27481" xr:uid="{2744D1A1-A956-4877-BCF8-322F4FBC52CC}"/>
    <cellStyle name="Style 163 6 4 2 3" xfId="23295" xr:uid="{7137512C-51FE-4714-BD39-DEC16F4E91BF}"/>
    <cellStyle name="Style 163 6 4 3" xfId="5950" xr:uid="{4A94C660-A61C-4BA4-AC83-ED990614024B}"/>
    <cellStyle name="Style 163 6 4 3 2" xfId="27480" xr:uid="{4015E7AC-135E-4E73-87B2-112471D65DCC}"/>
    <cellStyle name="Style 163 6 4 4" xfId="23294" xr:uid="{63AC3CD7-A4BD-4114-AE67-0B4FC1FA8635}"/>
    <cellStyle name="Style 163 6 5" xfId="5952" xr:uid="{AB298F24-B5F1-432C-A5B2-1E1D584C5D59}"/>
    <cellStyle name="Style 163 6 5 2" xfId="24616" xr:uid="{9083F018-6E90-46B8-960A-D0955A25102D}"/>
    <cellStyle name="Style 163 6 6" xfId="5944" xr:uid="{CD069997-4B7A-431D-A09B-69B55ED3F995}"/>
    <cellStyle name="Style 163 6 6 2" xfId="27476" xr:uid="{DB07ABAE-9C25-4E72-A19B-18C559FA6E06}"/>
    <cellStyle name="Style 163 6 7" xfId="23289" xr:uid="{842CB519-25B1-492B-8B0B-9716CAF24D8E}"/>
    <cellStyle name="Style 163 7" xfId="2039" xr:uid="{8E8F289A-58B5-4DCC-AD4B-8617177025FC}"/>
    <cellStyle name="Style 163 7 2" xfId="2040" xr:uid="{2A49B1A8-73FC-4A5A-B37F-3417F74E91CD}"/>
    <cellStyle name="Style 163 7 2 2" xfId="5954" xr:uid="{0D2AF727-B868-408D-998A-B524080DBE19}"/>
    <cellStyle name="Style 163 7 2 2 2" xfId="27483" xr:uid="{A80ECA42-79C4-422E-AE0C-87C98887976B}"/>
    <cellStyle name="Style 163 7 2 3" xfId="23297" xr:uid="{BFB7CC69-F7C3-4CCB-9540-44B90A5FAC46}"/>
    <cellStyle name="Style 163 7 3" xfId="5955" xr:uid="{0D125253-5A00-4427-A5EA-5D2E0DE34005}"/>
    <cellStyle name="Style 163 7 3 2" xfId="23298" xr:uid="{5E39B055-3F87-4C87-9B89-FF9AB7A58E2A}"/>
    <cellStyle name="Style 163 7 4" xfId="5956" xr:uid="{2D5CF182-7A26-4625-A5C2-6F298CD541B9}"/>
    <cellStyle name="Style 163 7 4 2" xfId="24617" xr:uid="{0BD5B68F-C8C7-4E21-BB6C-B008AF638A2F}"/>
    <cellStyle name="Style 163 7 5" xfId="5953" xr:uid="{86677E0A-4AF3-4BA4-A57A-66874422ECEC}"/>
    <cellStyle name="Style 163 7 5 2" xfId="27482" xr:uid="{C53791C2-5155-4448-A022-2EA05A771B29}"/>
    <cellStyle name="Style 163 7 6" xfId="23296" xr:uid="{CAB84959-A3EC-4A01-9DAA-1564CE2D773A}"/>
    <cellStyle name="Style 163 8" xfId="2041" xr:uid="{170F6AF0-F62F-441B-A5DC-6D102638617A}"/>
    <cellStyle name="Style 163 8 2" xfId="2042" xr:uid="{5FEC8674-C5ED-43A6-9D0C-5B11B67614AB}"/>
    <cellStyle name="Style 163 8 2 2" xfId="5958" xr:uid="{BEF99866-49BF-474F-BBD1-D2BCED7127D8}"/>
    <cellStyle name="Style 163 8 2 2 2" xfId="27485" xr:uid="{08A297EB-30E5-4C64-9BE1-A01BE932A778}"/>
    <cellStyle name="Style 163 8 2 3" xfId="23300" xr:uid="{F4D62421-2427-4C78-9861-B9A3C9B9671D}"/>
    <cellStyle name="Style 163 8 3" xfId="5959" xr:uid="{772655EC-7699-41E1-92FD-144E236D1BD5}"/>
    <cellStyle name="Style 163 8 3 2" xfId="23301" xr:uid="{9F740509-4933-46B5-84B5-6C7ED58842B6}"/>
    <cellStyle name="Style 163 8 4" xfId="5960" xr:uid="{76DCBBE1-BEBE-4CE0-B060-DE10CE0EF3D1}"/>
    <cellStyle name="Style 163 8 4 2" xfId="24618" xr:uid="{1D1F5477-EC23-4E96-84DA-CB3AC02370A7}"/>
    <cellStyle name="Style 163 8 5" xfId="5957" xr:uid="{AB7E3AF1-C375-4952-8361-95AD67A23A2F}"/>
    <cellStyle name="Style 163 8 5 2" xfId="27484" xr:uid="{9145B490-2AB0-476B-89E7-86F5FF90832B}"/>
    <cellStyle name="Style 163 8 6" xfId="23299" xr:uid="{9FF734E4-81FA-44B9-B17D-A4EE1E33E2BB}"/>
    <cellStyle name="Style 163 9" xfId="2043" xr:uid="{D43E180B-B884-4DA1-A607-B31496BEDE12}"/>
    <cellStyle name="Style 163 9 2" xfId="2044" xr:uid="{A7C0B930-0CB7-482F-A5B7-44B8739A776B}"/>
    <cellStyle name="Style 163 9 2 2" xfId="5961" xr:uid="{A5F3C3C0-C37C-4679-B12A-B71FE73FA479}"/>
    <cellStyle name="Style 163 9 2 2 2" xfId="27487" xr:uid="{2A119952-802E-4069-AA22-FBF7B044C877}"/>
    <cellStyle name="Style 163 9 2 3" xfId="24619" xr:uid="{CAD27D61-1940-4678-A35B-48E8A49B9750}"/>
    <cellStyle name="Style 163 9 3" xfId="4129" xr:uid="{905FCEA6-3771-41C8-BBD1-104ABC9CC1A5}"/>
    <cellStyle name="Style 163 9 3 2" xfId="27486" xr:uid="{605B5940-D762-40FB-BB2C-8AB7F6F66E26}"/>
    <cellStyle name="Style 163 9 4" xfId="23302" xr:uid="{DAE05B06-1F58-4064-A4F9-6E1B31073CF6}"/>
    <cellStyle name="Style 163_ADDON" xfId="25781" xr:uid="{0CC49D42-1C94-4EBA-84A7-50C239BB3DF8}"/>
    <cellStyle name="Style 164" xfId="2045" xr:uid="{554B2474-5B6D-423B-81CE-47F92B009934}"/>
    <cellStyle name="Style 164 2" xfId="2046" xr:uid="{0C29CDFB-E466-4133-803E-11EDF8E16A2B}"/>
    <cellStyle name="Style 164 2 2" xfId="2047" xr:uid="{D207440F-378C-4BEE-A50C-881343799A88}"/>
    <cellStyle name="Style 164 2 2 2" xfId="2048" xr:uid="{807290D2-A1E4-4B05-97D3-946E0A464B84}"/>
    <cellStyle name="Style 164 2 2 2 2" xfId="2049" xr:uid="{7AFA900F-7FA8-458B-BE9E-7598A50E2FBF}"/>
    <cellStyle name="Style 164 2 2 2 2 2" xfId="2050" xr:uid="{7ED98D17-1F06-48BE-BC57-0B681A1ABA6D}"/>
    <cellStyle name="Style 164 2 2 2 2 2 2" xfId="9335" xr:uid="{1401BC76-EBCC-465B-9D00-BB75BB952B7D}"/>
    <cellStyle name="Style 164 2 2 2 2 3" xfId="9336" xr:uid="{8876E613-A943-4D2B-AB43-8E7EC89809CB}"/>
    <cellStyle name="Style 164 2 2 2 3" xfId="2051" xr:uid="{A4483332-C1C6-41E1-B4B5-3A223883AC74}"/>
    <cellStyle name="Style 164 2 2 2 3 2" xfId="9337" xr:uid="{ACF954E5-978C-4DB1-B57E-77BB786610B8}"/>
    <cellStyle name="Style 164 2 2 2 4" xfId="9338" xr:uid="{03BE4FCB-AF65-49D8-B02B-D3E4788B1938}"/>
    <cellStyle name="Style 164 2 2 3" xfId="2052" xr:uid="{526DB784-D562-4F12-AFB0-7793393EEBD3}"/>
    <cellStyle name="Style 164 2 2 3 2" xfId="2053" xr:uid="{A6F0870A-84F8-468A-BCBA-ADF72225CE44}"/>
    <cellStyle name="Style 164 2 2 3 2 2" xfId="9339" xr:uid="{0809E2FA-4563-4698-934F-7D43622BB5D1}"/>
    <cellStyle name="Style 164 2 2 3 3" xfId="9340" xr:uid="{22F0A067-EB29-41AE-9A0B-A99F394C3231}"/>
    <cellStyle name="Style 164 2 2 4" xfId="2054" xr:uid="{76C7E6D0-7387-4F05-8350-0CAFB285AD4C}"/>
    <cellStyle name="Style 164 2 2 4 2" xfId="9341" xr:uid="{6C82D1AF-94CB-4F4A-992C-595C739F551E}"/>
    <cellStyle name="Style 164 2 2 5" xfId="9342" xr:uid="{0721A6D6-86DA-4BED-9BF1-79BAFDC6D7F5}"/>
    <cellStyle name="Style 164 2 3" xfId="2055" xr:uid="{D0A55F6F-BCCF-435D-880F-D99AE2F369EA}"/>
    <cellStyle name="Style 164 2 3 2" xfId="2056" xr:uid="{F2DCEEAA-6E72-4097-AA18-AC05832F8DEA}"/>
    <cellStyle name="Style 164 2 3 2 2" xfId="2057" xr:uid="{BDA1344C-C7E7-463D-AF5B-B2C3785F966B}"/>
    <cellStyle name="Style 164 2 3 2 2 2" xfId="9343" xr:uid="{7BA25699-2518-417B-B985-8EFF6BAAE93C}"/>
    <cellStyle name="Style 164 2 3 2 3" xfId="9344" xr:uid="{ACDF3584-72A2-455C-B31E-65CFDBCF1891}"/>
    <cellStyle name="Style 164 2 3 3" xfId="2058" xr:uid="{F179F466-B92D-4A01-B8D4-1E7A348FF297}"/>
    <cellStyle name="Style 164 2 3 3 2" xfId="9345" xr:uid="{A89E5D8C-A1A2-47D5-9CF3-D0A935B33D9F}"/>
    <cellStyle name="Style 164 2 3 4" xfId="9346" xr:uid="{B32830FA-C683-40F4-BDB5-7E7DE5D268B0}"/>
    <cellStyle name="Style 164 2 4" xfId="2059" xr:uid="{D9FB38D9-C67D-463F-84BD-E387D7E9A651}"/>
    <cellStyle name="Style 164 2 4 2" xfId="2060" xr:uid="{360857DB-26F2-4B76-ACC8-A5D9F70A1FAE}"/>
    <cellStyle name="Style 164 2 4 2 2" xfId="9347" xr:uid="{E005BC6D-9114-4E76-A2A4-A4162D0DE321}"/>
    <cellStyle name="Style 164 2 4 3" xfId="9348" xr:uid="{4244A904-318E-48C6-991E-E9EFD0FF8556}"/>
    <cellStyle name="Style 164 2 5" xfId="2061" xr:uid="{0E06C252-028B-4AEE-A368-8C0634F95ECF}"/>
    <cellStyle name="Style 164 2 5 2" xfId="9349" xr:uid="{5DACE2A9-7D88-42E8-B6CA-C8456E203A39}"/>
    <cellStyle name="Style 164 2 6" xfId="9350" xr:uid="{AB226FDE-CD31-4783-986F-F280BFA592AD}"/>
    <cellStyle name="Style 164 3" xfId="2062" xr:uid="{4FA6D4CF-2EA9-4EA8-B5D3-1F40A58A575A}"/>
    <cellStyle name="Style 164 3 2" xfId="2063" xr:uid="{9B596CD6-96B1-43E0-96DF-521C1444964B}"/>
    <cellStyle name="Style 164 3 2 2" xfId="2064" xr:uid="{7822A7AD-8866-48B9-AF03-CD7ECB076CDD}"/>
    <cellStyle name="Style 164 3 2 2 2" xfId="2065" xr:uid="{A432DA15-15D2-4A96-A7E2-05C2BF237D3A}"/>
    <cellStyle name="Style 164 3 2 2 2 2" xfId="2066" xr:uid="{D4E44D84-2F89-42D7-922C-B0EAB3D67DEA}"/>
    <cellStyle name="Style 164 3 2 2 2 2 2" xfId="9351" xr:uid="{5D8CE8BE-F48C-4910-BD44-98C4234FF2BF}"/>
    <cellStyle name="Style 164 3 2 2 2 3" xfId="9352" xr:uid="{58A66883-51B3-4C80-A23A-C9BB13022AD2}"/>
    <cellStyle name="Style 164 3 2 2 3" xfId="2067" xr:uid="{1E3F2D41-55A9-4256-874B-63A8B1983650}"/>
    <cellStyle name="Style 164 3 2 2 3 2" xfId="9353" xr:uid="{24549EEA-4C9A-45E5-97F5-58EE5A7458D9}"/>
    <cellStyle name="Style 164 3 2 2 4" xfId="9354" xr:uid="{37ABF661-D304-4CC8-AB88-0F84ED83FB7C}"/>
    <cellStyle name="Style 164 3 2 3" xfId="2068" xr:uid="{904AEC55-6570-4D1E-AB87-CC421F93BE48}"/>
    <cellStyle name="Style 164 3 2 3 2" xfId="2069" xr:uid="{D60FFBC8-91EE-4627-A0B9-13D6D3486E15}"/>
    <cellStyle name="Style 164 3 2 3 2 2" xfId="9355" xr:uid="{22CFA51D-208A-4EBE-86BB-E278563785E9}"/>
    <cellStyle name="Style 164 3 2 3 3" xfId="9356" xr:uid="{9BF7CB08-9833-4E70-A0E1-7B9858EFAAA3}"/>
    <cellStyle name="Style 164 3 2 4" xfId="2070" xr:uid="{5A37B8A8-E5B8-4A7B-9E37-CC625E9D8448}"/>
    <cellStyle name="Style 164 3 2 4 2" xfId="9357" xr:uid="{8DD41973-F1D4-42DE-92E9-AA7DA450DB08}"/>
    <cellStyle name="Style 164 3 2 5" xfId="9358" xr:uid="{1A9F37C6-B0D0-438A-8CD0-742AFA9B1787}"/>
    <cellStyle name="Style 164 3 3" xfId="2071" xr:uid="{25824B7B-6928-4735-99D1-BFE2C84E5E7A}"/>
    <cellStyle name="Style 164 3 3 2" xfId="2072" xr:uid="{D24DD0FF-C9CB-4914-BD16-1CC6DAEE78AD}"/>
    <cellStyle name="Style 164 3 3 2 2" xfId="2073" xr:uid="{9768EE00-B521-4559-A74E-3C06467B5373}"/>
    <cellStyle name="Style 164 3 3 2 2 2" xfId="2074" xr:uid="{D045B626-3E84-4243-A0E6-71FA3EEA6407}"/>
    <cellStyle name="Style 164 3 3 2 2 2 2" xfId="9359" xr:uid="{9C0747D4-6D6E-4276-BE81-1469B0C46D78}"/>
    <cellStyle name="Style 164 3 3 2 2 3" xfId="9360" xr:uid="{82C6F81B-7499-46F6-8DC4-6045BB250889}"/>
    <cellStyle name="Style 164 3 3 2 3" xfId="2075" xr:uid="{913A7A74-D85D-4171-8DB6-178DD8F43236}"/>
    <cellStyle name="Style 164 3 3 2 3 2" xfId="9361" xr:uid="{7448C886-D4C7-49F1-863B-DEF2C8E088D9}"/>
    <cellStyle name="Style 164 3 3 2 4" xfId="9362" xr:uid="{A3EE2091-DD8F-42E8-9BFE-9F5A6DEC38B2}"/>
    <cellStyle name="Style 164 3 3 3" xfId="2076" xr:uid="{0A334E5C-DB02-453E-BF63-9D49D43DEB34}"/>
    <cellStyle name="Style 164 3 3 3 2" xfId="9363" xr:uid="{BE678106-8D49-46D7-9D15-E74A1B7D420A}"/>
    <cellStyle name="Style 164 3 3 4" xfId="5962" xr:uid="{9334D255-9E14-4DC9-9900-F77C69DE3B81}"/>
    <cellStyle name="Style 164 3 3 5" xfId="9364" xr:uid="{84BE133D-C61F-4F03-8AD1-63BCE653EA27}"/>
    <cellStyle name="Style 164 3 4" xfId="2077" xr:uid="{6C30D18E-FB4A-40EF-9E0B-39161D226708}"/>
    <cellStyle name="Style 164 3 4 2" xfId="2078" xr:uid="{72131DD2-B7B8-4B7B-96E9-68E06E302352}"/>
    <cellStyle name="Style 164 3 4 2 2" xfId="9365" xr:uid="{99A4D0C4-C886-468A-9225-8EA2A3041637}"/>
    <cellStyle name="Style 164 3 4 3" xfId="9366" xr:uid="{74069061-87EB-4E6C-98DC-45C6DA57B910}"/>
    <cellStyle name="Style 164 3 5" xfId="2079" xr:uid="{EECF9B7A-B1E3-4DD1-A9AE-ED0336FECADD}"/>
    <cellStyle name="Style 164 3 5 2" xfId="9367" xr:uid="{0A5DB774-AC6C-4E86-9A45-8B635EB3632C}"/>
    <cellStyle name="Style 164 3 6" xfId="9368" xr:uid="{819657F9-C646-4E99-A8CF-608DBAF8A6A2}"/>
    <cellStyle name="Style 164 4" xfId="2080" xr:uid="{8958216C-CA60-40B1-8FB6-D2507A5A3F76}"/>
    <cellStyle name="Style 164 4 2" xfId="2081" xr:uid="{6F784ED0-D405-49E4-B53A-1097964DDE11}"/>
    <cellStyle name="Style 164 4 2 2" xfId="2082" xr:uid="{796CD386-DB18-4D5D-AC15-13F37919E7EA}"/>
    <cellStyle name="Style 164 4 2 2 2" xfId="2083" xr:uid="{3A62A99A-F461-4B0B-B38D-8AB217D77BAC}"/>
    <cellStyle name="Style 164 4 2 2 2 2" xfId="9369" xr:uid="{0D40BDDF-D79F-482A-BD32-22F0E5CE5D96}"/>
    <cellStyle name="Style 164 4 2 2 3" xfId="9370" xr:uid="{EB10D7FD-2D58-4D04-84BC-6E5804D7AF62}"/>
    <cellStyle name="Style 164 4 2 3" xfId="2084" xr:uid="{4315B683-D478-421A-AB58-01B9387B4F0A}"/>
    <cellStyle name="Style 164 4 2 3 2" xfId="9371" xr:uid="{B647EEA4-C2DB-4B40-B0ED-C5CB6FC42DED}"/>
    <cellStyle name="Style 164 4 2 4" xfId="9372" xr:uid="{E6D9447A-688F-415B-AAE7-FBFD8FD3EAF5}"/>
    <cellStyle name="Style 164 4 3" xfId="2085" xr:uid="{2F7102FA-CC83-41EB-8FAA-8569B7EDC22D}"/>
    <cellStyle name="Style 164 4 3 2" xfId="9373" xr:uid="{3FAF233E-88A0-4009-8A19-E83C9AA6C931}"/>
    <cellStyle name="Style 164 4 4" xfId="5963" xr:uid="{C31136E0-C92F-41C9-8D83-4D2BE6B95DEB}"/>
    <cellStyle name="Style 164 4 5" xfId="9374" xr:uid="{E251EEBA-77D8-471D-B6E6-36539FDCA548}"/>
    <cellStyle name="Style 164 5" xfId="2086" xr:uid="{9F5E2F5C-A4BE-4F70-A608-BB4CCCFB9275}"/>
    <cellStyle name="Style 164 5 2" xfId="2087" xr:uid="{87A32104-DF7A-47DF-9F4C-71A9D5170F7B}"/>
    <cellStyle name="Style 164 5 2 2" xfId="9375" xr:uid="{761737DA-80FE-4B26-87A6-9E7CC19136F6}"/>
    <cellStyle name="Style 164 5 3" xfId="9376" xr:uid="{652DDEFE-3120-4C1E-B01D-9074FF87AC08}"/>
    <cellStyle name="Style 164 6" xfId="2088" xr:uid="{6119987D-1952-45FD-91E9-1F0D6E9643BA}"/>
    <cellStyle name="Style 164 6 2" xfId="4131" xr:uid="{FACBFF06-A5E4-4751-A8C7-4FF3BA5F5576}"/>
    <cellStyle name="Style 164 6 2 2" xfId="5964" xr:uid="{D9A0F5CF-6672-402D-9EC0-7CB0C4F2F2C9}"/>
    <cellStyle name="Style 164 6 3" xfId="9377" xr:uid="{F7E4D33D-8831-4DC1-A150-C33472082437}"/>
    <cellStyle name="Style 164 7" xfId="4130" xr:uid="{B463FDCB-1158-41C9-B27D-EA0686D921C6}"/>
    <cellStyle name="Style 164 7 2" xfId="5966" xr:uid="{E12CBFFD-32FF-4484-AA08-CEA9151F39B7}"/>
    <cellStyle name="Style 164 7 3" xfId="5965" xr:uid="{F8F1A91E-6905-407F-839A-FD72FCEF9BFA}"/>
    <cellStyle name="Style 164 8" xfId="5967" xr:uid="{D9706E13-3873-436D-A58A-7447A7FB2312}"/>
    <cellStyle name="Style 164 9" xfId="9378" xr:uid="{040C936E-758C-4D83-9CFB-E691BD02E26A}"/>
    <cellStyle name="Style 164 9 2" xfId="26608" xr:uid="{4C86284F-2723-4684-9259-464FFED657E6}"/>
    <cellStyle name="Style 164_ADDON" xfId="25782" xr:uid="{1416B475-EDC4-4B4E-87A0-5E13F26A53C1}"/>
    <cellStyle name="Style 165" xfId="2089" xr:uid="{CA6B38DC-B4DE-4991-A2FC-36A4D5E0E8AD}"/>
    <cellStyle name="Style 165 2" xfId="2090" xr:uid="{7AC0EBD0-4176-459D-9BE7-B293DBCD3E4E}"/>
    <cellStyle name="Style 165 2 2" xfId="2091" xr:uid="{C1F4E108-7F95-4BB3-B916-CE219F34FAF5}"/>
    <cellStyle name="Style 165 2 2 2" xfId="2092" xr:uid="{2BED1E4D-EE4B-4010-93D3-7C04846B0FAB}"/>
    <cellStyle name="Style 165 2 2 2 2" xfId="2093" xr:uid="{BB2CCF48-E846-4AA4-80F4-155EF9845BB2}"/>
    <cellStyle name="Style 165 2 2 2 2 2" xfId="2094" xr:uid="{94622992-E94F-4A66-A9A9-50209096AEC8}"/>
    <cellStyle name="Style 165 2 2 2 2 2 2" xfId="9379" xr:uid="{D1AFACC0-ED24-4C93-A00C-E1684A719912}"/>
    <cellStyle name="Style 165 2 2 2 2 3" xfId="9380" xr:uid="{3F2C8F54-7605-42C4-9784-F794BEA665C5}"/>
    <cellStyle name="Style 165 2 2 2 3" xfId="2095" xr:uid="{44E5E9D1-0A78-4535-B33C-EFFC85DC179B}"/>
    <cellStyle name="Style 165 2 2 2 3 2" xfId="9381" xr:uid="{009007EA-4F47-4118-BBCA-1E7BB8CBD632}"/>
    <cellStyle name="Style 165 2 2 2 4" xfId="9382" xr:uid="{AAF4D8E6-4114-4EB8-9819-327D36DCF4A5}"/>
    <cellStyle name="Style 165 2 2 3" xfId="2096" xr:uid="{0467C31D-BEC3-4836-B501-A9CC8CA302CA}"/>
    <cellStyle name="Style 165 2 2 3 2" xfId="2097" xr:uid="{83C5EE6C-DD22-48B1-B245-97EA633518CC}"/>
    <cellStyle name="Style 165 2 2 3 2 2" xfId="9383" xr:uid="{DBB1648B-9841-470D-921C-1F69ABD0FDBB}"/>
    <cellStyle name="Style 165 2 2 3 3" xfId="9384" xr:uid="{C79A7044-D43A-48E6-BAA0-43BF57571926}"/>
    <cellStyle name="Style 165 2 2 4" xfId="2098" xr:uid="{39B51034-E609-44A6-9F41-F985DEB8831F}"/>
    <cellStyle name="Style 165 2 2 4 2" xfId="9385" xr:uid="{D12BC276-C8FD-42F5-AC76-02AA8185C990}"/>
    <cellStyle name="Style 165 2 2 5" xfId="9386" xr:uid="{2A1DC194-0417-4812-8B8D-B73819B301B2}"/>
    <cellStyle name="Style 165 2 3" xfId="2099" xr:uid="{C991437B-C4F8-4539-A513-718841693592}"/>
    <cellStyle name="Style 165 2 3 2" xfId="2100" xr:uid="{B4BBB32C-64A4-4BD9-9013-6A364156C83C}"/>
    <cellStyle name="Style 165 2 3 2 2" xfId="2101" xr:uid="{49397B5D-3718-4CA8-88A5-F0518FC954DD}"/>
    <cellStyle name="Style 165 2 3 2 2 2" xfId="9387" xr:uid="{5F455112-072C-45CA-AE54-8DF5D960C349}"/>
    <cellStyle name="Style 165 2 3 2 3" xfId="9388" xr:uid="{D80CA032-EADA-48BC-ADCE-D66F9DCBE5ED}"/>
    <cellStyle name="Style 165 2 3 3" xfId="2102" xr:uid="{9A58D5CF-A91B-49B8-B0D3-6B290637D44A}"/>
    <cellStyle name="Style 165 2 3 3 2" xfId="9389" xr:uid="{40ED2896-6A4B-4148-8167-87DAAAEDBD1A}"/>
    <cellStyle name="Style 165 2 3 4" xfId="9390" xr:uid="{23E42406-419C-462C-BB7E-1E580BEF8477}"/>
    <cellStyle name="Style 165 2 4" xfId="2103" xr:uid="{B6A4BB15-5001-4675-ABD5-40AD24364361}"/>
    <cellStyle name="Style 165 2 4 2" xfId="2104" xr:uid="{A4AFB457-27C1-4023-9F3F-90C047846C7B}"/>
    <cellStyle name="Style 165 2 4 2 2" xfId="9391" xr:uid="{9469367F-7F70-4AE3-9053-CA8B20E33C5F}"/>
    <cellStyle name="Style 165 2 4 3" xfId="9392" xr:uid="{3F382E95-2355-44F1-97A5-B174F7964A9B}"/>
    <cellStyle name="Style 165 2 5" xfId="2105" xr:uid="{6F0B15B8-47F6-4637-829A-8AEADB7FA6A9}"/>
    <cellStyle name="Style 165 2 5 2" xfId="9393" xr:uid="{A54CC6F0-FFA2-4F66-9309-B587586173CB}"/>
    <cellStyle name="Style 165 2 6" xfId="9394" xr:uid="{B954B9E2-C72D-4153-99A5-764E5AC069D2}"/>
    <cellStyle name="Style 165 3" xfId="2106" xr:uid="{36671341-34E5-48B4-B922-5769A186D534}"/>
    <cellStyle name="Style 165 3 2" xfId="2107" xr:uid="{A2DC37EF-BFC3-45F1-847F-DA888C15AFD1}"/>
    <cellStyle name="Style 165 3 2 2" xfId="2108" xr:uid="{97E203B3-359A-472E-B945-588B09C575DE}"/>
    <cellStyle name="Style 165 3 2 2 2" xfId="2109" xr:uid="{BB5947B9-2AAF-4D05-9753-9829DE29DF79}"/>
    <cellStyle name="Style 165 3 2 2 2 2" xfId="2110" xr:uid="{B72D3421-9412-47D2-822D-F4E7B996FAC6}"/>
    <cellStyle name="Style 165 3 2 2 2 2 2" xfId="9395" xr:uid="{0C3C7C26-E08C-4A7E-99C8-3A01C5618481}"/>
    <cellStyle name="Style 165 3 2 2 2 3" xfId="9396" xr:uid="{A9875FA0-BAAD-4136-9171-C05686B07B7A}"/>
    <cellStyle name="Style 165 3 2 2 3" xfId="2111" xr:uid="{EC9B7E3B-E6C0-4CA4-A8A9-0AA120ECA245}"/>
    <cellStyle name="Style 165 3 2 2 3 2" xfId="9397" xr:uid="{4F629285-23CD-4477-9661-C973C5F8CF27}"/>
    <cellStyle name="Style 165 3 2 2 4" xfId="9398" xr:uid="{7B07EA14-2F93-4C5E-A677-6DF196BE5EB5}"/>
    <cellStyle name="Style 165 3 2 3" xfId="2112" xr:uid="{5A5B0C69-813D-4566-A940-0517CF1DA326}"/>
    <cellStyle name="Style 165 3 2 3 2" xfId="2113" xr:uid="{2369DFD1-93E1-497B-ABE0-08FDA409306C}"/>
    <cellStyle name="Style 165 3 2 3 2 2" xfId="9399" xr:uid="{A991CE57-195B-492F-BBF0-FAE183C44C06}"/>
    <cellStyle name="Style 165 3 2 3 3" xfId="9400" xr:uid="{EA95D4DA-B02F-427E-B0D2-27FEB14A0675}"/>
    <cellStyle name="Style 165 3 2 4" xfId="2114" xr:uid="{31D7F24A-978E-4D1B-962B-A2F8468B4957}"/>
    <cellStyle name="Style 165 3 2 4 2" xfId="9401" xr:uid="{F28E1799-B3C3-44E9-8978-916DF7030F12}"/>
    <cellStyle name="Style 165 3 2 5" xfId="9402" xr:uid="{67779657-4F08-4CD1-A32D-23E8BFF3E8BA}"/>
    <cellStyle name="Style 165 3 3" xfId="2115" xr:uid="{0F9F5446-EF9B-4261-B005-A13F3DF44458}"/>
    <cellStyle name="Style 165 3 3 2" xfId="2116" xr:uid="{4184CD85-F7D6-4732-9F00-9BD612C9F712}"/>
    <cellStyle name="Style 165 3 3 2 2" xfId="2117" xr:uid="{0718127E-6C58-461B-B41F-4886624879B6}"/>
    <cellStyle name="Style 165 3 3 2 2 2" xfId="2118" xr:uid="{6D6B5064-0689-4DDC-A519-02865FC456D8}"/>
    <cellStyle name="Style 165 3 3 2 2 2 2" xfId="9403" xr:uid="{562C6028-B649-40DF-913C-824AC7CF487F}"/>
    <cellStyle name="Style 165 3 3 2 2 3" xfId="9404" xr:uid="{40401125-D285-4EAC-860D-76F096995A2E}"/>
    <cellStyle name="Style 165 3 3 2 3" xfId="2119" xr:uid="{05019CCF-9C09-48AF-ACFD-3B5CD2D1A1A8}"/>
    <cellStyle name="Style 165 3 3 2 3 2" xfId="9405" xr:uid="{0D8721C4-185D-4CE7-9CAA-973CC5C6EFA3}"/>
    <cellStyle name="Style 165 3 3 2 4" xfId="9406" xr:uid="{C00FF9B6-A962-4B6B-B82D-9AB57E9D2F23}"/>
    <cellStyle name="Style 165 3 3 3" xfId="2120" xr:uid="{75BF349C-8862-4825-945D-DE33FC11B4EA}"/>
    <cellStyle name="Style 165 3 3 3 2" xfId="9407" xr:uid="{EE1AF5FA-F194-4488-8C71-FCD821EA3F71}"/>
    <cellStyle name="Style 165 3 3 4" xfId="5968" xr:uid="{A7A40AC6-BDCA-451E-A245-47DF4CFA757E}"/>
    <cellStyle name="Style 165 3 3 5" xfId="9408" xr:uid="{9EBD41BC-D0E0-4CA0-88E2-63796970166B}"/>
    <cellStyle name="Style 165 3 4" xfId="2121" xr:uid="{19F67942-BD12-4B16-B555-9140459322D2}"/>
    <cellStyle name="Style 165 3 4 2" xfId="2122" xr:uid="{DA0B44AE-E675-432C-815E-80328C1265B7}"/>
    <cellStyle name="Style 165 3 4 2 2" xfId="9409" xr:uid="{92C66D0F-DCA4-434C-AFDC-F8B6998FA12C}"/>
    <cellStyle name="Style 165 3 4 3" xfId="9410" xr:uid="{F48C42F5-20DF-48AD-94C7-74D14C099223}"/>
    <cellStyle name="Style 165 3 5" xfId="2123" xr:uid="{88916CAF-FE61-44BA-885B-608CFD3AEB0C}"/>
    <cellStyle name="Style 165 3 5 2" xfId="9411" xr:uid="{100FC0F0-80EB-4622-A6B9-891938D34A91}"/>
    <cellStyle name="Style 165 3 6" xfId="9412" xr:uid="{E8CF8C03-7BEA-42A7-AB5A-C83E45685C60}"/>
    <cellStyle name="Style 165 4" xfId="2124" xr:uid="{67EFCC34-63CE-4812-8BC6-75028A672974}"/>
    <cellStyle name="Style 165 4 2" xfId="2125" xr:uid="{AA9EEE4C-157D-4425-9549-3AAD8EFCA873}"/>
    <cellStyle name="Style 165 4 2 2" xfId="2126" xr:uid="{25D5D859-5C44-46E1-97FE-ED1E0FE1B2E5}"/>
    <cellStyle name="Style 165 4 2 2 2" xfId="2127" xr:uid="{25CACA14-C598-4894-8DD8-565788EFF00E}"/>
    <cellStyle name="Style 165 4 2 2 2 2" xfId="9413" xr:uid="{ED50702A-F86C-47F9-BB57-EB178D47A136}"/>
    <cellStyle name="Style 165 4 2 2 3" xfId="9414" xr:uid="{43651BE5-0CF2-4DFC-95A7-8657E5BD75FD}"/>
    <cellStyle name="Style 165 4 2 3" xfId="2128" xr:uid="{793C2DC7-3E0B-431E-8F57-D11F0502572F}"/>
    <cellStyle name="Style 165 4 2 3 2" xfId="9415" xr:uid="{2145EA6D-1840-42F5-9104-ECAECAF52A55}"/>
    <cellStyle name="Style 165 4 2 4" xfId="9416" xr:uid="{F75F8C02-2551-4110-B97F-78DF3F7175C0}"/>
    <cellStyle name="Style 165 4 3" xfId="2129" xr:uid="{DC1465E1-D655-4263-A2F9-BA9EC027142F}"/>
    <cellStyle name="Style 165 4 3 2" xfId="9417" xr:uid="{A00AED51-522F-45BE-9298-2E520F130B0A}"/>
    <cellStyle name="Style 165 4 4" xfId="5969" xr:uid="{9A87DD6A-FDD8-4EC4-91FE-BBB98BAC87D7}"/>
    <cellStyle name="Style 165 4 5" xfId="9418" xr:uid="{3779029F-47AF-422A-B748-B9337ACF1C03}"/>
    <cellStyle name="Style 165 5" xfId="2130" xr:uid="{F7AC049F-FAB1-4429-92E5-317CB1471F89}"/>
    <cellStyle name="Style 165 5 2" xfId="2131" xr:uid="{724901EC-0F25-4695-B416-B4990A4DD326}"/>
    <cellStyle name="Style 165 5 2 2" xfId="9419" xr:uid="{6347DAF9-C4EC-4DAC-AA17-94C6575C9C5F}"/>
    <cellStyle name="Style 165 5 3" xfId="9420" xr:uid="{6222FDE5-0140-4B17-AE63-1ECD54863CCB}"/>
    <cellStyle name="Style 165 6" xfId="2132" xr:uid="{63823079-6CDF-4FA3-9DBB-E1187F03B83F}"/>
    <cellStyle name="Style 165 6 2" xfId="4133" xr:uid="{A6C97B75-A724-424A-9FBA-B7C5CF95CC09}"/>
    <cellStyle name="Style 165 6 2 2" xfId="5970" xr:uid="{C4B1AF5A-AD4F-4563-A753-9F86FAB57D8A}"/>
    <cellStyle name="Style 165 6 3" xfId="9421" xr:uid="{9AD68A9E-46EF-4DFB-B666-2ADE1E0C3665}"/>
    <cellStyle name="Style 165 7" xfId="4132" xr:uid="{D433ED71-199E-477F-9982-81DF9532AE4D}"/>
    <cellStyle name="Style 165 7 2" xfId="5972" xr:uid="{2221CC1F-F115-483A-9635-EE36CCBE2C24}"/>
    <cellStyle name="Style 165 7 3" xfId="5971" xr:uid="{FDC5BEE4-0858-468E-849A-B6A37688A76B}"/>
    <cellStyle name="Style 165 8" xfId="5973" xr:uid="{220A9ED0-51FB-4E78-8A11-569D1C2CF7DB}"/>
    <cellStyle name="Style 165 9" xfId="9422" xr:uid="{81E42C64-29DB-481E-80A4-07D4B365B2C4}"/>
    <cellStyle name="Style 165 9 2" xfId="26609" xr:uid="{EF44D76D-7F47-4176-8C44-E9173B6FA70E}"/>
    <cellStyle name="Style 165_ADDON" xfId="25783" xr:uid="{122E27AD-73F7-4305-A118-E177A96C2FE5}"/>
    <cellStyle name="Style 21" xfId="2133" xr:uid="{A12921B0-DD3F-466E-99DD-9146FEE76203}"/>
    <cellStyle name="Style 21 10" xfId="2134" xr:uid="{5325E803-9D21-45E1-9AA4-E3AD147F2C7B}"/>
    <cellStyle name="Style 21 10 2" xfId="2135" xr:uid="{E05E3EF6-FF5C-418C-A7D9-7A3396B2C15B}"/>
    <cellStyle name="Style 21 10 2 2" xfId="5974" xr:uid="{6C093D26-ACDD-43F9-AA7B-3729ADD46436}"/>
    <cellStyle name="Style 21 10 2 2 2" xfId="27489" xr:uid="{88F204C5-4BE1-4D4A-A0DF-16B877635E73}"/>
    <cellStyle name="Style 21 10 2 3" xfId="24620" xr:uid="{CE39A4B4-5F68-4EE5-BBC4-85BDA8938B33}"/>
    <cellStyle name="Style 21 10 3" xfId="4134" xr:uid="{E19B7349-A79B-4A19-BED1-D6C15BFC652C}"/>
    <cellStyle name="Style 21 10 3 2" xfId="27488" xr:uid="{63B7E8BE-594C-47B7-A17D-8F2E1707856B}"/>
    <cellStyle name="Style 21 10 4" xfId="23304" xr:uid="{B52245BF-D9AE-4D09-BDB2-C697972063AB}"/>
    <cellStyle name="Style 21 11" xfId="2136" xr:uid="{B4F73DB0-B4EB-4C65-A184-AA3F03336ED1}"/>
    <cellStyle name="Style 21 11 2" xfId="2137" xr:uid="{317AF2C0-882D-43E0-BD4C-8591A9846E4F}"/>
    <cellStyle name="Style 21 11 2 2" xfId="5976" xr:uid="{3424FA09-8FA1-4D2F-A599-D9540904B0A4}"/>
    <cellStyle name="Style 21 11 2 2 2" xfId="27491" xr:uid="{5CFA45C1-A05C-4DB8-8DB0-1D629C2AC2C0}"/>
    <cellStyle name="Style 21 11 2 3" xfId="24621" xr:uid="{34F69503-A8B0-47D3-913D-9F8CF7DB008D}"/>
    <cellStyle name="Style 21 11 3" xfId="5975" xr:uid="{0AE6B419-4959-4EB9-8250-2E78C8B5BD76}"/>
    <cellStyle name="Style 21 11 3 2" xfId="27490" xr:uid="{B6797A4C-2688-4B6E-9BF6-3ED1333175CA}"/>
    <cellStyle name="Style 21 11 4" xfId="23305" xr:uid="{7D0F9527-4642-4ADA-B971-7391450FAA54}"/>
    <cellStyle name="Style 21 12" xfId="2138" xr:uid="{568E5DB6-4F2C-4D03-89EA-7F79422C82A0}"/>
    <cellStyle name="Style 21 12 2" xfId="5977" xr:uid="{B668DA2B-6567-4036-AD77-9FFDEDF23623}"/>
    <cellStyle name="Style 21 12 2 2" xfId="27492" xr:uid="{1D384588-BE9F-4179-A8BF-E13B4EA1D313}"/>
    <cellStyle name="Style 21 12 3" xfId="9423" xr:uid="{A7068E57-3301-40E8-A14E-E6AAC77931D3}"/>
    <cellStyle name="Style 21 12 3 2" xfId="28934" xr:uid="{328D9102-8ABD-43D4-B9D6-24BED4732CFB}"/>
    <cellStyle name="Style 21 12 4" xfId="9424" xr:uid="{3148CDC7-71C0-425D-99DD-DBEC325A6BF5}"/>
    <cellStyle name="Style 21 12 4 2" xfId="28935" xr:uid="{F0A2162C-02FA-4E84-B85A-9EEF4730FDBF}"/>
    <cellStyle name="Style 21 12 5" xfId="9425" xr:uid="{9C868401-8BB9-40C4-93AE-2D79AAB0C95E}"/>
    <cellStyle name="Style 21 12 5 2" xfId="28936" xr:uid="{81DEAA86-954E-4063-B4CF-5B8CE7AC74D2}"/>
    <cellStyle name="Style 21 12 6" xfId="9426" xr:uid="{56D8EE7D-825A-4617-A2C6-FDEEDCB71ACF}"/>
    <cellStyle name="Style 21 12 6 2" xfId="28937" xr:uid="{907E739C-6583-412F-A7AD-0DF687BB654A}"/>
    <cellStyle name="Style 21 12 7" xfId="24622" xr:uid="{D61F1D78-F7FE-4C09-AB02-DD108476A150}"/>
    <cellStyle name="Style 21 13" xfId="9427" xr:uid="{0B75CCB2-7102-4EF0-920B-E6B26CD10262}"/>
    <cellStyle name="Style 21 13 2" xfId="9428" xr:uid="{CFDA00BA-771B-43F6-B489-A406E87C19F8}"/>
    <cellStyle name="Style 21 13 2 2" xfId="28938" xr:uid="{C1D284A7-405D-48B4-81C5-DBB617C8AACD}"/>
    <cellStyle name="Style 21 13 3" xfId="9429" xr:uid="{01020B74-5D9A-454E-AA38-C974721B9115}"/>
    <cellStyle name="Style 21 13 3 2" xfId="28939" xr:uid="{40215DFE-33E7-4E24-9BFA-FBAB1EEF0A83}"/>
    <cellStyle name="Style 21 13 4" xfId="26610" xr:uid="{D7C32BE8-C535-4E41-B5D3-CB3434D37380}"/>
    <cellStyle name="Style 21 14" xfId="9430" xr:uid="{EADB2F49-7A04-44B7-AC9E-295394479F26}"/>
    <cellStyle name="Style 21 14 2" xfId="9431" xr:uid="{C4C95380-E831-4F4B-9994-A4606133E830}"/>
    <cellStyle name="Style 21 14 2 2" xfId="28941" xr:uid="{E827976D-D0F3-4C11-B2D4-6F738AA91805}"/>
    <cellStyle name="Style 21 14 3" xfId="28940" xr:uid="{D4126C63-4766-4EC9-9716-5EE0448C3914}"/>
    <cellStyle name="Style 21 15" xfId="9432" xr:uid="{1581FAFB-C024-4FFC-8E63-0434C79ED996}"/>
    <cellStyle name="Style 21 15 2" xfId="9433" xr:uid="{535CEC86-A088-4F08-AA2B-C165B3467E05}"/>
    <cellStyle name="Style 21 15 2 2" xfId="28943" xr:uid="{1D75A1F9-330C-48F1-9CE9-1627AD12F4A8}"/>
    <cellStyle name="Style 21 15 3" xfId="28942" xr:uid="{F6B74A09-B264-4CD0-B618-4ED5F3DBECFD}"/>
    <cellStyle name="Style 21 16" xfId="23303" xr:uid="{8C382B82-8517-48F6-84CD-F42B7C7889FD}"/>
    <cellStyle name="Style 21 2" xfId="2139" xr:uid="{59C0B0D1-6EAE-44C2-AB8A-5AEC48025B7E}"/>
    <cellStyle name="Style 21 2 2" xfId="4385" xr:uid="{5154D666-015F-4888-BCC7-A003C4F7F235}"/>
    <cellStyle name="Style 21 2 2 2" xfId="26611" xr:uid="{0219785B-8A0F-4676-B439-16F7BF32C517}"/>
    <cellStyle name="Style 21 2 3" xfId="23306" xr:uid="{2247A209-970D-445A-87A8-7F754F894068}"/>
    <cellStyle name="Style 21 3" xfId="2140" xr:uid="{80798C98-B286-4F2A-92C5-070AD3B2648A}"/>
    <cellStyle name="Style 21 3 2" xfId="2141" xr:uid="{2F906B2C-0DA1-4FE8-A83D-E645CD124F4A}"/>
    <cellStyle name="Style 21 3 2 2" xfId="2142" xr:uid="{17288955-E0A5-4283-8E11-761543D67633}"/>
    <cellStyle name="Style 21 3 2 2 2" xfId="5978" xr:uid="{1C789771-1C83-42B8-8399-026975B0B365}"/>
    <cellStyle name="Style 21 3 2 2 2 2" xfId="27493" xr:uid="{92A6DEE7-FE8C-4035-8035-AEC2924D3BEE}"/>
    <cellStyle name="Style 21 3 2 2 3" xfId="23309" xr:uid="{43772A36-6D6C-445D-B955-C467285322E7}"/>
    <cellStyle name="Style 21 3 2 3" xfId="4387" xr:uid="{4A6C0B1F-ADC2-4F4A-B353-4AAA48632EA6}"/>
    <cellStyle name="Style 21 3 2 3 2" xfId="26613" xr:uid="{EF3F2302-7744-496E-975E-34D6E20843C3}"/>
    <cellStyle name="Style 21 3 2 4" xfId="23308" xr:uid="{C6EA8B6F-369E-44BF-B1FB-724863DBE362}"/>
    <cellStyle name="Style 21 3 3" xfId="2143" xr:uid="{B6FC5D42-5096-4381-A51E-CF817FF3A0CE}"/>
    <cellStyle name="Style 21 3 3 2" xfId="2144" xr:uid="{82148D21-E959-46F5-B73E-03ED4F7C044B}"/>
    <cellStyle name="Style 21 3 3 2 2" xfId="5980" xr:uid="{6CE61AFD-0FA5-49A5-B571-CEB5BAA0CE7B}"/>
    <cellStyle name="Style 21 3 3 2 2 2" xfId="27495" xr:uid="{3EFEDD07-2A1F-4FB5-8847-27310E9A2726}"/>
    <cellStyle name="Style 21 3 3 2 3" xfId="23311" xr:uid="{DED2071A-1F30-44AF-A23B-80298856570A}"/>
    <cellStyle name="Style 21 3 3 3" xfId="2145" xr:uid="{2696CF5B-4DBC-4FF8-9A21-2CE51B32ABA8}"/>
    <cellStyle name="Style 21 3 3 3 2" xfId="2146" xr:uid="{D3D0C19E-1C8F-4040-BBBB-1CD4C0DCEC99}"/>
    <cellStyle name="Style 21 3 3 3 2 2" xfId="5982" xr:uid="{8C9B40B4-2A52-401A-B124-D9B0CF62ECC2}"/>
    <cellStyle name="Style 21 3 3 3 2 2 2" xfId="27497" xr:uid="{D0BA000A-9FC1-4B0E-B0DE-E8BBED65A62C}"/>
    <cellStyle name="Style 21 3 3 3 2 3" xfId="23313" xr:uid="{06B3FD53-FF4B-463B-9D7A-CF6DBCAF2827}"/>
    <cellStyle name="Style 21 3 3 3 3" xfId="5983" xr:uid="{358168AC-51C9-4322-8AA3-4EFCA90472CE}"/>
    <cellStyle name="Style 21 3 3 3 3 2" xfId="23314" xr:uid="{231DDF26-1371-4E23-B0A0-5933731A8D59}"/>
    <cellStyle name="Style 21 3 3 3 4" xfId="5984" xr:uid="{71DD5955-1280-472D-9835-C68F7FF31490}"/>
    <cellStyle name="Style 21 3 3 3 4 2" xfId="24623" xr:uid="{49D54AFD-1806-4B78-BF85-132D45A5AC69}"/>
    <cellStyle name="Style 21 3 3 3 5" xfId="5981" xr:uid="{2C22DD87-BFC8-46C4-AB22-8673A6CAF411}"/>
    <cellStyle name="Style 21 3 3 3 5 2" xfId="27496" xr:uid="{3CFA9AF2-0E6F-4EEF-AE72-A18C1DFB3A35}"/>
    <cellStyle name="Style 21 3 3 3 6" xfId="23312" xr:uid="{88651FD9-78DA-423F-A643-DA4E499CA471}"/>
    <cellStyle name="Style 21 3 3 4" xfId="2147" xr:uid="{F91A6173-7781-4F14-8320-AF05A0C57F30}"/>
    <cellStyle name="Style 21 3 3 4 2" xfId="2148" xr:uid="{027E4CBD-7E88-4A0B-90DB-E5AEF46B30F3}"/>
    <cellStyle name="Style 21 3 3 4 2 2" xfId="5986" xr:uid="{F0AE5BAA-6246-49A6-BC36-D7F8EB2FDF5E}"/>
    <cellStyle name="Style 21 3 3 4 2 2 2" xfId="27499" xr:uid="{33DAF02D-5A54-40E6-B124-8307FC53DDDD}"/>
    <cellStyle name="Style 21 3 3 4 2 3" xfId="23316" xr:uid="{5EE4D9C4-CFCF-49C1-85A3-564B7ED8C27D}"/>
    <cellStyle name="Style 21 3 3 4 3" xfId="5985" xr:uid="{BBE56ED8-ADBF-48E5-9A17-F6182956CB2F}"/>
    <cellStyle name="Style 21 3 3 4 3 2" xfId="27498" xr:uid="{5899D902-122B-4EBF-8D84-C1040C292267}"/>
    <cellStyle name="Style 21 3 3 4 4" xfId="23315" xr:uid="{BCE22760-DAEC-4143-9FAD-D361930EF469}"/>
    <cellStyle name="Style 21 3 3 5" xfId="5987" xr:uid="{EEFA9B4C-7750-4464-991A-5004D42B15B5}"/>
    <cellStyle name="Style 21 3 3 5 2" xfId="24624" xr:uid="{25C21ECD-CEF2-4C22-8E47-4722E44346BA}"/>
    <cellStyle name="Style 21 3 3 6" xfId="5979" xr:uid="{04E150E6-B813-478A-A976-00F590B3AEC5}"/>
    <cellStyle name="Style 21 3 3 6 2" xfId="27494" xr:uid="{4561C679-69B9-4F92-944B-602FC1B40295}"/>
    <cellStyle name="Style 21 3 3 7" xfId="23310" xr:uid="{036E2EC2-E936-493E-8071-BCA1359839E0}"/>
    <cellStyle name="Style 21 3 4" xfId="2149" xr:uid="{471AB88B-CAB7-4D73-A887-E297348D5201}"/>
    <cellStyle name="Style 21 3 4 2" xfId="5989" xr:uid="{381F53D2-C54C-4DA9-8DED-2D90D75D49A4}"/>
    <cellStyle name="Style 21 3 4 2 2" xfId="23318" xr:uid="{EF494B40-68A7-4685-8DF6-5200657F6ACA}"/>
    <cellStyle name="Style 21 3 4 3" xfId="5990" xr:uid="{977F9318-9580-458A-9B74-1B3243DDD3B4}"/>
    <cellStyle name="Style 21 3 4 3 2" xfId="24625" xr:uid="{831B1BD7-9A42-40EA-ADD7-A3CB2AC01022}"/>
    <cellStyle name="Style 21 3 4 4" xfId="5988" xr:uid="{E3FCF6AB-9195-4837-8FB4-8EEAAA870601}"/>
    <cellStyle name="Style 21 3 4 4 2" xfId="27500" xr:uid="{7B2CB2A9-5670-454C-B4E3-186551F800AA}"/>
    <cellStyle name="Style 21 3 4 5" xfId="23317" xr:uid="{BEC35A00-B064-4B27-BEE7-4754E4299EE6}"/>
    <cellStyle name="Style 21 3 5" xfId="5991" xr:uid="{AEF3EDC9-D728-4CA8-A8C3-5EDE24FCB7B1}"/>
    <cellStyle name="Style 21 3 5 2" xfId="9434" xr:uid="{D2EDC1D5-F2AF-42B0-8D1C-D07100A70602}"/>
    <cellStyle name="Style 21 3 5 2 2" xfId="27501" xr:uid="{A2508EB1-9DED-4B55-985E-64B731A1AD5B}"/>
    <cellStyle name="Style 21 3 5 3" xfId="23319" xr:uid="{749DA4D6-6C62-43F9-B436-14D175D58ECD}"/>
    <cellStyle name="Style 21 3 6" xfId="4386" xr:uid="{798B2E3D-32FF-49D1-A2C3-010B9CA24E78}"/>
    <cellStyle name="Style 21 3 6 2" xfId="26612" xr:uid="{A68843DB-4F88-4015-987B-DF77EE70FEF8}"/>
    <cellStyle name="Style 21 3 7" xfId="23307" xr:uid="{A3E17AC2-85F8-4003-BD11-FCA8F809A1D1}"/>
    <cellStyle name="Style 21 4" xfId="2150" xr:uid="{8D1D96D0-6E1A-4A86-A970-81AAEA315FAD}"/>
    <cellStyle name="Style 21 4 2" xfId="2151" xr:uid="{1F39241F-996D-4A06-8C4D-355D12C6D608}"/>
    <cellStyle name="Style 21 4 2 2" xfId="2152" xr:uid="{90FE5F62-1CB1-40B3-8ECD-740A1BFDB94B}"/>
    <cellStyle name="Style 21 4 2 2 2" xfId="5994" xr:uid="{3B4E2F21-5F45-4340-AEE4-E71FD7071B97}"/>
    <cellStyle name="Style 21 4 2 2 2 2" xfId="27503" xr:uid="{AC61D097-0FAD-44F4-B0CC-A31E56BA0547}"/>
    <cellStyle name="Style 21 4 2 2 3" xfId="23322" xr:uid="{E0AD0B92-030F-4F3F-9B6B-966D9E1A2123}"/>
    <cellStyle name="Style 21 4 2 3" xfId="2153" xr:uid="{316E1380-2B86-49D9-BF32-7A6F5AD743C6}"/>
    <cellStyle name="Style 21 4 2 3 2" xfId="2154" xr:uid="{128B73BB-29D8-4F8A-99E1-8DE13C3BC542}"/>
    <cellStyle name="Style 21 4 2 3 2 2" xfId="5996" xr:uid="{3BAD1640-DE60-45DC-920C-A857F572E9F1}"/>
    <cellStyle name="Style 21 4 2 3 2 2 2" xfId="27505" xr:uid="{0246F9D6-2BF5-4D92-8918-EBF39F40902D}"/>
    <cellStyle name="Style 21 4 2 3 2 3" xfId="23324" xr:uid="{1D7F2225-0898-407F-80A4-FFBD2EE947E5}"/>
    <cellStyle name="Style 21 4 2 3 3" xfId="5997" xr:uid="{D2E70F30-E71C-4059-80CE-87ED3FF7C3F3}"/>
    <cellStyle name="Style 21 4 2 3 3 2" xfId="23325" xr:uid="{5FAB09C6-BA93-4BB8-8D9C-11CCA3757986}"/>
    <cellStyle name="Style 21 4 2 3 4" xfId="5998" xr:uid="{3C62EC18-7599-414D-8FC9-3F43D245D5BF}"/>
    <cellStyle name="Style 21 4 2 3 4 2" xfId="24626" xr:uid="{89E8014F-0250-46C5-B930-8509E4ABCD62}"/>
    <cellStyle name="Style 21 4 2 3 5" xfId="5995" xr:uid="{9E8B526B-139A-43AC-BE7D-29A8EF822D2B}"/>
    <cellStyle name="Style 21 4 2 3 5 2" xfId="27504" xr:uid="{DF00724B-7719-44E6-AED6-E48E28A9DB9F}"/>
    <cellStyle name="Style 21 4 2 3 6" xfId="23323" xr:uid="{06804258-6919-4F78-B1B3-2125A3415735}"/>
    <cellStyle name="Style 21 4 2 4" xfId="2155" xr:uid="{A1427632-0345-4B13-A188-8F48ED6946CF}"/>
    <cellStyle name="Style 21 4 2 4 2" xfId="2156" xr:uid="{17581DA9-5495-4EE8-AED8-8B655564BC84}"/>
    <cellStyle name="Style 21 4 2 4 2 2" xfId="6000" xr:uid="{5C6BF901-F200-40F5-B163-2D550B9BBDFD}"/>
    <cellStyle name="Style 21 4 2 4 2 2 2" xfId="27507" xr:uid="{DE64ED39-F09C-418A-A44C-F8CE814F65C4}"/>
    <cellStyle name="Style 21 4 2 4 2 3" xfId="23327" xr:uid="{C1115581-8785-48F5-BC0D-EF996E326A35}"/>
    <cellStyle name="Style 21 4 2 4 3" xfId="5999" xr:uid="{4201A1E4-7D61-4FAB-9A9C-41CFB3E5BD0C}"/>
    <cellStyle name="Style 21 4 2 4 3 2" xfId="27506" xr:uid="{BC3E42E1-A0A3-4C77-A7B6-EBD0903087B4}"/>
    <cellStyle name="Style 21 4 2 4 4" xfId="23326" xr:uid="{F46412EE-636D-4A92-9887-1716C65A73E7}"/>
    <cellStyle name="Style 21 4 2 5" xfId="6001" xr:uid="{B36A603E-CF84-4511-9A36-275A7E1DD25A}"/>
    <cellStyle name="Style 21 4 2 5 2" xfId="24627" xr:uid="{35DBAB44-8211-43B3-AA76-36447DC58B0C}"/>
    <cellStyle name="Style 21 4 2 6" xfId="5993" xr:uid="{9BD6F55E-D837-451B-8439-0CAF6BF8FB4B}"/>
    <cellStyle name="Style 21 4 2 6 2" xfId="27502" xr:uid="{3597A0FB-BB3D-4FB7-90E3-4785F28E2EA4}"/>
    <cellStyle name="Style 21 4 2 7" xfId="23321" xr:uid="{857273F1-5772-4B71-AF05-0833F92EC1CC}"/>
    <cellStyle name="Style 21 4 3" xfId="2157" xr:uid="{14E5E64A-519E-4232-8B6D-EE1840EDE4C5}"/>
    <cellStyle name="Style 21 4 3 2" xfId="6002" xr:uid="{EC252831-A814-461F-8FB2-3A8CA042721B}"/>
    <cellStyle name="Style 21 4 3 2 2" xfId="27508" xr:uid="{D745C63F-A23E-4475-A037-BE853D71F232}"/>
    <cellStyle name="Style 21 4 3 3" xfId="23328" xr:uid="{A4D073EF-0F36-4D53-B2B2-481D54B29E26}"/>
    <cellStyle name="Style 21 4 4" xfId="6003" xr:uid="{B0482530-32D4-4741-B563-DE4F137041BF}"/>
    <cellStyle name="Style 21 4 4 2" xfId="6004" xr:uid="{031BB5ED-1F93-4B3E-ACFD-E7D02F361A35}"/>
    <cellStyle name="Style 21 4 4 2 2" xfId="24628" xr:uid="{D168FA3F-7290-4BAB-8803-7095DA76BEDB}"/>
    <cellStyle name="Style 21 4 4 3" xfId="23329" xr:uid="{E4A3C0FE-D1E6-41C8-98FD-01191EB87D2A}"/>
    <cellStyle name="Style 21 4 5" xfId="5992" xr:uid="{6EB46356-AA9E-400D-BA4C-7A588EB5D415}"/>
    <cellStyle name="Style 21 4 5 2" xfId="25939" xr:uid="{2BA688DA-41F7-4664-9E97-069F12FFDE1F}"/>
    <cellStyle name="Style 21 4 6" xfId="4388" xr:uid="{BD885CDF-C652-492D-ABAC-51B5C5DD4294}"/>
    <cellStyle name="Style 21 4 6 2" xfId="26614" xr:uid="{0A9D9818-10C0-4F01-A5D1-987892AD8B5F}"/>
    <cellStyle name="Style 21 4 7" xfId="23320" xr:uid="{4A12943F-3441-42BB-91F2-1EF2055A574E}"/>
    <cellStyle name="Style 21 5" xfId="2158" xr:uid="{85FB6696-CF7F-43DE-AD8C-BEF19B0F836D}"/>
    <cellStyle name="Style 21 5 2" xfId="2159" xr:uid="{2C3FF4AD-F5DC-432D-92E0-20FD9FF244A5}"/>
    <cellStyle name="Style 21 5 2 2" xfId="2160" xr:uid="{6F893118-AE00-4AB9-8647-432335533A81}"/>
    <cellStyle name="Style 21 5 2 2 2" xfId="6007" xr:uid="{F1B23891-4521-4EB6-A24E-FB83BF1464D9}"/>
    <cellStyle name="Style 21 5 2 2 2 2" xfId="27510" xr:uid="{F2298468-5DF5-4DFA-A319-55CD3D77DDB5}"/>
    <cellStyle name="Style 21 5 2 2 3" xfId="23332" xr:uid="{686ED851-C46A-4A7F-BE97-83DA42498456}"/>
    <cellStyle name="Style 21 5 2 3" xfId="2161" xr:uid="{86ADA6F2-602D-4DE2-9BC5-923171C1B30E}"/>
    <cellStyle name="Style 21 5 2 3 2" xfId="2162" xr:uid="{17F89296-4AA2-4C3D-85DB-02740E853869}"/>
    <cellStyle name="Style 21 5 2 3 2 2" xfId="6009" xr:uid="{17C8BC28-38C0-430E-8B68-85CF80167993}"/>
    <cellStyle name="Style 21 5 2 3 2 2 2" xfId="27512" xr:uid="{0967BB06-D4AC-4CF4-8645-92145CC0FC92}"/>
    <cellStyle name="Style 21 5 2 3 2 3" xfId="23334" xr:uid="{DB8437C9-03C4-444B-9D2A-099DA898ACF1}"/>
    <cellStyle name="Style 21 5 2 3 3" xfId="6010" xr:uid="{24DCF0AB-70FD-41D5-85F5-08D7A2D41D7D}"/>
    <cellStyle name="Style 21 5 2 3 3 2" xfId="23335" xr:uid="{61E842A1-9149-4368-9A5E-7CC4C0B3FE52}"/>
    <cellStyle name="Style 21 5 2 3 4" xfId="6011" xr:uid="{BEA9ABC3-190A-4DB3-9A92-7F21089999B7}"/>
    <cellStyle name="Style 21 5 2 3 4 2" xfId="24629" xr:uid="{4B89D051-B38F-4491-874F-800D7B097A83}"/>
    <cellStyle name="Style 21 5 2 3 5" xfId="6008" xr:uid="{FF46E64A-3B51-4755-8058-51C6A7772434}"/>
    <cellStyle name="Style 21 5 2 3 5 2" xfId="27511" xr:uid="{209866B6-0FCF-48A4-838F-701895D2F10E}"/>
    <cellStyle name="Style 21 5 2 3 6" xfId="23333" xr:uid="{B64E7DA7-B9F3-46AD-A59D-B7BA11A9C09C}"/>
    <cellStyle name="Style 21 5 2 4" xfId="2163" xr:uid="{A0F50865-6370-419E-82BB-E742F8E4E654}"/>
    <cellStyle name="Style 21 5 2 4 2" xfId="2164" xr:uid="{941108ED-B5BC-466F-A5F5-5EE74770A4B0}"/>
    <cellStyle name="Style 21 5 2 4 2 2" xfId="6013" xr:uid="{5EBC389D-9D36-42D9-8D52-4BFF7720ED7F}"/>
    <cellStyle name="Style 21 5 2 4 2 2 2" xfId="27514" xr:uid="{C57CF418-0475-4719-802C-870E218892AC}"/>
    <cellStyle name="Style 21 5 2 4 2 3" xfId="23337" xr:uid="{728B5D14-53F3-44FD-A301-AE445B312726}"/>
    <cellStyle name="Style 21 5 2 4 3" xfId="6012" xr:uid="{FC71A473-7825-436B-9959-687B06D18081}"/>
    <cellStyle name="Style 21 5 2 4 3 2" xfId="27513" xr:uid="{703D86F9-7AE8-40B5-9764-94724A0B1A3D}"/>
    <cellStyle name="Style 21 5 2 4 4" xfId="23336" xr:uid="{DF6BABC9-2A57-47CF-BEB7-B53D789A07BE}"/>
    <cellStyle name="Style 21 5 2 5" xfId="6014" xr:uid="{43B5DECD-582B-4896-95D0-BC76EDA18AE8}"/>
    <cellStyle name="Style 21 5 2 5 2" xfId="24630" xr:uid="{C8B45EB6-CA5C-417E-93E0-D8EFBA7B0B6F}"/>
    <cellStyle name="Style 21 5 2 6" xfId="6006" xr:uid="{DB876A20-470A-4962-A811-BAEAFB0BE740}"/>
    <cellStyle name="Style 21 5 2 6 2" xfId="27509" xr:uid="{3BCED1E3-C2FE-4D67-B3C5-6CB5CED7CFE6}"/>
    <cellStyle name="Style 21 5 2 7" xfId="23331" xr:uid="{5BEDE19C-B033-400D-8B81-14B8AC234618}"/>
    <cellStyle name="Style 21 5 3" xfId="2165" xr:uid="{58CF1657-E2FB-4F8E-A9DC-9A1C4601A95F}"/>
    <cellStyle name="Style 21 5 3 2" xfId="6015" xr:uid="{2780709E-0BE7-4FE9-81BB-A6CAFEFAA156}"/>
    <cellStyle name="Style 21 5 3 2 2" xfId="27515" xr:uid="{1FA29F94-8CF7-4E9C-A634-231CFA7CA866}"/>
    <cellStyle name="Style 21 5 3 3" xfId="23338" xr:uid="{C5D7AC08-D82E-44A5-AC30-00FE42752E08}"/>
    <cellStyle name="Style 21 5 4" xfId="6016" xr:uid="{7209BC77-6A3C-468B-9FE4-7DF4160D7431}"/>
    <cellStyle name="Style 21 5 4 2" xfId="6017" xr:uid="{B9ABD0EA-A5A1-4D3E-92D7-BF172BCA6576}"/>
    <cellStyle name="Style 21 5 4 2 2" xfId="24631" xr:uid="{C09281B7-2FF5-486E-9168-96BA627FD26E}"/>
    <cellStyle name="Style 21 5 4 3" xfId="23339" xr:uid="{CCB0A17F-9A64-469C-B218-F0EF5D6CFE41}"/>
    <cellStyle name="Style 21 5 5" xfId="6005" xr:uid="{68CD050F-CBE3-4FB8-971A-5CD2F89D7580}"/>
    <cellStyle name="Style 21 5 5 2" xfId="25940" xr:uid="{F37C49D7-E87D-471D-B07F-0A9B85B14908}"/>
    <cellStyle name="Style 21 5 6" xfId="4389" xr:uid="{3EE009D8-7D1E-4F2B-B8D4-5189517D81ED}"/>
    <cellStyle name="Style 21 5 6 2" xfId="26615" xr:uid="{F8D398F2-F83C-44FF-A404-D8C720139C19}"/>
    <cellStyle name="Style 21 5 7" xfId="23330" xr:uid="{0BEDACE8-8241-488F-95CC-A1072511E6B7}"/>
    <cellStyle name="Style 21 6" xfId="2166" xr:uid="{BA9297E6-088C-4009-BFBA-4545DCFDC69E}"/>
    <cellStyle name="Style 21 6 2" xfId="2167" xr:uid="{8F5DBEDB-3F22-48FB-9C2D-4DB912EDD653}"/>
    <cellStyle name="Style 21 6 2 2" xfId="6019" xr:uid="{ABFEB53C-29F6-4628-A877-348C3F95D457}"/>
    <cellStyle name="Style 21 6 2 2 2" xfId="27517" xr:uid="{2C7B99CF-E311-49C3-BF17-698047B2524D}"/>
    <cellStyle name="Style 21 6 2 3" xfId="23341" xr:uid="{8C888A80-A111-4C39-9A02-3B990C2BCE3C}"/>
    <cellStyle name="Style 21 6 3" xfId="2168" xr:uid="{07C702EF-D200-4499-AD3E-1DEF683A16DA}"/>
    <cellStyle name="Style 21 6 3 2" xfId="2169" xr:uid="{995E1E7A-0840-4FEB-8674-834D3FB61B64}"/>
    <cellStyle name="Style 21 6 3 2 2" xfId="6021" xr:uid="{3F44B54A-0E3E-47BD-AABD-BAA2A5E95D01}"/>
    <cellStyle name="Style 21 6 3 2 2 2" xfId="27519" xr:uid="{E962908D-82D5-4B8B-ABD8-B6A74A4EE949}"/>
    <cellStyle name="Style 21 6 3 2 3" xfId="23343" xr:uid="{13A7EE6B-357D-4E3D-9F16-FA273A69AF0A}"/>
    <cellStyle name="Style 21 6 3 3" xfId="6022" xr:uid="{5F896229-41FA-4D9C-B74E-3C78159A028E}"/>
    <cellStyle name="Style 21 6 3 3 2" xfId="23344" xr:uid="{8A85BC20-69A9-4AA1-97AA-F04EF02B5917}"/>
    <cellStyle name="Style 21 6 3 4" xfId="6023" xr:uid="{1EC4312E-E266-492F-8EC0-E5468DE0B299}"/>
    <cellStyle name="Style 21 6 3 4 2" xfId="24632" xr:uid="{5C88884C-DD74-49AC-B5F3-3A66C1C851B2}"/>
    <cellStyle name="Style 21 6 3 5" xfId="6020" xr:uid="{0D65A0AA-47E6-4CF3-8170-498C02590AF2}"/>
    <cellStyle name="Style 21 6 3 5 2" xfId="27518" xr:uid="{A7852479-FBCD-47B1-B97B-7B91D9BCE510}"/>
    <cellStyle name="Style 21 6 3 6" xfId="23342" xr:uid="{2A9C212B-500F-49D8-B913-3462D2B81AA0}"/>
    <cellStyle name="Style 21 6 4" xfId="2170" xr:uid="{87A9ECB5-E189-4A57-8646-304D58F6F4DA}"/>
    <cellStyle name="Style 21 6 4 2" xfId="2171" xr:uid="{999EDED4-621E-4432-AFEA-0CD390ECA047}"/>
    <cellStyle name="Style 21 6 4 2 2" xfId="6025" xr:uid="{C0143453-6812-4F5C-BC13-B5284A369120}"/>
    <cellStyle name="Style 21 6 4 2 2 2" xfId="27521" xr:uid="{EDD7C177-9064-4F6C-8150-3AC677AAB893}"/>
    <cellStyle name="Style 21 6 4 2 3" xfId="23346" xr:uid="{A5A53695-F5F1-4927-83BA-46079CDEF75C}"/>
    <cellStyle name="Style 21 6 4 3" xfId="6024" xr:uid="{EC05BAC8-ABB3-4628-8E36-9C1AA64A36B3}"/>
    <cellStyle name="Style 21 6 4 3 2" xfId="27520" xr:uid="{3771C38D-222C-44F8-AD2B-48E641DED0E4}"/>
    <cellStyle name="Style 21 6 4 4" xfId="23345" xr:uid="{5CA6C018-4009-46AB-AA6D-127EAF2A4D13}"/>
    <cellStyle name="Style 21 6 5" xfId="6026" xr:uid="{2E81AC1A-1298-4366-8F3C-0A61C93F93A4}"/>
    <cellStyle name="Style 21 6 5 2" xfId="24633" xr:uid="{24745201-464E-45E1-AE55-AEC2715A7319}"/>
    <cellStyle name="Style 21 6 6" xfId="6018" xr:uid="{A9869B1E-8726-4D2C-9624-96DFCD5DBC06}"/>
    <cellStyle name="Style 21 6 6 2" xfId="27516" xr:uid="{7DB80643-D7EC-4ADF-8376-B359617ECC2A}"/>
    <cellStyle name="Style 21 6 7" xfId="23340" xr:uid="{CE187924-22F4-421C-9D13-F7D93EFF41EA}"/>
    <cellStyle name="Style 21 7" xfId="2172" xr:uid="{5B3F95A0-10E1-423D-AD05-F1A4800E6EC2}"/>
    <cellStyle name="Style 21 7 2" xfId="2173" xr:uid="{073BBB4D-6664-4A26-82EA-66D2156A44B1}"/>
    <cellStyle name="Style 21 7 2 2" xfId="6028" xr:uid="{E7BAAD5D-BF98-442C-9E01-2C933B0645B2}"/>
    <cellStyle name="Style 21 7 2 2 2" xfId="27523" xr:uid="{71ED93C5-5457-4123-A9E9-69B55E6B2F4B}"/>
    <cellStyle name="Style 21 7 2 3" xfId="23348" xr:uid="{B2CFBD0C-8F5B-42E9-B8C8-9384A2E0730E}"/>
    <cellStyle name="Style 21 7 3" xfId="6029" xr:uid="{7DF6C18D-0BB9-48BA-A198-B9AE2C05656C}"/>
    <cellStyle name="Style 21 7 3 2" xfId="23349" xr:uid="{45A49EB1-9299-443C-9AAB-B66D1F267971}"/>
    <cellStyle name="Style 21 7 4" xfId="6030" xr:uid="{AEFF6CA6-D89C-47BC-BAF3-7DA7E0877153}"/>
    <cellStyle name="Style 21 7 4 2" xfId="24634" xr:uid="{85F55FF9-5CEB-4173-949C-9125674A8B24}"/>
    <cellStyle name="Style 21 7 5" xfId="6027" xr:uid="{B6C5BD81-F687-4F39-8EA0-FAF2CF581EBF}"/>
    <cellStyle name="Style 21 7 5 2" xfId="27522" xr:uid="{35B51A13-E10C-4EC4-8B33-AD8A0FF975F1}"/>
    <cellStyle name="Style 21 7 6" xfId="23347" xr:uid="{1CD118CD-06DF-4303-A8B0-6CF8D675EE76}"/>
    <cellStyle name="Style 21 8" xfId="2174" xr:uid="{805FD5D0-10F0-4910-956E-3D7BFC8B940F}"/>
    <cellStyle name="Style 21 8 2" xfId="2175" xr:uid="{7A594276-3159-4215-A191-E8622A3FBEC8}"/>
    <cellStyle name="Style 21 8 2 2" xfId="6032" xr:uid="{6ADAAE6A-4C5F-4499-8DC1-42B0F769C413}"/>
    <cellStyle name="Style 21 8 2 2 2" xfId="27525" xr:uid="{692EFD69-2F79-409A-BBF6-242077288917}"/>
    <cellStyle name="Style 21 8 2 3" xfId="23351" xr:uid="{3C02BBB9-D933-4F7B-B09A-F3B041D63D74}"/>
    <cellStyle name="Style 21 8 3" xfId="6033" xr:uid="{35050407-733E-4A23-BEA0-10018444036B}"/>
    <cellStyle name="Style 21 8 3 2" xfId="23352" xr:uid="{BB4C7A26-08C3-4AA1-BB41-F6656BAFDED6}"/>
    <cellStyle name="Style 21 8 4" xfId="6034" xr:uid="{49FFD39A-B4C5-4F0B-A3CC-1B06CCE866EF}"/>
    <cellStyle name="Style 21 8 4 2" xfId="24635" xr:uid="{BE8FA880-6FA0-427F-A31C-B9FB0CC7415D}"/>
    <cellStyle name="Style 21 8 5" xfId="6031" xr:uid="{2FEE6E96-BD36-4F59-B2FA-B3B154F7F407}"/>
    <cellStyle name="Style 21 8 5 2" xfId="27524" xr:uid="{A9C571C1-0852-4F79-8D1C-2AF43B731189}"/>
    <cellStyle name="Style 21 8 6" xfId="23350" xr:uid="{441C63AC-9BA4-4241-AA9F-CD3FA985E9F9}"/>
    <cellStyle name="Style 21 9" xfId="2176" xr:uid="{836C0D27-AECF-4525-8096-6DCAB5E82426}"/>
    <cellStyle name="Style 21 9 2" xfId="2177" xr:uid="{F60167DC-E766-4C1E-A360-72111AE62EAD}"/>
    <cellStyle name="Style 21 9 2 2" xfId="6035" xr:uid="{C8D689B6-FEBA-48AD-8C44-D0777037CAF7}"/>
    <cellStyle name="Style 21 9 2 2 2" xfId="27527" xr:uid="{42388AF1-6AD6-4A52-BC50-91DA6111A0F6}"/>
    <cellStyle name="Style 21 9 2 3" xfId="24636" xr:uid="{078393B7-C75B-4349-8278-02E0AB0490D4}"/>
    <cellStyle name="Style 21 9 3" xfId="4135" xr:uid="{9317521D-B116-4C37-95E5-7DD37BAD5AF1}"/>
    <cellStyle name="Style 21 9 3 2" xfId="27526" xr:uid="{69DA400D-5FA1-428F-AA3F-461F6E9CE8E0}"/>
    <cellStyle name="Style 21 9 4" xfId="23353" xr:uid="{5A091890-18D5-4FC1-92FE-520AB118F0C4}"/>
    <cellStyle name="Style 21_ADDON" xfId="25784" xr:uid="{6ABAFAE6-6E68-4014-A1A6-00A48853181E}"/>
    <cellStyle name="Style 22" xfId="2178" xr:uid="{BC136F85-C8C4-4953-9702-42AF37F9DC77}"/>
    <cellStyle name="Style 22 10" xfId="23354" xr:uid="{0B4BD06F-5E3F-4FDA-87BA-598FC8875DBE}"/>
    <cellStyle name="Style 22 2" xfId="2179" xr:uid="{98F018A9-FC1B-48F2-9FD8-8AD8CAF8AB4F}"/>
    <cellStyle name="Style 22 2 2" xfId="9435" xr:uid="{1279F69B-917C-4A8D-9499-E8DE0E8B02E3}"/>
    <cellStyle name="Style 22 2 2 2" xfId="28944" xr:uid="{60940F31-073A-4C8A-9A31-282A44BFC55F}"/>
    <cellStyle name="Style 22 2 3" xfId="23355" xr:uid="{11739105-DA5C-48C6-970E-280C52C0DD0A}"/>
    <cellStyle name="Style 22 3" xfId="2180" xr:uid="{ECAAC330-ADC0-4F87-943C-FE8C63126CEE}"/>
    <cellStyle name="Style 22 3 2" xfId="2181" xr:uid="{6AD834DC-96E1-4ACB-BF2F-34F7EBE7D0DD}"/>
    <cellStyle name="Style 22 3 2 2" xfId="23357" xr:uid="{424C71A3-E046-4485-99F4-A94628C2D35A}"/>
    <cellStyle name="Style 22 3 3" xfId="2182" xr:uid="{12E25654-CC14-48EE-A939-3AAFADA0055C}"/>
    <cellStyle name="Style 22 3 3 2" xfId="2183" xr:uid="{5F1DEDCF-26B3-497B-AD4F-0743782082D1}"/>
    <cellStyle name="Style 22 3 3 2 2" xfId="23359" xr:uid="{889593D3-8532-430D-BEA1-398945363857}"/>
    <cellStyle name="Style 22 3 3 3" xfId="6036" xr:uid="{F0AD48C0-E3A2-438F-8018-F6394F582D3B}"/>
    <cellStyle name="Style 22 3 3 3 2" xfId="23360" xr:uid="{79E66234-C392-4766-AB6D-BB7855266A76}"/>
    <cellStyle name="Style 22 3 3 4" xfId="6037" xr:uid="{6F3BCF50-D01F-4304-978B-8963F38FDEEB}"/>
    <cellStyle name="Style 22 3 3 4 2" xfId="24637" xr:uid="{0CB22A6D-B745-4650-B979-72EFCBE0110C}"/>
    <cellStyle name="Style 22 3 3 5" xfId="23358" xr:uid="{941FB4C3-0671-4487-8B9A-8070D1322330}"/>
    <cellStyle name="Style 22 3 4" xfId="2184" xr:uid="{30D50127-3CBE-4D48-A16A-01781165E42F}"/>
    <cellStyle name="Style 22 3 4 2" xfId="2185" xr:uid="{7850B3F2-C386-428D-8EB1-1AE9BBC52262}"/>
    <cellStyle name="Style 22 3 4 2 2" xfId="23362" xr:uid="{9FEE638D-712F-4940-A542-93E137914246}"/>
    <cellStyle name="Style 22 3 4 3" xfId="23361" xr:uid="{74C77243-4633-4C4E-BF3E-CB191D92CC58}"/>
    <cellStyle name="Style 22 3 5" xfId="6038" xr:uid="{5C0DA366-AE75-4BA2-84EA-D2D878B7DB2C}"/>
    <cellStyle name="Style 22 3 5 2" xfId="24638" xr:uid="{B8BC597E-C152-40CF-95FD-D901F87EEBB7}"/>
    <cellStyle name="Style 22 3 6" xfId="23356" xr:uid="{E66AD90F-68EA-4F24-87ED-AD811A5D82EB}"/>
    <cellStyle name="Style 22 4" xfId="2186" xr:uid="{A1792A60-9E77-4292-864E-0B08C5AF75B7}"/>
    <cellStyle name="Style 22 4 2" xfId="2187" xr:uid="{AA7D2E10-10E2-40D9-BC54-AC2771F9705C}"/>
    <cellStyle name="Style 22 4 2 2" xfId="23364" xr:uid="{C13B534B-D181-44AA-BBDA-5A8381FD6A7B}"/>
    <cellStyle name="Style 22 4 3" xfId="6039" xr:uid="{800B49FF-814C-4677-850C-F3DD652C9744}"/>
    <cellStyle name="Style 22 4 3 2" xfId="23365" xr:uid="{509CEDBE-F05B-4996-BD89-F299BE27B3C7}"/>
    <cellStyle name="Style 22 4 4" xfId="6040" xr:uid="{5725F894-493F-4270-B17E-4368CB636A06}"/>
    <cellStyle name="Style 22 4 4 2" xfId="24639" xr:uid="{135BC681-E786-4D99-BABE-59F73271B836}"/>
    <cellStyle name="Style 22 4 5" xfId="23363" xr:uid="{6E456230-91BA-45CC-82E6-DA15B2CCCA1C}"/>
    <cellStyle name="Style 22 5" xfId="2188" xr:uid="{A9FAB887-3E9F-4F64-8482-A239EFA49525}"/>
    <cellStyle name="Style 22 5 2" xfId="2189" xr:uid="{46821B1B-2ADA-40A2-9169-319D0FF46947}"/>
    <cellStyle name="Style 22 5 2 2" xfId="23367" xr:uid="{EC6AD402-CF71-404E-A7AE-A3FCE4D5B3F4}"/>
    <cellStyle name="Style 22 5 3" xfId="23366" xr:uid="{CB17824E-B250-4D0D-966D-1532017BA67C}"/>
    <cellStyle name="Style 22 6" xfId="2190" xr:uid="{F4D242D1-690D-4086-A003-9258D867EF53}"/>
    <cellStyle name="Style 22 6 2" xfId="2191" xr:uid="{E7798547-7C90-4B66-A7D2-993FF2B0857C}"/>
    <cellStyle name="Style 22 6 2 2" xfId="24640" xr:uid="{0158CB17-BED2-4935-A00F-4FF909DC8148}"/>
    <cellStyle name="Style 22 6 3" xfId="4137" xr:uid="{E621E705-65B4-42BE-BACF-0E9DCE76B286}"/>
    <cellStyle name="Style 22 6 3 2" xfId="28323" xr:uid="{62450B31-F248-4182-9821-D41C8D995E61}"/>
    <cellStyle name="Style 22 6 4" xfId="23368" xr:uid="{FA7155F9-53BD-4DDC-B644-1E6E67B390E6}"/>
    <cellStyle name="Style 22 7" xfId="4136" xr:uid="{6B251E8F-5A4E-4A0D-87D9-95F317532C4D}"/>
    <cellStyle name="Style 22 7 2" xfId="6042" xr:uid="{95B56A64-48D9-486C-AD47-FF70C875BD13}"/>
    <cellStyle name="Style 22 7 2 2" xfId="24641" xr:uid="{45CB425F-2430-43A2-9296-2FAF3805B2A9}"/>
    <cellStyle name="Style 22 7 3" xfId="6041" xr:uid="{E7731E6D-FFC9-446C-B86F-68568E0604D3}"/>
    <cellStyle name="Style 22 7 3 2" xfId="40720" xr:uid="{AF780F2C-B14D-4218-B629-FBD89F261904}"/>
    <cellStyle name="Style 22 7 4" xfId="23369" xr:uid="{B1771390-8AE6-4DFF-A066-891C4DCD92D2}"/>
    <cellStyle name="Style 22 8" xfId="6043" xr:uid="{0B858C46-86AD-4661-B681-4A6EE7960FAC}"/>
    <cellStyle name="Style 22 8 2" xfId="24642" xr:uid="{13E54F7E-A9E1-4BB4-8E47-F0D618A3E035}"/>
    <cellStyle name="Style 22 9" xfId="9436" xr:uid="{84FE8DA8-D2C1-4D40-BE10-C194652DEC96}"/>
    <cellStyle name="Style 22 9 2" xfId="26616" xr:uid="{6BEC4216-A571-4CE9-BE1F-63941FCAF61B}"/>
    <cellStyle name="Style 22_ADDON" xfId="25742" xr:uid="{87818EB8-D525-4F89-B4F1-DA0600B7FA23}"/>
    <cellStyle name="Style 23" xfId="2192" xr:uid="{D6653E4D-E86E-48C7-ACC1-E0DCCA08D9D0}"/>
    <cellStyle name="Style 23 2" xfId="2193" xr:uid="{DC73B567-EB99-4356-A9B2-56C629716B7A}"/>
    <cellStyle name="Style 23 2 2" xfId="2194" xr:uid="{BD0160D9-1DCC-4D02-918D-1DC832999DCC}"/>
    <cellStyle name="Style 23 2 2 2" xfId="2195" xr:uid="{DC52AB57-D1C8-4433-A99B-02E676E33284}"/>
    <cellStyle name="Style 23 2 2 2 2" xfId="2196" xr:uid="{5BBB11EE-8D82-45DC-A8DB-AC5441B4634C}"/>
    <cellStyle name="Style 23 2 2 2 2 2" xfId="2197" xr:uid="{9E64F724-357E-4950-B8C5-AEF054B2EFAC}"/>
    <cellStyle name="Style 23 2 2 2 2 2 2" xfId="9437" xr:uid="{79686513-2C40-435C-926A-D76E7B37243C}"/>
    <cellStyle name="Style 23 2 2 2 2 3" xfId="9438" xr:uid="{6BDD1316-3FE1-438C-8BE0-E966379AF746}"/>
    <cellStyle name="Style 23 2 2 2 3" xfId="2198" xr:uid="{D0BC1CE9-B5E4-497B-9B76-B0C4B10D8879}"/>
    <cellStyle name="Style 23 2 2 2 3 2" xfId="9439" xr:uid="{5394E3C0-8323-4A51-BD5E-3291DDC22ED0}"/>
    <cellStyle name="Style 23 2 2 2 4" xfId="9440" xr:uid="{5204B419-DC6D-4628-BE1A-78BEBB678FEA}"/>
    <cellStyle name="Style 23 2 2 3" xfId="2199" xr:uid="{1572B615-5916-45AE-AF03-1F2EDED3F66E}"/>
    <cellStyle name="Style 23 2 2 3 2" xfId="2200" xr:uid="{8579914C-EEB8-43C5-8997-1AC2458E9587}"/>
    <cellStyle name="Style 23 2 2 3 2 2" xfId="9441" xr:uid="{62432678-073F-4D6B-9D81-A3020F5A8A96}"/>
    <cellStyle name="Style 23 2 2 3 3" xfId="9442" xr:uid="{F4B37A88-03E3-41CC-B5D9-A3F91E5C479D}"/>
    <cellStyle name="Style 23 2 2 4" xfId="2201" xr:uid="{654A7FA0-3F9C-4929-A24E-2FF3D3EFE853}"/>
    <cellStyle name="Style 23 2 2 4 2" xfId="9443" xr:uid="{C89494B0-1518-470C-AD30-05D1A07C244D}"/>
    <cellStyle name="Style 23 2 2 5" xfId="9444" xr:uid="{C2D70C4A-C962-41A4-9E77-106CC5457F27}"/>
    <cellStyle name="Style 23 2 3" xfId="2202" xr:uid="{C3E2ECC4-3C90-4BE1-AB30-14D09631B622}"/>
    <cellStyle name="Style 23 2 3 2" xfId="2203" xr:uid="{23FA437F-3664-4CEF-B100-D205D667CFA6}"/>
    <cellStyle name="Style 23 2 3 2 2" xfId="2204" xr:uid="{65D5BDE4-D7A1-4FF6-BEC3-BE9EC3DD924C}"/>
    <cellStyle name="Style 23 2 3 2 2 2" xfId="9445" xr:uid="{E48A881E-04A3-4AAA-BA8B-CF0619E23351}"/>
    <cellStyle name="Style 23 2 3 2 3" xfId="9446" xr:uid="{6240A9D0-7198-4E00-9894-93A390CB811E}"/>
    <cellStyle name="Style 23 2 3 3" xfId="2205" xr:uid="{D9B31413-F7AA-4C51-BE30-BF2EDD711430}"/>
    <cellStyle name="Style 23 2 3 3 2" xfId="9447" xr:uid="{7DC064BB-335D-4A92-A7DC-12ADE6CB6ADF}"/>
    <cellStyle name="Style 23 2 3 4" xfId="9448" xr:uid="{2D611C81-1975-4A99-9EA5-DCBF41F10C58}"/>
    <cellStyle name="Style 23 2 4" xfId="2206" xr:uid="{425B13B5-DAAB-4B90-9002-91762DC44672}"/>
    <cellStyle name="Style 23 2 4 2" xfId="2207" xr:uid="{849E895D-220A-426A-85C4-231D85E94829}"/>
    <cellStyle name="Style 23 2 4 2 2" xfId="9449" xr:uid="{BFC21B39-6E1D-4445-9E47-F4744BAD6CB7}"/>
    <cellStyle name="Style 23 2 4 3" xfId="9450" xr:uid="{39DBE64B-0872-40ED-9597-569EB792F0D7}"/>
    <cellStyle name="Style 23 2 5" xfId="2208" xr:uid="{A4C97865-828C-4BC1-8F42-21E7850DD90C}"/>
    <cellStyle name="Style 23 2 5 2" xfId="9451" xr:uid="{16C6F4DA-2155-42F9-B3D7-B508D6EAA767}"/>
    <cellStyle name="Style 23 2 6" xfId="9452" xr:uid="{04E414F3-7159-42BE-97D4-6C011AE33382}"/>
    <cellStyle name="Style 23 3" xfId="2209" xr:uid="{67A85E7D-445F-4E16-8147-D761A73840AF}"/>
    <cellStyle name="Style 23 3 2" xfId="2210" xr:uid="{135C3270-4335-46FC-A1E1-113E7DDECC59}"/>
    <cellStyle name="Style 23 3 2 2" xfId="2211" xr:uid="{AC60AD67-4959-4EC7-8124-6E7C8871C3F6}"/>
    <cellStyle name="Style 23 3 2 2 2" xfId="2212" xr:uid="{D2C66D4B-66E1-47F5-91B4-6C9CFD3AB36D}"/>
    <cellStyle name="Style 23 3 2 2 2 2" xfId="2213" xr:uid="{DC8F030B-4E54-4F7E-89F1-89D91395766C}"/>
    <cellStyle name="Style 23 3 2 2 2 2 2" xfId="9453" xr:uid="{05B36233-5167-4655-977F-5353E13EB3E1}"/>
    <cellStyle name="Style 23 3 2 2 2 3" xfId="9454" xr:uid="{40200BBE-8B73-4A28-B8D8-158AD91C589C}"/>
    <cellStyle name="Style 23 3 2 2 3" xfId="2214" xr:uid="{683E0E58-BCC6-4CAD-A08B-D1DE9C8BF106}"/>
    <cellStyle name="Style 23 3 2 2 3 2" xfId="9455" xr:uid="{4CCC75FE-0EAC-40C9-BCC4-9AB138BA34AA}"/>
    <cellStyle name="Style 23 3 2 2 4" xfId="9456" xr:uid="{490D0B5C-AB40-4846-BE07-4993801DFBE0}"/>
    <cellStyle name="Style 23 3 2 3" xfId="2215" xr:uid="{A0C0B9D2-61C8-4FC0-B578-0F768580DFA8}"/>
    <cellStyle name="Style 23 3 2 3 2" xfId="2216" xr:uid="{E3F5EFFD-5FF6-47A2-8AA7-89937EAEFD0A}"/>
    <cellStyle name="Style 23 3 2 3 2 2" xfId="9457" xr:uid="{F0B13857-21F4-4ED8-8517-8EBB402995CC}"/>
    <cellStyle name="Style 23 3 2 3 3" xfId="9458" xr:uid="{E2FB6A84-6F47-429F-8148-1F08BC3E612D}"/>
    <cellStyle name="Style 23 3 2 4" xfId="2217" xr:uid="{9855AD1B-A1E8-48BE-9B78-CBFF11D1AEDF}"/>
    <cellStyle name="Style 23 3 2 4 2" xfId="9459" xr:uid="{2005B000-E914-405C-8005-61A80972EFD5}"/>
    <cellStyle name="Style 23 3 2 5" xfId="9460" xr:uid="{FF3BA79D-33F2-4B92-9AF9-86FA3F083E77}"/>
    <cellStyle name="Style 23 3 3" xfId="2218" xr:uid="{D270D4AF-BCE4-4F30-BF4A-6A44F3077EF4}"/>
    <cellStyle name="Style 23 3 3 2" xfId="2219" xr:uid="{90CBFA3E-E428-4132-B1CA-A131C7059EE7}"/>
    <cellStyle name="Style 23 3 3 2 2" xfId="2220" xr:uid="{A675EECF-DE44-47E5-93E6-FBAFFC22C50F}"/>
    <cellStyle name="Style 23 3 3 2 2 2" xfId="2221" xr:uid="{E237733C-3108-411C-BC45-35B45B87AABA}"/>
    <cellStyle name="Style 23 3 3 2 2 2 2" xfId="9461" xr:uid="{11DB2080-ADA3-4B36-87F6-C303A683C17F}"/>
    <cellStyle name="Style 23 3 3 2 2 3" xfId="9462" xr:uid="{AA2574B5-5332-4CA0-8B86-B3CE08DA73B0}"/>
    <cellStyle name="Style 23 3 3 2 3" xfId="2222" xr:uid="{E1DD0812-0DB3-4A3F-9E72-9B381DE2C194}"/>
    <cellStyle name="Style 23 3 3 2 3 2" xfId="9463" xr:uid="{FDA51777-15B2-4C83-8F84-84E883C75B78}"/>
    <cellStyle name="Style 23 3 3 2 4" xfId="9464" xr:uid="{3E6B1722-EE91-4E51-8D47-2F415BF33790}"/>
    <cellStyle name="Style 23 3 3 3" xfId="2223" xr:uid="{7F23BB05-6FEF-4407-BF8F-C3A42096A23F}"/>
    <cellStyle name="Style 23 3 3 3 2" xfId="9465" xr:uid="{C2580576-A19F-4C3B-B57B-89FB7BE09261}"/>
    <cellStyle name="Style 23 3 3 4" xfId="6044" xr:uid="{A809A2E7-477D-4E69-9803-58B3AF2D9CE0}"/>
    <cellStyle name="Style 23 3 3 5" xfId="9466" xr:uid="{C4B5A8CD-1E7E-461E-BBE3-1C837B1D647A}"/>
    <cellStyle name="Style 23 3 4" xfId="2224" xr:uid="{58ED748E-D2BF-4AE7-9019-E7C61F26461B}"/>
    <cellStyle name="Style 23 3 4 2" xfId="2225" xr:uid="{E8917AB4-E583-43B0-83C6-317FD9C05C54}"/>
    <cellStyle name="Style 23 3 4 2 2" xfId="9467" xr:uid="{CD85307F-FE6B-42EC-A299-EB92C5B3EC6E}"/>
    <cellStyle name="Style 23 3 4 3" xfId="9468" xr:uid="{3D318288-1923-4540-BDAD-422B2B49BFAB}"/>
    <cellStyle name="Style 23 3 5" xfId="2226" xr:uid="{0AE9587E-4BEE-4F7E-BD01-19B1BFAE2EB2}"/>
    <cellStyle name="Style 23 3 5 2" xfId="9469" xr:uid="{38B1E084-7D2E-4D62-8871-255EC04208AC}"/>
    <cellStyle name="Style 23 3 6" xfId="9470" xr:uid="{A0A84907-3D7A-4357-BE70-A6A532F98766}"/>
    <cellStyle name="Style 23 4" xfId="2227" xr:uid="{E7A5F5B3-0CF0-4F15-8DFF-82A232533748}"/>
    <cellStyle name="Style 23 4 2" xfId="2228" xr:uid="{19EEC83A-79EE-4AE7-99F7-F6983CF500AB}"/>
    <cellStyle name="Style 23 4 2 2" xfId="2229" xr:uid="{C36B34D6-D19B-4FCA-A896-A65C74BA43E7}"/>
    <cellStyle name="Style 23 4 2 2 2" xfId="2230" xr:uid="{63E1A541-2F0E-4DED-92D7-DBE5FB4E9A94}"/>
    <cellStyle name="Style 23 4 2 2 2 2" xfId="9471" xr:uid="{85908900-F60A-4667-90FA-15523FDF071D}"/>
    <cellStyle name="Style 23 4 2 2 3" xfId="9472" xr:uid="{6BA7153C-783E-4326-B6FD-BA7FEE24EF97}"/>
    <cellStyle name="Style 23 4 2 3" xfId="2231" xr:uid="{253ACC54-3953-4DBD-A931-11A66607A0CE}"/>
    <cellStyle name="Style 23 4 2 3 2" xfId="9473" xr:uid="{248F972A-6EA0-466B-8094-FA142B8BD5C1}"/>
    <cellStyle name="Style 23 4 2 4" xfId="9474" xr:uid="{8F53B68B-C0E1-41EE-AB22-B4F6CD27EDC0}"/>
    <cellStyle name="Style 23 4 3" xfId="2232" xr:uid="{6A09933B-61D4-4179-9FC3-C7566F92441C}"/>
    <cellStyle name="Style 23 4 3 2" xfId="9475" xr:uid="{39DEE6F3-BF91-42EE-9F31-3A260A98161C}"/>
    <cellStyle name="Style 23 4 4" xfId="6045" xr:uid="{8F2D0FA7-03E1-4431-9F49-BA4673558147}"/>
    <cellStyle name="Style 23 4 5" xfId="9476" xr:uid="{8EF30CE3-E428-4F33-AB4F-12321ADB0FDB}"/>
    <cellStyle name="Style 23 5" xfId="2233" xr:uid="{E16FE040-C3DC-4DF7-B33A-E0E9BC68ABD5}"/>
    <cellStyle name="Style 23 5 2" xfId="2234" xr:uid="{449D05D7-0C6D-4338-8C1F-09B45DBB752F}"/>
    <cellStyle name="Style 23 5 2 2" xfId="9477" xr:uid="{0A3C8432-E1B0-4392-8FB3-5FE2768BC5FC}"/>
    <cellStyle name="Style 23 5 3" xfId="9478" xr:uid="{D7DB72F3-4F04-4D66-ABDF-7E184019B833}"/>
    <cellStyle name="Style 23 6" xfId="2235" xr:uid="{E1F83D8C-75F7-4302-BE65-08A010F1FCE2}"/>
    <cellStyle name="Style 23 6 2" xfId="4139" xr:uid="{A83F63C8-3D15-401A-9BA2-71DD376848B9}"/>
    <cellStyle name="Style 23 6 2 2" xfId="6046" xr:uid="{7A4D84A6-B64E-4DF1-AC78-794C95FE0E7A}"/>
    <cellStyle name="Style 23 6 3" xfId="9479" xr:uid="{BAA69769-05D4-4577-8FD8-279E4773537D}"/>
    <cellStyle name="Style 23 7" xfId="4138" xr:uid="{9D18265E-4F9A-4073-84F6-C27B39B66588}"/>
    <cellStyle name="Style 23 7 2" xfId="6048" xr:uid="{09344D3A-0910-4123-9840-E9753E42A5F1}"/>
    <cellStyle name="Style 23 7 3" xfId="6047" xr:uid="{8E971CD9-8827-4ED9-A4A8-15D305A2DB07}"/>
    <cellStyle name="Style 23 8" xfId="6049" xr:uid="{3DA7CF3E-BA33-4062-8647-420925B08B2C}"/>
    <cellStyle name="Style 23 9" xfId="9480" xr:uid="{D4A7D3A4-47D5-4C22-B5BC-B9C88F1F1840}"/>
    <cellStyle name="Style 23 9 2" xfId="26617" xr:uid="{3A3CE3FE-6DBA-4D24-9AED-24C815F97231}"/>
    <cellStyle name="Style 23_ADDON" xfId="25785" xr:uid="{F5A632FA-0226-4664-88AB-DC43AB4D78D4}"/>
    <cellStyle name="Style 24" xfId="2236" xr:uid="{64801112-5834-46F6-A290-D6DD225F260B}"/>
    <cellStyle name="Style 24 10" xfId="23370" xr:uid="{912852E0-426F-49D3-AFA7-10AD336E7BC9}"/>
    <cellStyle name="Style 24 2" xfId="2237" xr:uid="{21C8EDFA-0F44-4E97-9BA2-718887310908}"/>
    <cellStyle name="Style 24 2 2" xfId="9481" xr:uid="{B818EAA6-4DDF-4408-9AED-673CC6212B97}"/>
    <cellStyle name="Style 24 2 2 2" xfId="28945" xr:uid="{A529A7FF-3123-485D-91B6-5DCC4597662A}"/>
    <cellStyle name="Style 24 2 3" xfId="23371" xr:uid="{EB09AA8D-0044-47BF-89A1-EE1EBC500488}"/>
    <cellStyle name="Style 24 3" xfId="2238" xr:uid="{B10B8F15-905D-40FB-97BC-C4B8D2096BDE}"/>
    <cellStyle name="Style 24 3 2" xfId="2239" xr:uid="{A36930A0-2785-4D96-925B-D759ED074851}"/>
    <cellStyle name="Style 24 3 2 2" xfId="23373" xr:uid="{26A21A7B-AAB6-462B-B513-3E197F1FCDF5}"/>
    <cellStyle name="Style 24 3 3" xfId="2240" xr:uid="{29727D4E-F422-48D8-A74B-686BE2650EBE}"/>
    <cellStyle name="Style 24 3 3 2" xfId="2241" xr:uid="{2508E89B-629D-4E2C-92CD-8D6310BCA9E9}"/>
    <cellStyle name="Style 24 3 3 2 2" xfId="23375" xr:uid="{068A7C13-323D-4146-8CC8-8C3DB59B23B5}"/>
    <cellStyle name="Style 24 3 3 3" xfId="6050" xr:uid="{B550D951-F9EF-4581-BC85-BB03933BF102}"/>
    <cellStyle name="Style 24 3 3 3 2" xfId="23376" xr:uid="{EE4CAE46-BBF8-42DF-B5B4-107BF3D994BC}"/>
    <cellStyle name="Style 24 3 3 4" xfId="6051" xr:uid="{3F6E20D5-D021-4B3F-8CB5-A4CA2E2D2D51}"/>
    <cellStyle name="Style 24 3 3 4 2" xfId="24643" xr:uid="{EA44B501-2609-467C-8226-C2E25FF07A92}"/>
    <cellStyle name="Style 24 3 3 5" xfId="23374" xr:uid="{33802C59-8283-4B8C-B4D4-98C15BACD6BD}"/>
    <cellStyle name="Style 24 3 4" xfId="2242" xr:uid="{04B8CAF3-EFC5-4E8F-A457-8A5628F4DAE9}"/>
    <cellStyle name="Style 24 3 4 2" xfId="2243" xr:uid="{4A3C6345-0D3F-4B33-85E3-ACA12831EA98}"/>
    <cellStyle name="Style 24 3 4 2 2" xfId="23378" xr:uid="{63D225A1-EA2B-49A6-98CC-88548B946622}"/>
    <cellStyle name="Style 24 3 4 3" xfId="23377" xr:uid="{A3561BF3-1618-4E47-85D5-F64BD0FD0993}"/>
    <cellStyle name="Style 24 3 5" xfId="6052" xr:uid="{27EEB90D-4D59-430B-84E4-5046BB072E39}"/>
    <cellStyle name="Style 24 3 5 2" xfId="24644" xr:uid="{F12FB906-870E-4DE1-A247-1646D7476B4E}"/>
    <cellStyle name="Style 24 3 6" xfId="23372" xr:uid="{5E65EC7B-F18D-476B-86A4-1A1F0999D366}"/>
    <cellStyle name="Style 24 4" xfId="2244" xr:uid="{4E601D03-03B2-46AC-85F7-81A6713F5A3A}"/>
    <cellStyle name="Style 24 4 2" xfId="2245" xr:uid="{E62BFDB6-8D16-4D75-9648-6D6FA40798CC}"/>
    <cellStyle name="Style 24 4 2 2" xfId="23380" xr:uid="{5FA86356-DE5B-42E2-A3E8-BC94F47409D3}"/>
    <cellStyle name="Style 24 4 3" xfId="6053" xr:uid="{22999662-5FCF-40E8-97B4-1B3483C78600}"/>
    <cellStyle name="Style 24 4 3 2" xfId="23381" xr:uid="{B5BF842C-72AE-4D98-A247-4C8A59EC58BA}"/>
    <cellStyle name="Style 24 4 4" xfId="6054" xr:uid="{6D4AF498-A733-4870-A8CE-26CD3BF0EA03}"/>
    <cellStyle name="Style 24 4 4 2" xfId="24645" xr:uid="{38A52E7A-6D89-480C-882A-9D05283A4323}"/>
    <cellStyle name="Style 24 4 5" xfId="23379" xr:uid="{71EEFDFA-5D14-41C1-81B4-F7C5AEAB7FFC}"/>
    <cellStyle name="Style 24 5" xfId="2246" xr:uid="{CC05AD74-1D83-47CB-9429-C2F791117358}"/>
    <cellStyle name="Style 24 5 2" xfId="2247" xr:uid="{D0F785C0-F6BD-496B-9E4E-FDAF5EE29589}"/>
    <cellStyle name="Style 24 5 2 2" xfId="23383" xr:uid="{C2194623-31A2-4CB4-9CFD-B51548C6EE3A}"/>
    <cellStyle name="Style 24 5 3" xfId="23382" xr:uid="{1B8A83AA-4AA4-495C-8FBD-FB0EDA137EA4}"/>
    <cellStyle name="Style 24 6" xfId="2248" xr:uid="{440E9F14-90E3-4B21-A395-E692C504710E}"/>
    <cellStyle name="Style 24 6 2" xfId="2249" xr:uid="{66B65507-8AA2-4D80-B461-56EF64AF8006}"/>
    <cellStyle name="Style 24 6 2 2" xfId="24646" xr:uid="{C41DF959-7C26-4E20-9722-F7FC16F718B3}"/>
    <cellStyle name="Style 24 6 3" xfId="4141" xr:uid="{2BF364E0-6328-4AAC-8BC3-94518EC23B8C}"/>
    <cellStyle name="Style 24 6 3 2" xfId="28324" xr:uid="{9E8EC88B-D4F7-4025-8B1F-6DF990E8A842}"/>
    <cellStyle name="Style 24 6 4" xfId="23384" xr:uid="{5AF94770-83EA-49DA-8CBA-4761BCB6C2BE}"/>
    <cellStyle name="Style 24 7" xfId="4140" xr:uid="{6C161A33-B75B-4B2D-BA0B-3F8681870109}"/>
    <cellStyle name="Style 24 7 2" xfId="6056" xr:uid="{E8136A0B-2CEE-4199-A661-F90E5C8504F1}"/>
    <cellStyle name="Style 24 7 2 2" xfId="24647" xr:uid="{F5AE3D70-CF0B-4D44-BDC9-CACCFEB06D86}"/>
    <cellStyle name="Style 24 7 3" xfId="6055" xr:uid="{CF75ED22-1C4A-44DD-AC64-C682C8F10234}"/>
    <cellStyle name="Style 24 7 3 2" xfId="40721" xr:uid="{B9E5CFA1-8850-419B-93F5-6D961AB23B6F}"/>
    <cellStyle name="Style 24 7 4" xfId="23385" xr:uid="{1DAE15BB-A69C-442E-8091-37535D285BB9}"/>
    <cellStyle name="Style 24 8" xfId="6057" xr:uid="{7B1DE8D7-69E9-4C47-9862-6AE36B254FF9}"/>
    <cellStyle name="Style 24 8 2" xfId="24648" xr:uid="{EE683278-D471-4694-BF4E-9102902C876F}"/>
    <cellStyle name="Style 24 9" xfId="9482" xr:uid="{7392939D-12AB-4C3B-804F-9FA8FB57FC4E}"/>
    <cellStyle name="Style 24 9 2" xfId="26618" xr:uid="{D2C2E29B-EA84-4D1A-AAEE-311D61AEF711}"/>
    <cellStyle name="Style 24_ADDON" xfId="25743" xr:uid="{60B5B03B-187F-49D7-A6FE-8D66F42D6189}"/>
    <cellStyle name="Style 25" xfId="2250" xr:uid="{15FFB600-C528-4120-BC8D-672B401DD5FD}"/>
    <cellStyle name="Style 25 10" xfId="2251" xr:uid="{3A76C0D9-B409-4EA5-8C23-B7550076A346}"/>
    <cellStyle name="Style 25 10 2" xfId="2252" xr:uid="{EC0A2A7D-B40C-483B-B49F-9E75365B79C2}"/>
    <cellStyle name="Style 25 10 2 2" xfId="6058" xr:uid="{1B30FEB5-051E-4AE8-8E34-5CD98F324E86}"/>
    <cellStyle name="Style 25 10 2 2 2" xfId="27529" xr:uid="{2E316A0B-42AC-40A5-8BE7-66A190EFB9EB}"/>
    <cellStyle name="Style 25 10 2 3" xfId="24649" xr:uid="{792C5F24-4900-4666-A8AE-AE12DD1EB59C}"/>
    <cellStyle name="Style 25 10 3" xfId="4142" xr:uid="{1711B4BE-8444-4ECD-B305-B618DCF5E027}"/>
    <cellStyle name="Style 25 10 3 2" xfId="27528" xr:uid="{A6B7598F-5B2F-47E9-B998-1DE5A431A720}"/>
    <cellStyle name="Style 25 10 4" xfId="23387" xr:uid="{25DCDFBF-8D47-4B8B-B3ED-5A20E447B142}"/>
    <cellStyle name="Style 25 11" xfId="2253" xr:uid="{13029BEE-F05E-4A19-9471-392EB7142B59}"/>
    <cellStyle name="Style 25 11 2" xfId="2254" xr:uid="{ED18D6FC-D630-4341-ABC1-23E802B55CBF}"/>
    <cellStyle name="Style 25 11 2 2" xfId="6060" xr:uid="{16B36534-0331-46F4-B8E8-44FAD085D5B5}"/>
    <cellStyle name="Style 25 11 2 2 2" xfId="27531" xr:uid="{322823EE-73A3-428A-98C4-19574CB052A3}"/>
    <cellStyle name="Style 25 11 2 3" xfId="24650" xr:uid="{4C7DC7ED-DC06-4D85-AF67-E5C2B3CB361B}"/>
    <cellStyle name="Style 25 11 3" xfId="6059" xr:uid="{CB2EEE2A-A2E9-4878-BED1-C98DED5FB85F}"/>
    <cellStyle name="Style 25 11 3 2" xfId="27530" xr:uid="{9A798E2F-D25A-4653-94D9-C1A337636C5B}"/>
    <cellStyle name="Style 25 11 4" xfId="23388" xr:uid="{442F1EA1-FA3B-4C46-8F1A-967E41201C7C}"/>
    <cellStyle name="Style 25 12" xfId="2255" xr:uid="{5BC81BD4-1D40-40D0-A998-F03923240510}"/>
    <cellStyle name="Style 25 12 2" xfId="6061" xr:uid="{0BEEF908-1287-477A-9F3C-34852E948BFC}"/>
    <cellStyle name="Style 25 12 2 2" xfId="27532" xr:uid="{77EF1E33-A0FA-4F99-83F9-7D240C23332D}"/>
    <cellStyle name="Style 25 12 3" xfId="9483" xr:uid="{031C7C07-3B38-434A-AF38-3F300A2D4219}"/>
    <cellStyle name="Style 25 12 3 2" xfId="28946" xr:uid="{35F6FB11-C353-44FE-BA22-6F07FA39E309}"/>
    <cellStyle name="Style 25 12 4" xfId="9484" xr:uid="{0DBB091D-3E5F-4FA3-BEFD-80CEA2E85605}"/>
    <cellStyle name="Style 25 12 4 2" xfId="28947" xr:uid="{C292462C-D713-4DE7-B518-31B1269772A6}"/>
    <cellStyle name="Style 25 12 5" xfId="9485" xr:uid="{D9B71506-4A05-42D0-8FCD-2C0F569EC673}"/>
    <cellStyle name="Style 25 12 5 2" xfId="28948" xr:uid="{53D09483-E531-4847-AC85-307562A28E19}"/>
    <cellStyle name="Style 25 12 6" xfId="9486" xr:uid="{D3F36DF8-E22A-48D6-B8D7-80DAE72F217F}"/>
    <cellStyle name="Style 25 12 6 2" xfId="28949" xr:uid="{9DB42562-1FD7-48F0-AA2D-4A7B08047222}"/>
    <cellStyle name="Style 25 12 7" xfId="24651" xr:uid="{077B07B8-0055-4BE7-9872-48FF7FA769EA}"/>
    <cellStyle name="Style 25 13" xfId="9487" xr:uid="{D1F23AB1-B689-4E91-93B9-2A1B898108D3}"/>
    <cellStyle name="Style 25 13 2" xfId="9488" xr:uid="{562AB925-F514-4CE1-8BA4-15D0CB1D29DA}"/>
    <cellStyle name="Style 25 13 2 2" xfId="28950" xr:uid="{480E89D2-88BA-4D84-9F55-D6385F7029A2}"/>
    <cellStyle name="Style 25 13 3" xfId="9489" xr:uid="{F1909850-153A-4D82-AAED-5293947C1407}"/>
    <cellStyle name="Style 25 13 3 2" xfId="28951" xr:uid="{1B7CA36A-2009-4E07-8D48-8CA3B804A7EC}"/>
    <cellStyle name="Style 25 13 4" xfId="26619" xr:uid="{C75A422C-07F5-42C8-8E7B-A9CEC18313D8}"/>
    <cellStyle name="Style 25 14" xfId="9490" xr:uid="{BA2D713C-8BCD-44B7-8ECF-1F24CEA4CE0E}"/>
    <cellStyle name="Style 25 14 2" xfId="9491" xr:uid="{571E9D48-7E5B-45EF-8E76-D1BB9DDCA574}"/>
    <cellStyle name="Style 25 14 2 2" xfId="28953" xr:uid="{E8CAB80A-D8E5-4D48-8089-C7DB8BBC747B}"/>
    <cellStyle name="Style 25 14 3" xfId="28952" xr:uid="{C2D9DECE-0F45-41D6-A9AC-2229AB1716BD}"/>
    <cellStyle name="Style 25 15" xfId="9492" xr:uid="{91ED4835-7A7F-4BBA-B42C-F96C0DBF97B6}"/>
    <cellStyle name="Style 25 15 2" xfId="9493" xr:uid="{2AB89BB8-3E27-4883-B5BE-C3A1ADE52970}"/>
    <cellStyle name="Style 25 15 2 2" xfId="28955" xr:uid="{DD55954E-0375-4833-B554-A130160E2C79}"/>
    <cellStyle name="Style 25 15 3" xfId="28954" xr:uid="{486B278B-DA78-4CE3-A3F2-6870598BF331}"/>
    <cellStyle name="Style 25 16" xfId="23386" xr:uid="{594C3A00-1CE7-4EAC-BB2B-A07AD95A59E2}"/>
    <cellStyle name="Style 25 2" xfId="2256" xr:uid="{CD4C069E-6A17-4CA6-A6E9-91ADC8B14D11}"/>
    <cellStyle name="Style 25 2 2" xfId="4390" xr:uid="{8B9B0B21-3B75-4B3B-A676-F4B10A2C00B8}"/>
    <cellStyle name="Style 25 2 2 2" xfId="26620" xr:uid="{87F7D233-995E-424C-9556-6583690C6F6D}"/>
    <cellStyle name="Style 25 2 3" xfId="23389" xr:uid="{1D2EC225-65C8-4D6E-994C-A84320700518}"/>
    <cellStyle name="Style 25 3" xfId="2257" xr:uid="{C11159CA-2DE1-49D5-A8F0-1BC237388C5B}"/>
    <cellStyle name="Style 25 3 2" xfId="2258" xr:uid="{002E1A5E-B862-453B-84E6-B9679A7035D6}"/>
    <cellStyle name="Style 25 3 2 2" xfId="2259" xr:uid="{726FF3BB-F7F5-485E-900D-14E2061E1CDB}"/>
    <cellStyle name="Style 25 3 2 2 2" xfId="6062" xr:uid="{ABB38237-B879-4797-AE53-FE318741B9A2}"/>
    <cellStyle name="Style 25 3 2 2 2 2" xfId="27533" xr:uid="{E6B02BDF-B742-459A-A936-EFF1B560DE67}"/>
    <cellStyle name="Style 25 3 2 2 3" xfId="23392" xr:uid="{EB122932-641C-4F07-B97E-5AC284192122}"/>
    <cellStyle name="Style 25 3 2 3" xfId="4392" xr:uid="{60C60006-CB05-4EDF-8EA1-B44E0A4F849B}"/>
    <cellStyle name="Style 25 3 2 3 2" xfId="26622" xr:uid="{F90DA5E3-14B9-4068-ABDF-0897B487E0D8}"/>
    <cellStyle name="Style 25 3 2 4" xfId="23391" xr:uid="{36296B1A-5B6B-443B-B268-5D8447C72AD8}"/>
    <cellStyle name="Style 25 3 3" xfId="2260" xr:uid="{B58DD52B-5145-41FB-98AA-7A7DDE9A89C7}"/>
    <cellStyle name="Style 25 3 3 2" xfId="2261" xr:uid="{E410B8D9-119B-4D2C-98B8-C55F41943434}"/>
    <cellStyle name="Style 25 3 3 2 2" xfId="6064" xr:uid="{1E8B5494-1ADB-41C6-9E9C-5E8559A54F02}"/>
    <cellStyle name="Style 25 3 3 2 2 2" xfId="27535" xr:uid="{6542C535-6910-402E-89F8-58A213D26218}"/>
    <cellStyle name="Style 25 3 3 2 3" xfId="23394" xr:uid="{BD2D741E-326D-485A-BC4C-4E8395997DFA}"/>
    <cellStyle name="Style 25 3 3 3" xfId="2262" xr:uid="{02C7B43A-CE42-4508-BC5B-9C0E597AC7EE}"/>
    <cellStyle name="Style 25 3 3 3 2" xfId="2263" xr:uid="{FF912AEA-4BC6-4453-B333-1D9CE3DABFBF}"/>
    <cellStyle name="Style 25 3 3 3 2 2" xfId="6066" xr:uid="{D2EBD5C1-264F-48A3-9AC9-47FF89257BA0}"/>
    <cellStyle name="Style 25 3 3 3 2 2 2" xfId="27537" xr:uid="{9CE29D68-1BA8-4A44-80FF-2C8FA3D4669C}"/>
    <cellStyle name="Style 25 3 3 3 2 3" xfId="23396" xr:uid="{B8E51568-E97F-4D35-A697-9C945D9ADB6F}"/>
    <cellStyle name="Style 25 3 3 3 3" xfId="6067" xr:uid="{8060D2BD-C867-42C5-A058-E35849A2814F}"/>
    <cellStyle name="Style 25 3 3 3 3 2" xfId="23397" xr:uid="{9B3819CD-D787-46F4-9623-21B3276CDD44}"/>
    <cellStyle name="Style 25 3 3 3 4" xfId="6068" xr:uid="{4CC77DB9-7019-4482-9434-C46681CB4C55}"/>
    <cellStyle name="Style 25 3 3 3 4 2" xfId="24652" xr:uid="{54B9058A-4C32-46B3-8697-B6FC5D8CEAF5}"/>
    <cellStyle name="Style 25 3 3 3 5" xfId="6065" xr:uid="{354D040F-42BA-473F-B373-9EDD6FA172B8}"/>
    <cellStyle name="Style 25 3 3 3 5 2" xfId="27536" xr:uid="{5B63604E-4E2B-408E-9DF1-CA51A8537CC3}"/>
    <cellStyle name="Style 25 3 3 3 6" xfId="23395" xr:uid="{2FE887EB-1458-45B1-B126-8918460B791B}"/>
    <cellStyle name="Style 25 3 3 4" xfId="2264" xr:uid="{AF8F55CA-8F4B-4D62-8177-369272F6F61A}"/>
    <cellStyle name="Style 25 3 3 4 2" xfId="2265" xr:uid="{F2B1F9EF-1276-4F00-9292-23182A3E44FA}"/>
    <cellStyle name="Style 25 3 3 4 2 2" xfId="6070" xr:uid="{59F9EA8E-25C6-4ED0-9CC8-F594416445AA}"/>
    <cellStyle name="Style 25 3 3 4 2 2 2" xfId="27539" xr:uid="{614F472B-CF1A-4446-8C83-0A50B045ACF1}"/>
    <cellStyle name="Style 25 3 3 4 2 3" xfId="23399" xr:uid="{88A19293-0F3A-440A-9754-09FC2D77349B}"/>
    <cellStyle name="Style 25 3 3 4 3" xfId="6069" xr:uid="{43A94632-F0DE-4E3E-B6D8-9B732EF5FCBE}"/>
    <cellStyle name="Style 25 3 3 4 3 2" xfId="27538" xr:uid="{A1C00929-6B0B-4924-A9AD-1F3A047125D1}"/>
    <cellStyle name="Style 25 3 3 4 4" xfId="23398" xr:uid="{DD8FBF26-37D0-4669-9B8A-71391F747A8D}"/>
    <cellStyle name="Style 25 3 3 5" xfId="6071" xr:uid="{8F40E5C5-F98C-495E-8871-44EA61767FFD}"/>
    <cellStyle name="Style 25 3 3 5 2" xfId="24653" xr:uid="{F2FCBF1E-1B7B-417F-9713-25572D41957A}"/>
    <cellStyle name="Style 25 3 3 6" xfId="6063" xr:uid="{A26FC13C-6FC4-49BE-88CC-F41DD653491F}"/>
    <cellStyle name="Style 25 3 3 6 2" xfId="27534" xr:uid="{2C606CF5-3DA6-453F-9F25-1A7F9545143D}"/>
    <cellStyle name="Style 25 3 3 7" xfId="23393" xr:uid="{376B8E59-B085-4405-A9DC-0943DF06C90E}"/>
    <cellStyle name="Style 25 3 4" xfId="2266" xr:uid="{B84F73BA-B729-4C8D-87B1-76C23B8FA9FE}"/>
    <cellStyle name="Style 25 3 4 2" xfId="6073" xr:uid="{41FBEB92-E066-47C7-AE0F-F0F5F398D071}"/>
    <cellStyle name="Style 25 3 4 2 2" xfId="23401" xr:uid="{0C54BC94-5F72-4DF3-B887-F988994C3C3D}"/>
    <cellStyle name="Style 25 3 4 3" xfId="6074" xr:uid="{9CA0157F-6CE8-488F-B20F-D3942025BCA1}"/>
    <cellStyle name="Style 25 3 4 3 2" xfId="24654" xr:uid="{7C933EAD-5FE7-4116-87B9-13B551491962}"/>
    <cellStyle name="Style 25 3 4 4" xfId="6072" xr:uid="{B8607E7F-B0AB-45DB-B904-E367164E4CFA}"/>
    <cellStyle name="Style 25 3 4 4 2" xfId="27540" xr:uid="{0CAFA2F4-466C-444A-8B11-6B13367024D7}"/>
    <cellStyle name="Style 25 3 4 5" xfId="23400" xr:uid="{681D6DAB-7BDC-4581-A22D-20C915F6088D}"/>
    <cellStyle name="Style 25 3 5" xfId="6075" xr:uid="{FF3D5009-B346-4AA5-80CC-437403DD57ED}"/>
    <cellStyle name="Style 25 3 5 2" xfId="9494" xr:uid="{EC02FBE2-3C74-4F68-81BD-572B70071E05}"/>
    <cellStyle name="Style 25 3 5 2 2" xfId="27541" xr:uid="{7671B5CF-5BB5-4231-89E5-68D08F996CC3}"/>
    <cellStyle name="Style 25 3 5 3" xfId="23402" xr:uid="{0E5ED062-FFC3-41D6-AB9D-A8B90E42061D}"/>
    <cellStyle name="Style 25 3 6" xfId="4391" xr:uid="{59A09349-CCB4-4713-993D-0B5F31332E00}"/>
    <cellStyle name="Style 25 3 6 2" xfId="26621" xr:uid="{F6C02026-6B4B-435E-8485-418D1ACF2D8B}"/>
    <cellStyle name="Style 25 3 7" xfId="23390" xr:uid="{95557A90-E26D-45C7-9D6E-1C1CB3A6E29C}"/>
    <cellStyle name="Style 25 4" xfId="2267" xr:uid="{475BC71C-60CB-42B7-BC0A-4248EE91066A}"/>
    <cellStyle name="Style 25 4 2" xfId="2268" xr:uid="{A69EF27B-0D59-4C0E-AC4B-65A2526668B5}"/>
    <cellStyle name="Style 25 4 2 2" xfId="2269" xr:uid="{CE54E862-C496-4685-982F-C74C4C03C928}"/>
    <cellStyle name="Style 25 4 2 2 2" xfId="6078" xr:uid="{FFF44EC8-5B9C-4F78-9831-F38C3D779865}"/>
    <cellStyle name="Style 25 4 2 2 2 2" xfId="27543" xr:uid="{410D2DFA-116D-4576-98A3-6D4A687CC212}"/>
    <cellStyle name="Style 25 4 2 2 3" xfId="23405" xr:uid="{2A7FAA2F-DB15-41B1-AD5A-B1571C8849BB}"/>
    <cellStyle name="Style 25 4 2 3" xfId="2270" xr:uid="{0F46BF35-B460-4865-8100-375A7C235804}"/>
    <cellStyle name="Style 25 4 2 3 2" xfId="2271" xr:uid="{CD40DC73-4B82-4CCA-BF11-7DA4F2B07F02}"/>
    <cellStyle name="Style 25 4 2 3 2 2" xfId="6080" xr:uid="{22783CB6-B5C8-40B2-86BA-DE5DAE25A8D2}"/>
    <cellStyle name="Style 25 4 2 3 2 2 2" xfId="27545" xr:uid="{798BF24F-067A-4D74-A719-528A54F1E99D}"/>
    <cellStyle name="Style 25 4 2 3 2 3" xfId="23407" xr:uid="{D4A81B56-1A84-4F71-B705-4E3592757B56}"/>
    <cellStyle name="Style 25 4 2 3 3" xfId="6081" xr:uid="{E3D4821E-783C-44E9-969D-D4618AB9875B}"/>
    <cellStyle name="Style 25 4 2 3 3 2" xfId="23408" xr:uid="{6EA5ACCB-739D-4C6C-9C42-5FD556AD682C}"/>
    <cellStyle name="Style 25 4 2 3 4" xfId="6082" xr:uid="{F5C7953A-935D-44ED-BD83-49291B360896}"/>
    <cellStyle name="Style 25 4 2 3 4 2" xfId="24655" xr:uid="{7A062BD8-0382-40CF-9293-ADD305EDE140}"/>
    <cellStyle name="Style 25 4 2 3 5" xfId="6079" xr:uid="{33A79DD9-F9B0-4C07-AC0F-7FB1388A5CBC}"/>
    <cellStyle name="Style 25 4 2 3 5 2" xfId="27544" xr:uid="{63400E74-7BFF-49C8-9F2D-DF8AAD778CDD}"/>
    <cellStyle name="Style 25 4 2 3 6" xfId="23406" xr:uid="{83A0DB55-E8EB-4F9B-8107-B775C5E05165}"/>
    <cellStyle name="Style 25 4 2 4" xfId="2272" xr:uid="{F319EBC2-7A93-440E-9F0B-F5519FEDD18D}"/>
    <cellStyle name="Style 25 4 2 4 2" xfId="2273" xr:uid="{DD725089-30D6-4BCE-B434-13A0E378BB31}"/>
    <cellStyle name="Style 25 4 2 4 2 2" xfId="6084" xr:uid="{88B7AC99-298B-4F53-925F-2782B153658F}"/>
    <cellStyle name="Style 25 4 2 4 2 2 2" xfId="27547" xr:uid="{6A42B49D-A521-45C9-B6EE-2B5C95FA0E5A}"/>
    <cellStyle name="Style 25 4 2 4 2 3" xfId="23410" xr:uid="{34E56172-E87C-406C-AC2F-8B224C030AA1}"/>
    <cellStyle name="Style 25 4 2 4 3" xfId="6083" xr:uid="{AA0124CC-4ABB-418F-89F2-EC6D495DE5E1}"/>
    <cellStyle name="Style 25 4 2 4 3 2" xfId="27546" xr:uid="{847A31FE-14D9-4409-8E04-48EC75BF932F}"/>
    <cellStyle name="Style 25 4 2 4 4" xfId="23409" xr:uid="{8E1EB314-AD47-4C23-9228-250C9AD19EC9}"/>
    <cellStyle name="Style 25 4 2 5" xfId="6085" xr:uid="{7DB70FA9-EA57-4037-9352-B3E7963AEE89}"/>
    <cellStyle name="Style 25 4 2 5 2" xfId="24656" xr:uid="{6FC9F21C-A8EB-460B-B8C9-CCF124F2A98D}"/>
    <cellStyle name="Style 25 4 2 6" xfId="6077" xr:uid="{E60F255B-2655-48C0-B294-3A6C0BAD5B30}"/>
    <cellStyle name="Style 25 4 2 6 2" xfId="27542" xr:uid="{8D08671D-2A35-4A08-AEAC-80C79D195652}"/>
    <cellStyle name="Style 25 4 2 7" xfId="23404" xr:uid="{DA7C28BF-C76A-46F9-9BB9-3B0F904241E3}"/>
    <cellStyle name="Style 25 4 3" xfId="2274" xr:uid="{B0CC98B0-D8FE-4C61-B3A0-5B944C981F83}"/>
    <cellStyle name="Style 25 4 3 2" xfId="6086" xr:uid="{B22132B9-1339-40A0-8B38-142B2EF3AEB1}"/>
    <cellStyle name="Style 25 4 3 2 2" xfId="27548" xr:uid="{1F426600-6185-4663-BE42-3941653C35DC}"/>
    <cellStyle name="Style 25 4 3 3" xfId="23411" xr:uid="{A06049DA-3697-42EF-9494-6D6E2279E8F6}"/>
    <cellStyle name="Style 25 4 4" xfId="6087" xr:uid="{041268C3-8A71-4996-ADEB-A4BD6C20BED3}"/>
    <cellStyle name="Style 25 4 4 2" xfId="6088" xr:uid="{968497B8-7D8F-4DDB-BB02-DEBCB43625BD}"/>
    <cellStyle name="Style 25 4 4 2 2" xfId="24657" xr:uid="{3B9C8660-4DA7-455C-94E9-21CE58B3E985}"/>
    <cellStyle name="Style 25 4 4 3" xfId="23412" xr:uid="{582FABC0-ABB1-4965-81BA-CF0767F7EED1}"/>
    <cellStyle name="Style 25 4 5" xfId="6076" xr:uid="{22EA4B87-5A64-4DEA-A004-24E29F834F0D}"/>
    <cellStyle name="Style 25 4 5 2" xfId="25941" xr:uid="{7402827A-A8D2-4967-8E83-D190DB5D38EA}"/>
    <cellStyle name="Style 25 4 6" xfId="4393" xr:uid="{231CB850-F304-48F3-81F3-F0F180A28DA3}"/>
    <cellStyle name="Style 25 4 6 2" xfId="26623" xr:uid="{5D1F4BB4-3379-4946-A911-5E3EE6A39528}"/>
    <cellStyle name="Style 25 4 7" xfId="23403" xr:uid="{F6620239-F7A8-4864-8855-15768035D8D2}"/>
    <cellStyle name="Style 25 5" xfId="2275" xr:uid="{812F2029-D32E-4C19-A42E-D92BC735ADF6}"/>
    <cellStyle name="Style 25 5 2" xfId="2276" xr:uid="{97AE3C18-B645-40F3-91B5-DEBABC5832BB}"/>
    <cellStyle name="Style 25 5 2 2" xfId="2277" xr:uid="{5B67EEB2-822B-4645-AB48-04EE0558CA12}"/>
    <cellStyle name="Style 25 5 2 2 2" xfId="6091" xr:uid="{FBB7CDF4-1055-44A2-AA84-25D70AEA3C8B}"/>
    <cellStyle name="Style 25 5 2 2 2 2" xfId="27550" xr:uid="{B84C0304-C91C-4633-96E3-B5FFC0D706E2}"/>
    <cellStyle name="Style 25 5 2 2 3" xfId="23415" xr:uid="{7D045514-B167-4417-A474-FAE58402DA40}"/>
    <cellStyle name="Style 25 5 2 3" xfId="2278" xr:uid="{14BA458E-52C1-4739-8D4A-CDBC0E786A30}"/>
    <cellStyle name="Style 25 5 2 3 2" xfId="2279" xr:uid="{FAE7FBDA-83C9-4C32-B3DA-FB3809D5D332}"/>
    <cellStyle name="Style 25 5 2 3 2 2" xfId="6093" xr:uid="{5CB6F906-10D0-4A39-9A61-9779E74299C8}"/>
    <cellStyle name="Style 25 5 2 3 2 2 2" xfId="27552" xr:uid="{A4582C63-6AAA-4650-A42C-001CB11DA6E6}"/>
    <cellStyle name="Style 25 5 2 3 2 3" xfId="23417" xr:uid="{282A7847-8118-471A-82B7-61B1B2F95C12}"/>
    <cellStyle name="Style 25 5 2 3 3" xfId="6094" xr:uid="{C7077998-21AF-4C95-811F-E19A515A8547}"/>
    <cellStyle name="Style 25 5 2 3 3 2" xfId="23418" xr:uid="{364F3FFF-640D-4F56-BC25-149B019B494C}"/>
    <cellStyle name="Style 25 5 2 3 4" xfId="6095" xr:uid="{E7A4F09E-32C6-49AC-8FA7-695FC9E136DA}"/>
    <cellStyle name="Style 25 5 2 3 4 2" xfId="24658" xr:uid="{69242C5D-A932-4827-BF6A-DDF5CE928B82}"/>
    <cellStyle name="Style 25 5 2 3 5" xfId="6092" xr:uid="{13810358-3F28-4C70-A22C-6E7C77DFAF60}"/>
    <cellStyle name="Style 25 5 2 3 5 2" xfId="27551" xr:uid="{9465EDCF-6204-430B-B3D7-AD118CB98DEA}"/>
    <cellStyle name="Style 25 5 2 3 6" xfId="23416" xr:uid="{1A7768AE-6DC8-4C72-8512-2B13C0229D28}"/>
    <cellStyle name="Style 25 5 2 4" xfId="2280" xr:uid="{7956BE90-0922-45E8-9802-2C65923EF37F}"/>
    <cellStyle name="Style 25 5 2 4 2" xfId="2281" xr:uid="{0A1B3D84-0334-4E87-AE3B-00300CF5021E}"/>
    <cellStyle name="Style 25 5 2 4 2 2" xfId="6097" xr:uid="{16BEE427-A78D-4A76-835F-D4219BC5625E}"/>
    <cellStyle name="Style 25 5 2 4 2 2 2" xfId="27554" xr:uid="{DB91990C-56C3-4C70-9752-086DD78A5F49}"/>
    <cellStyle name="Style 25 5 2 4 2 3" xfId="23420" xr:uid="{DBCCD062-DF47-4CD9-8072-5D0DDDD932CB}"/>
    <cellStyle name="Style 25 5 2 4 3" xfId="6096" xr:uid="{716EEB10-8949-4E13-B1C7-CED8F1335075}"/>
    <cellStyle name="Style 25 5 2 4 3 2" xfId="27553" xr:uid="{2CD2C395-5A12-4E19-A415-5488E0616D16}"/>
    <cellStyle name="Style 25 5 2 4 4" xfId="23419" xr:uid="{D74A9E0C-9F03-40D5-8BB9-A8991B221664}"/>
    <cellStyle name="Style 25 5 2 5" xfId="6098" xr:uid="{A3A6DE47-2B82-4704-9B03-984B68533DC0}"/>
    <cellStyle name="Style 25 5 2 5 2" xfId="24659" xr:uid="{E29DC459-F153-40F9-8A0C-BD47FD2B4A23}"/>
    <cellStyle name="Style 25 5 2 6" xfId="6090" xr:uid="{40E3D40B-8603-4D26-9603-C5D97F0C88F7}"/>
    <cellStyle name="Style 25 5 2 6 2" xfId="27549" xr:uid="{68F6AAB8-BD37-4261-8DC4-7762DF9A4705}"/>
    <cellStyle name="Style 25 5 2 7" xfId="23414" xr:uid="{2FF85BE4-DF21-464F-85B4-35ABD573E755}"/>
    <cellStyle name="Style 25 5 3" xfId="2282" xr:uid="{B9EB0561-FAF6-48AC-A784-63C83D967948}"/>
    <cellStyle name="Style 25 5 3 2" xfId="6099" xr:uid="{D87FB0C1-5B2F-43A2-8C27-ABEF114CBE4E}"/>
    <cellStyle name="Style 25 5 3 2 2" xfId="27555" xr:uid="{D5D6ADF2-C096-4649-A806-57AB67D6F8A9}"/>
    <cellStyle name="Style 25 5 3 3" xfId="23421" xr:uid="{E0B508E9-64B4-4EE4-840D-F53D8EEF1A91}"/>
    <cellStyle name="Style 25 5 4" xfId="6100" xr:uid="{13B38307-5D05-4BAE-9A74-2544D8D572B8}"/>
    <cellStyle name="Style 25 5 4 2" xfId="6101" xr:uid="{A45E844E-1D15-4E32-B726-4990511AEF44}"/>
    <cellStyle name="Style 25 5 4 2 2" xfId="24660" xr:uid="{503A239E-BEA6-431F-A9AF-382C0B57B873}"/>
    <cellStyle name="Style 25 5 4 3" xfId="23422" xr:uid="{DCBA61A1-13DD-4CFE-B555-90CFB10AA3D6}"/>
    <cellStyle name="Style 25 5 5" xfId="6089" xr:uid="{03C68493-ADDE-45DB-8D98-EF6079A14B4E}"/>
    <cellStyle name="Style 25 5 5 2" xfId="25942" xr:uid="{88C8F276-D649-4805-8C0B-C42A45C8C4EB}"/>
    <cellStyle name="Style 25 5 6" xfId="4394" xr:uid="{31E8999C-F555-4658-AE03-7238A9A87425}"/>
    <cellStyle name="Style 25 5 6 2" xfId="26624" xr:uid="{32808FEB-9D75-4BA1-94E1-60C6D493B14B}"/>
    <cellStyle name="Style 25 5 7" xfId="23413" xr:uid="{9B4AB976-8145-4CD8-B59C-9C09BA464CCB}"/>
    <cellStyle name="Style 25 6" xfId="2283" xr:uid="{7346CD86-45AB-47C3-9E74-A696DD1E885A}"/>
    <cellStyle name="Style 25 6 2" xfId="2284" xr:uid="{173A01BB-BB3A-46FE-B713-498B4AD06C8F}"/>
    <cellStyle name="Style 25 6 2 2" xfId="6103" xr:uid="{4190AEDB-226F-42F0-9447-76A13BBF23DF}"/>
    <cellStyle name="Style 25 6 2 2 2" xfId="27557" xr:uid="{91866EBA-1214-40EE-A68A-D9A6B8AFC6D1}"/>
    <cellStyle name="Style 25 6 2 3" xfId="23424" xr:uid="{655025A2-DD0D-4BAE-9123-10001F291700}"/>
    <cellStyle name="Style 25 6 3" xfId="2285" xr:uid="{97A60BEB-B268-4793-AA32-1FA303364FC0}"/>
    <cellStyle name="Style 25 6 3 2" xfId="2286" xr:uid="{A4C2DC7D-1C0F-4E3E-87F0-1BC8B171F19F}"/>
    <cellStyle name="Style 25 6 3 2 2" xfId="6105" xr:uid="{CA656FA9-18D7-4422-AABD-E17447B5EEC2}"/>
    <cellStyle name="Style 25 6 3 2 2 2" xfId="27559" xr:uid="{31EC7BAF-F581-480E-B558-332295D56C19}"/>
    <cellStyle name="Style 25 6 3 2 3" xfId="23426" xr:uid="{AE8FFD5E-9040-4231-93C0-1981610AE6B8}"/>
    <cellStyle name="Style 25 6 3 3" xfId="6106" xr:uid="{99D50233-1F26-4ED5-814D-D9E91B445FF0}"/>
    <cellStyle name="Style 25 6 3 3 2" xfId="23427" xr:uid="{224F4C42-9130-44EF-B648-4365F42BFC85}"/>
    <cellStyle name="Style 25 6 3 4" xfId="6107" xr:uid="{563AA175-301C-4A23-BD8D-BFFD34278B3D}"/>
    <cellStyle name="Style 25 6 3 4 2" xfId="24661" xr:uid="{1F13B895-C1A7-4947-A60E-62BA6F2EC3B4}"/>
    <cellStyle name="Style 25 6 3 5" xfId="6104" xr:uid="{1588AB9F-D1F4-4F4A-9CCB-1B84459BBAAB}"/>
    <cellStyle name="Style 25 6 3 5 2" xfId="27558" xr:uid="{D10722D7-C6B7-4098-B7EA-CB4555B67D5C}"/>
    <cellStyle name="Style 25 6 3 6" xfId="23425" xr:uid="{BD607779-8DD7-4D4D-9234-2F0F5B1FC910}"/>
    <cellStyle name="Style 25 6 4" xfId="2287" xr:uid="{539E54B9-C2C5-48AE-A8F9-556CFAC0C2E2}"/>
    <cellStyle name="Style 25 6 4 2" xfId="2288" xr:uid="{DBB7921C-5E1E-4501-A382-48BDE4C62D7F}"/>
    <cellStyle name="Style 25 6 4 2 2" xfId="6109" xr:uid="{295AFBAD-B67D-4D81-9EED-16967BCA6B8C}"/>
    <cellStyle name="Style 25 6 4 2 2 2" xfId="27561" xr:uid="{E50D1A78-6DBC-4E73-9F66-911D069E6B66}"/>
    <cellStyle name="Style 25 6 4 2 3" xfId="23429" xr:uid="{16FBAD7F-CB7B-4BB1-923F-7CD2A8303098}"/>
    <cellStyle name="Style 25 6 4 3" xfId="6108" xr:uid="{32CC37E5-716C-446E-88C3-2F9C8A553B1B}"/>
    <cellStyle name="Style 25 6 4 3 2" xfId="27560" xr:uid="{2782A46C-1466-4CE3-9C96-15286FCD414F}"/>
    <cellStyle name="Style 25 6 4 4" xfId="23428" xr:uid="{C8A32BFD-83C1-4AEB-B437-479539FEE2D7}"/>
    <cellStyle name="Style 25 6 5" xfId="6110" xr:uid="{CE1C54DD-8AB4-4F5D-8737-129D6407C354}"/>
    <cellStyle name="Style 25 6 5 2" xfId="24662" xr:uid="{2701501D-9E0C-4CD3-A9C3-8375A09D5D1F}"/>
    <cellStyle name="Style 25 6 6" xfId="6102" xr:uid="{1AED1429-D1EF-4948-B61D-E0905615AC01}"/>
    <cellStyle name="Style 25 6 6 2" xfId="27556" xr:uid="{04BF4AA3-8264-4F3F-BECD-F009C120B5FE}"/>
    <cellStyle name="Style 25 6 7" xfId="23423" xr:uid="{6F22FBA2-B9B7-45CE-8841-96294CB0A658}"/>
    <cellStyle name="Style 25 7" xfId="2289" xr:uid="{81F16F92-2A57-4E3D-9C12-26F06F1F9B14}"/>
    <cellStyle name="Style 25 7 2" xfId="2290" xr:uid="{2FEFDCFA-E2A2-4D66-9C02-AC2C627D6263}"/>
    <cellStyle name="Style 25 7 2 2" xfId="6112" xr:uid="{D32F18A1-E53F-4C09-8A29-244AD260AC80}"/>
    <cellStyle name="Style 25 7 2 2 2" xfId="27563" xr:uid="{30B11808-9C66-4FD8-B1D7-2261F0B687AF}"/>
    <cellStyle name="Style 25 7 2 3" xfId="23431" xr:uid="{DEE43661-305C-4854-9281-68C15DA6B0CB}"/>
    <cellStyle name="Style 25 7 3" xfId="6113" xr:uid="{DD6B7672-9C58-4BFC-85CF-E56E0012C8E8}"/>
    <cellStyle name="Style 25 7 3 2" xfId="23432" xr:uid="{5A9803F0-CCA8-4EB1-A289-22B1F47FCDFC}"/>
    <cellStyle name="Style 25 7 4" xfId="6114" xr:uid="{42C728CC-8502-434E-BD3F-D36F5160E0BA}"/>
    <cellStyle name="Style 25 7 4 2" xfId="24663" xr:uid="{B7F01D01-7B9F-43B4-806B-0B1057661BEC}"/>
    <cellStyle name="Style 25 7 5" xfId="6111" xr:uid="{B1F8C66B-4006-4C36-814D-D175C9B4BBAC}"/>
    <cellStyle name="Style 25 7 5 2" xfId="27562" xr:uid="{A9138F29-4B95-49E6-8E33-62CAC428F1FF}"/>
    <cellStyle name="Style 25 7 6" xfId="23430" xr:uid="{E4B921F0-7F37-461C-ADD2-0ABC9692E88E}"/>
    <cellStyle name="Style 25 8" xfId="2291" xr:uid="{7A643D6E-DDA0-40B2-A9CB-F098533AC13F}"/>
    <cellStyle name="Style 25 8 2" xfId="2292" xr:uid="{223A4A25-FDAD-4CCB-B8A0-B6AC059B96D1}"/>
    <cellStyle name="Style 25 8 2 2" xfId="6116" xr:uid="{BEEA3A8A-4EFA-42DD-BBA2-FBD7CE7C8D74}"/>
    <cellStyle name="Style 25 8 2 2 2" xfId="27565" xr:uid="{107B7F67-29DC-4C01-94DE-4962E2C633FB}"/>
    <cellStyle name="Style 25 8 2 3" xfId="23434" xr:uid="{B267A8DD-BAFD-4C09-93DC-379B7567BCF7}"/>
    <cellStyle name="Style 25 8 3" xfId="6117" xr:uid="{1621FD59-15FC-4069-979B-FF9AD4CDB127}"/>
    <cellStyle name="Style 25 8 3 2" xfId="23435" xr:uid="{186E8612-7229-4FAC-A324-676586F842B8}"/>
    <cellStyle name="Style 25 8 4" xfId="6118" xr:uid="{293736E5-B73B-45FC-B7C0-9096B49364CB}"/>
    <cellStyle name="Style 25 8 4 2" xfId="24664" xr:uid="{DD406F6E-6438-4434-BB8A-1618B331A21F}"/>
    <cellStyle name="Style 25 8 5" xfId="6115" xr:uid="{F52A4AC4-58B4-4FB2-B473-206F02B73367}"/>
    <cellStyle name="Style 25 8 5 2" xfId="27564" xr:uid="{D5872662-D722-4912-A493-8841ADC35051}"/>
    <cellStyle name="Style 25 8 6" xfId="23433" xr:uid="{52B2585A-AF80-44EB-9A70-767C2864BA33}"/>
    <cellStyle name="Style 25 9" xfId="2293" xr:uid="{AD45515A-EBE3-4518-8DDE-D646CC8F30ED}"/>
    <cellStyle name="Style 25 9 2" xfId="2294" xr:uid="{4D238536-D40B-4FA5-A295-24BC9B189B9A}"/>
    <cellStyle name="Style 25 9 2 2" xfId="6119" xr:uid="{723B95C8-9096-4E71-80B7-2111D9BA50C7}"/>
    <cellStyle name="Style 25 9 2 2 2" xfId="27567" xr:uid="{1D04793C-355B-4B05-8407-BA366FBA8C4C}"/>
    <cellStyle name="Style 25 9 2 3" xfId="24665" xr:uid="{5181C238-5A46-4D58-978F-BDB8B8A1FDCE}"/>
    <cellStyle name="Style 25 9 3" xfId="4143" xr:uid="{05C94417-5005-476D-A6C2-1CE28460F112}"/>
    <cellStyle name="Style 25 9 3 2" xfId="27566" xr:uid="{2F696963-5EAC-4A5F-B39B-C6DEA8800FCB}"/>
    <cellStyle name="Style 25 9 4" xfId="23436" xr:uid="{918DEF86-F5C6-4EC4-96BB-45D9E07D2D2A}"/>
    <cellStyle name="Style 25_ADDON" xfId="25786" xr:uid="{5B0AA29A-3A8C-4966-90C6-453839EF8CE9}"/>
    <cellStyle name="Style 26" xfId="2295" xr:uid="{64C27EAA-4D50-4D52-96EC-EE1130697E69}"/>
    <cellStyle name="Style 26 2" xfId="2296" xr:uid="{BBF2E7ED-880B-4DA3-B763-A2A22DCC68E9}"/>
    <cellStyle name="Style 26 2 2" xfId="2297" xr:uid="{E7759B4A-9A14-4527-9E34-BED7BCF4B98B}"/>
    <cellStyle name="Style 26 2 2 2" xfId="2298" xr:uid="{738596EC-BCFF-4D0F-AF47-098FA7A8CC56}"/>
    <cellStyle name="Style 26 2 2 2 2" xfId="2299" xr:uid="{4829B1F2-8889-42CB-A8A1-78B2FA145F11}"/>
    <cellStyle name="Style 26 2 2 2 2 2" xfId="2300" xr:uid="{2E67C0DA-9A47-44EF-A608-062083043274}"/>
    <cellStyle name="Style 26 2 2 2 2 2 2" xfId="9495" xr:uid="{D22AF6B6-C745-4975-9943-D201A049E55F}"/>
    <cellStyle name="Style 26 2 2 2 2 3" xfId="9496" xr:uid="{BBC50CBF-F941-4817-A2CE-17242F5D4CE1}"/>
    <cellStyle name="Style 26 2 2 2 3" xfId="2301" xr:uid="{5F6C29C3-8AE3-4618-B67E-ADECC93FDB3E}"/>
    <cellStyle name="Style 26 2 2 2 3 2" xfId="9497" xr:uid="{01A297B0-FD73-423D-916E-0EF57B7DC489}"/>
    <cellStyle name="Style 26 2 2 2 4" xfId="9498" xr:uid="{8D3945D8-8D41-4FFA-AEF5-CD1ACBEC3E22}"/>
    <cellStyle name="Style 26 2 2 3" xfId="2302" xr:uid="{4AA31BAD-7DDC-4DC3-B5E1-CD2FFF2A790B}"/>
    <cellStyle name="Style 26 2 2 3 2" xfId="2303" xr:uid="{E192B2DF-B013-4706-9C69-12B63141FF69}"/>
    <cellStyle name="Style 26 2 2 3 2 2" xfId="9499" xr:uid="{4A5437FF-4808-44C9-B894-961432531CC8}"/>
    <cellStyle name="Style 26 2 2 3 3" xfId="9500" xr:uid="{C9C56B56-7B08-4288-A2CE-3D6061BA20A1}"/>
    <cellStyle name="Style 26 2 2 4" xfId="2304" xr:uid="{D02B6214-6163-4E93-A80F-2E7429E18F59}"/>
    <cellStyle name="Style 26 2 2 4 2" xfId="9501" xr:uid="{99428CBE-411F-4C2A-B36E-E80CD8BD8D8E}"/>
    <cellStyle name="Style 26 2 2 5" xfId="9502" xr:uid="{141F4563-D5B2-4DB9-B589-09F6ADD22CCE}"/>
    <cellStyle name="Style 26 2 3" xfId="2305" xr:uid="{A67B5168-AD7F-49BA-B7BB-C97DA2CAEC71}"/>
    <cellStyle name="Style 26 2 3 2" xfId="2306" xr:uid="{6E628DF9-8786-4497-B274-45A76913E7F6}"/>
    <cellStyle name="Style 26 2 3 2 2" xfId="2307" xr:uid="{8443437E-8A3E-426D-AD76-0C24EF1E0CC8}"/>
    <cellStyle name="Style 26 2 3 2 2 2" xfId="9503" xr:uid="{5A6C808B-A2CD-4A54-922B-8D875EA2B8A6}"/>
    <cellStyle name="Style 26 2 3 2 3" xfId="9504" xr:uid="{DFA45CC6-682B-410E-A61B-B9B805456521}"/>
    <cellStyle name="Style 26 2 3 3" xfId="2308" xr:uid="{932AE9DE-CD60-4232-939C-7986EC92C74E}"/>
    <cellStyle name="Style 26 2 3 3 2" xfId="9505" xr:uid="{4D64EFC7-60EB-4C6C-A7B8-CDE555C2C1C2}"/>
    <cellStyle name="Style 26 2 3 4" xfId="9506" xr:uid="{3B4691A8-9712-4420-BD07-6348F4BC37AA}"/>
    <cellStyle name="Style 26 2 4" xfId="2309" xr:uid="{67F179AB-B588-4520-AC3C-8F5FE1AF0806}"/>
    <cellStyle name="Style 26 2 4 2" xfId="2310" xr:uid="{14F378C1-9F1C-42D1-A2F3-BB4013137546}"/>
    <cellStyle name="Style 26 2 4 2 2" xfId="9507" xr:uid="{79CA99C7-A653-493D-A96A-C075442B9304}"/>
    <cellStyle name="Style 26 2 4 3" xfId="9508" xr:uid="{A1DCA3B7-FEF0-4CFC-8703-3E71E496CD7F}"/>
    <cellStyle name="Style 26 2 5" xfId="2311" xr:uid="{1CE75BD9-AAFB-419C-AC1A-2C152862A18E}"/>
    <cellStyle name="Style 26 2 5 2" xfId="9509" xr:uid="{BF46B9E3-909D-4448-A819-F20C7DF02ABE}"/>
    <cellStyle name="Style 26 2 6" xfId="9510" xr:uid="{242A9004-44E0-4BE2-ACB1-7A0C26A3DE2C}"/>
    <cellStyle name="Style 26 3" xfId="2312" xr:uid="{99A60F5A-970C-43BC-8193-12A4A9E2863B}"/>
    <cellStyle name="Style 26 3 2" xfId="2313" xr:uid="{0FE2B7B3-76BA-4A82-BA17-4F9EF050AEB1}"/>
    <cellStyle name="Style 26 3 2 2" xfId="2314" xr:uid="{5DA77379-46A8-4254-BD21-A5AB15E3D44F}"/>
    <cellStyle name="Style 26 3 2 2 2" xfId="2315" xr:uid="{F95FFC7D-68BE-4384-A431-661785EC685B}"/>
    <cellStyle name="Style 26 3 2 2 2 2" xfId="2316" xr:uid="{7E5954D0-FAAB-44E5-963A-A2BD2FB0394A}"/>
    <cellStyle name="Style 26 3 2 2 2 2 2" xfId="9511" xr:uid="{9ADB001C-2B61-4845-8787-54EB28A3D085}"/>
    <cellStyle name="Style 26 3 2 2 2 3" xfId="9512" xr:uid="{99BBFA99-6CEC-4896-A92E-FD0E9160BE1F}"/>
    <cellStyle name="Style 26 3 2 2 3" xfId="2317" xr:uid="{E9C2BD34-2301-4B6C-B7D9-A7DDAD7C3512}"/>
    <cellStyle name="Style 26 3 2 2 3 2" xfId="9513" xr:uid="{0C73F59D-DF3D-4A02-A417-47663B1980D7}"/>
    <cellStyle name="Style 26 3 2 2 4" xfId="9514" xr:uid="{A9539478-7B61-4FD9-A026-031FE9AFED7E}"/>
    <cellStyle name="Style 26 3 2 3" xfId="2318" xr:uid="{953A67D8-5E47-4EB6-BE52-3C654B9EE4C7}"/>
    <cellStyle name="Style 26 3 2 3 2" xfId="2319" xr:uid="{A07FE599-9226-4165-9AC1-F1A1D623676C}"/>
    <cellStyle name="Style 26 3 2 3 2 2" xfId="9515" xr:uid="{58897080-B56D-48E1-B885-BD957C27F6ED}"/>
    <cellStyle name="Style 26 3 2 3 3" xfId="9516" xr:uid="{D23228EA-80F4-4564-9CF2-ED20F16870C2}"/>
    <cellStyle name="Style 26 3 2 4" xfId="2320" xr:uid="{5CC7FB4A-8043-4583-A83E-ACE9C2CABA63}"/>
    <cellStyle name="Style 26 3 2 4 2" xfId="9517" xr:uid="{D1FA2539-45F8-410E-9030-3E49DC515E4F}"/>
    <cellStyle name="Style 26 3 2 5" xfId="9518" xr:uid="{CEC81AB6-14DF-4C74-B8C4-D14FC7C036D1}"/>
    <cellStyle name="Style 26 3 3" xfId="2321" xr:uid="{70A4FBAB-965D-485B-A554-2F305975D635}"/>
    <cellStyle name="Style 26 3 3 2" xfId="2322" xr:uid="{430DD535-8B8E-47F6-9D4A-C03FC3BB6982}"/>
    <cellStyle name="Style 26 3 3 2 2" xfId="2323" xr:uid="{326B4513-CDB9-460A-A233-6FEA2BCD78BC}"/>
    <cellStyle name="Style 26 3 3 2 2 2" xfId="2324" xr:uid="{744E9A9D-985A-4285-8EAF-4304551D0DE6}"/>
    <cellStyle name="Style 26 3 3 2 2 2 2" xfId="9519" xr:uid="{A8440037-E6B2-452A-864E-83CF37141588}"/>
    <cellStyle name="Style 26 3 3 2 2 3" xfId="9520" xr:uid="{9EF49558-9D18-4C2B-AEE3-ABBACF2DD43D}"/>
    <cellStyle name="Style 26 3 3 2 3" xfId="2325" xr:uid="{73743D99-4E58-46AD-BD0F-9AEB832E4074}"/>
    <cellStyle name="Style 26 3 3 2 3 2" xfId="9521" xr:uid="{480D32AB-CB26-4887-ACDA-49B7602A5EA6}"/>
    <cellStyle name="Style 26 3 3 2 4" xfId="9522" xr:uid="{F6D22F94-221D-43C1-B32B-91851486F4A9}"/>
    <cellStyle name="Style 26 3 3 3" xfId="2326" xr:uid="{3F84B1E8-989A-4FBB-A386-8E452A06CBC5}"/>
    <cellStyle name="Style 26 3 3 3 2" xfId="9523" xr:uid="{CA89CD9F-BAA2-4F5C-99FB-9EF693C0D37B}"/>
    <cellStyle name="Style 26 3 3 4" xfId="6120" xr:uid="{F9B9EDBB-0AF8-4164-A04F-D9D38723512D}"/>
    <cellStyle name="Style 26 3 3 5" xfId="9524" xr:uid="{50DD6A65-0BC7-42DE-BA0F-44426542E180}"/>
    <cellStyle name="Style 26 3 4" xfId="2327" xr:uid="{1FC626E1-E298-4F31-A49F-3FAAB5D074A3}"/>
    <cellStyle name="Style 26 3 4 2" xfId="2328" xr:uid="{FC0730DA-995E-4E5F-BCF6-B723681473C9}"/>
    <cellStyle name="Style 26 3 4 2 2" xfId="9525" xr:uid="{977E6FBF-83D6-4F7A-9D2B-B3F8F044664D}"/>
    <cellStyle name="Style 26 3 4 3" xfId="9526" xr:uid="{F7A729B0-8F3A-49DC-B802-499642DC175B}"/>
    <cellStyle name="Style 26 3 5" xfId="2329" xr:uid="{E53455A5-1DD8-46F4-B64A-FC09B808D686}"/>
    <cellStyle name="Style 26 3 5 2" xfId="9527" xr:uid="{1419441F-8835-4234-9212-627791F9629E}"/>
    <cellStyle name="Style 26 3 6" xfId="9528" xr:uid="{42F74143-0EB2-44C7-902F-2A8B7D08130C}"/>
    <cellStyle name="Style 26 4" xfId="2330" xr:uid="{829A7261-8299-4386-90EB-D03F777A1BEC}"/>
    <cellStyle name="Style 26 4 2" xfId="2331" xr:uid="{B7A59B0D-42B8-49AE-819A-3297DA913561}"/>
    <cellStyle name="Style 26 4 2 2" xfId="2332" xr:uid="{060FD8C4-9EE0-4E7A-90FD-A9B31F0C96B7}"/>
    <cellStyle name="Style 26 4 2 2 2" xfId="2333" xr:uid="{D0093DDF-1584-49A9-8CF9-941814583E27}"/>
    <cellStyle name="Style 26 4 2 2 2 2" xfId="9529" xr:uid="{621DB22B-86B1-40DF-8DDF-5209DFE9269D}"/>
    <cellStyle name="Style 26 4 2 2 3" xfId="9530" xr:uid="{B59615EF-F767-4586-81D9-409AB75EE2CA}"/>
    <cellStyle name="Style 26 4 2 3" xfId="2334" xr:uid="{1F5F9C42-F1E8-4574-B6C3-7A97BCEBA866}"/>
    <cellStyle name="Style 26 4 2 3 2" xfId="9531" xr:uid="{23A3B95A-4F2B-4EF7-A2BA-891A6B295D86}"/>
    <cellStyle name="Style 26 4 2 4" xfId="9532" xr:uid="{25EF388D-EA26-4670-B3FA-9A3B7FE41B9F}"/>
    <cellStyle name="Style 26 4 3" xfId="2335" xr:uid="{29E4C5CB-63B7-4D59-9D48-B65059C71B79}"/>
    <cellStyle name="Style 26 4 3 2" xfId="9533" xr:uid="{A58C0F96-A57F-4926-8742-896B59392FA0}"/>
    <cellStyle name="Style 26 4 4" xfId="6121" xr:uid="{BA82F742-D90B-47DC-9CD6-74F02AEA853E}"/>
    <cellStyle name="Style 26 4 5" xfId="9534" xr:uid="{255A345D-46D3-4E6D-99C4-73AAAE73D187}"/>
    <cellStyle name="Style 26 5" xfId="2336" xr:uid="{678A9463-F104-4D0B-8B83-02AB84F13489}"/>
    <cellStyle name="Style 26 5 2" xfId="2337" xr:uid="{D408FF8B-2E16-493B-A779-357648745E0B}"/>
    <cellStyle name="Style 26 5 2 2" xfId="9535" xr:uid="{8B4D5CCB-0F15-48BE-B2A6-6106098E050E}"/>
    <cellStyle name="Style 26 5 3" xfId="9536" xr:uid="{A3B549B9-95E6-4433-B1F3-5C53F538F4E7}"/>
    <cellStyle name="Style 26 6" xfId="2338" xr:uid="{6AC90369-35D0-471A-AE47-1DA411E062E4}"/>
    <cellStyle name="Style 26 6 2" xfId="4145" xr:uid="{3DA6002E-92B4-4167-8FBA-A38AB54832F9}"/>
    <cellStyle name="Style 26 6 2 2" xfId="6122" xr:uid="{79A7723A-1F66-4071-8CB1-C95E59B28440}"/>
    <cellStyle name="Style 26 6 3" xfId="9537" xr:uid="{056227F6-FAE0-4F46-A62A-C36E49C4CF98}"/>
    <cellStyle name="Style 26 7" xfId="4144" xr:uid="{CBD5D264-2618-4015-9E78-76160C317AD5}"/>
    <cellStyle name="Style 26 7 2" xfId="6124" xr:uid="{94D4C92B-E31A-430F-9797-4F998F921419}"/>
    <cellStyle name="Style 26 7 3" xfId="6123" xr:uid="{E755D4C4-10BE-4EF3-A968-DE50CE69A41C}"/>
    <cellStyle name="Style 26 8" xfId="6125" xr:uid="{74A4E099-A372-4372-ADDB-1D24F2B495DD}"/>
    <cellStyle name="Style 26 9" xfId="9538" xr:uid="{07D781EB-6346-4923-B94C-7D06B3C6230D}"/>
    <cellStyle name="Style 26 9 2" xfId="26625" xr:uid="{CA1688EA-8FB4-447C-9C12-382ADAC161D2}"/>
    <cellStyle name="Style 26_ADDON" xfId="25787" xr:uid="{DCA59966-ED4C-447E-BDD1-0BE6189AADA0}"/>
    <cellStyle name="Style 27" xfId="2339" xr:uid="{E98DEB07-EB9F-44ED-8CCD-643FA210ADD1}"/>
    <cellStyle name="Style 27 2" xfId="2340" xr:uid="{0F3C191D-6354-4E8E-B92E-0CF606F110EB}"/>
    <cellStyle name="Style 27 2 2" xfId="2341" xr:uid="{FB55B19A-7DBE-4FB0-92F8-DCCA88F5111C}"/>
    <cellStyle name="Style 27 2 2 2" xfId="2342" xr:uid="{2B390A63-74B4-4A92-9559-2B34A7DBF006}"/>
    <cellStyle name="Style 27 2 2 2 2" xfId="2343" xr:uid="{A4B40458-6986-4E3A-ADF0-54A92BF1B763}"/>
    <cellStyle name="Style 27 2 2 2 2 2" xfId="2344" xr:uid="{2C4AAB48-5F21-433E-AAF9-432DF2EA8499}"/>
    <cellStyle name="Style 27 2 2 2 2 2 2" xfId="9539" xr:uid="{BEA14298-EC67-4F6A-9A3F-C21BF3EFD682}"/>
    <cellStyle name="Style 27 2 2 2 2 3" xfId="9540" xr:uid="{90C4E000-EEAC-4C2F-89C4-750A59C381CB}"/>
    <cellStyle name="Style 27 2 2 2 3" xfId="2345" xr:uid="{A068C960-D4C4-472D-857C-2A9F9ED925DE}"/>
    <cellStyle name="Style 27 2 2 2 3 2" xfId="9541" xr:uid="{42B74913-24DE-4100-AFD2-545E2842FB35}"/>
    <cellStyle name="Style 27 2 2 2 4" xfId="9542" xr:uid="{B33F088C-1F8D-4EAD-90E6-63F5629951B0}"/>
    <cellStyle name="Style 27 2 2 3" xfId="2346" xr:uid="{26103674-B824-47A9-9A75-3EC1CE22A55D}"/>
    <cellStyle name="Style 27 2 2 3 2" xfId="2347" xr:uid="{E25DE57D-BE95-47CD-AF73-9EE27FF06D82}"/>
    <cellStyle name="Style 27 2 2 3 2 2" xfId="9543" xr:uid="{5A9C6E53-3A22-4779-A967-F1B31493E48C}"/>
    <cellStyle name="Style 27 2 2 3 3" xfId="9544" xr:uid="{6A716671-AF15-4C42-953C-59C70C3F273B}"/>
    <cellStyle name="Style 27 2 2 4" xfId="2348" xr:uid="{1EFC3CFF-C6EC-476D-B0E9-38BD06F96655}"/>
    <cellStyle name="Style 27 2 2 4 2" xfId="9545" xr:uid="{67D2946A-785D-48CC-96E9-7EF3D3313D60}"/>
    <cellStyle name="Style 27 2 2 5" xfId="9546" xr:uid="{A3A3E7E5-B5A1-4D7D-98E5-6ECFC23A3BD1}"/>
    <cellStyle name="Style 27 2 3" xfId="2349" xr:uid="{4F42E755-2A70-499F-98F2-2E542605AFBC}"/>
    <cellStyle name="Style 27 2 3 2" xfId="2350" xr:uid="{EFF567C1-53AD-4916-B89E-D7269FD0E7A8}"/>
    <cellStyle name="Style 27 2 3 2 2" xfId="2351" xr:uid="{2CC82BCC-A0C3-4D8C-9D15-AF1450599184}"/>
    <cellStyle name="Style 27 2 3 2 2 2" xfId="9547" xr:uid="{C5C1E174-5506-4B44-B04F-484F5F75B689}"/>
    <cellStyle name="Style 27 2 3 2 3" xfId="9548" xr:uid="{42ADA1EB-CA92-427A-A4C0-CFE657C26221}"/>
    <cellStyle name="Style 27 2 3 3" xfId="2352" xr:uid="{C1797238-8C9C-486F-A688-C706B57F16A6}"/>
    <cellStyle name="Style 27 2 3 3 2" xfId="9549" xr:uid="{D2DE3261-10A6-41B2-AECB-61722C55F25F}"/>
    <cellStyle name="Style 27 2 3 4" xfId="9550" xr:uid="{CE9DCDAA-B944-4242-A7FB-A5F01DD8D2B4}"/>
    <cellStyle name="Style 27 2 4" xfId="2353" xr:uid="{AA464791-C403-4428-9231-55A9F55A9DF2}"/>
    <cellStyle name="Style 27 2 4 2" xfId="2354" xr:uid="{5B7D7841-118B-4923-8A4F-0E369A37F679}"/>
    <cellStyle name="Style 27 2 4 2 2" xfId="9551" xr:uid="{D6904118-6710-4FF4-80E9-3831624D7BD6}"/>
    <cellStyle name="Style 27 2 4 3" xfId="9552" xr:uid="{08FE277D-00F0-409B-A4AF-95B4B27FD699}"/>
    <cellStyle name="Style 27 2 5" xfId="2355" xr:uid="{E7DFEF27-652C-40A3-97B8-C8C2082BEA40}"/>
    <cellStyle name="Style 27 2 5 2" xfId="9553" xr:uid="{531005FF-4AD3-4373-9EA0-EB29F6397B01}"/>
    <cellStyle name="Style 27 2 6" xfId="9554" xr:uid="{FB70DAB3-3116-48C9-8EA3-543D337B74F8}"/>
    <cellStyle name="Style 27 3" xfId="2356" xr:uid="{46E7E09A-7B96-4527-863C-04E5A45D504E}"/>
    <cellStyle name="Style 27 3 2" xfId="2357" xr:uid="{228E2FA0-ACFA-45E7-9F5F-1931CBE9BC52}"/>
    <cellStyle name="Style 27 3 2 2" xfId="2358" xr:uid="{05284C73-6585-4128-B395-1146BB66B116}"/>
    <cellStyle name="Style 27 3 2 2 2" xfId="2359" xr:uid="{72E412E0-8A37-4E51-9FD1-B5E8FF7C7969}"/>
    <cellStyle name="Style 27 3 2 2 2 2" xfId="2360" xr:uid="{88F34A08-2573-4D7E-ACDE-D17027AC3FD0}"/>
    <cellStyle name="Style 27 3 2 2 2 2 2" xfId="9555" xr:uid="{759ACAC3-2C66-431F-9722-041476447281}"/>
    <cellStyle name="Style 27 3 2 2 2 3" xfId="9556" xr:uid="{9712483D-2614-498E-AEA5-4BD5127D83BA}"/>
    <cellStyle name="Style 27 3 2 2 3" xfId="2361" xr:uid="{3095FDFE-3906-4106-B36F-BC89392AA834}"/>
    <cellStyle name="Style 27 3 2 2 3 2" xfId="9557" xr:uid="{A832738E-382B-49BC-BED9-CAB10F6B2842}"/>
    <cellStyle name="Style 27 3 2 2 4" xfId="9558" xr:uid="{33DC3874-55CF-4AE6-9DF2-DF4C1AD82C5E}"/>
    <cellStyle name="Style 27 3 2 3" xfId="2362" xr:uid="{D5A4DD04-FF24-445A-A3D6-244719A1D11E}"/>
    <cellStyle name="Style 27 3 2 3 2" xfId="2363" xr:uid="{D978F6BE-7618-4738-9F9D-45500B8C034F}"/>
    <cellStyle name="Style 27 3 2 3 2 2" xfId="9559" xr:uid="{2EF90CB9-6600-4F72-8F7A-DA551BB51EA4}"/>
    <cellStyle name="Style 27 3 2 3 3" xfId="9560" xr:uid="{8B533659-28DF-4878-8F1D-D15916ECDBFC}"/>
    <cellStyle name="Style 27 3 2 4" xfId="2364" xr:uid="{BAEC1FCD-24FD-44DC-971C-35253C25B04F}"/>
    <cellStyle name="Style 27 3 2 4 2" xfId="9561" xr:uid="{5768751D-62FD-4D60-B731-0E5222179443}"/>
    <cellStyle name="Style 27 3 2 5" xfId="9562" xr:uid="{0B9FE04A-DF7A-45E6-AC82-F3A6217E08F4}"/>
    <cellStyle name="Style 27 3 3" xfId="2365" xr:uid="{2BEB5509-5042-4A46-8E12-2AEF576D91F3}"/>
    <cellStyle name="Style 27 3 3 2" xfId="2366" xr:uid="{950AEE14-4BA9-4673-8BAE-3C5473C43F7A}"/>
    <cellStyle name="Style 27 3 3 2 2" xfId="2367" xr:uid="{4C797A62-E3EB-4FB0-90FE-FA1C7D110E83}"/>
    <cellStyle name="Style 27 3 3 2 2 2" xfId="2368" xr:uid="{44292C53-F794-4DB9-AEAB-51841DBB9475}"/>
    <cellStyle name="Style 27 3 3 2 2 2 2" xfId="9563" xr:uid="{661B3C6A-FF35-49AF-9AFD-702B70A645AC}"/>
    <cellStyle name="Style 27 3 3 2 2 3" xfId="9564" xr:uid="{85B9E7E2-AAA6-48D8-83FA-EA89B04391AB}"/>
    <cellStyle name="Style 27 3 3 2 3" xfId="2369" xr:uid="{46F87088-26C5-44C1-885F-5E69A568A266}"/>
    <cellStyle name="Style 27 3 3 2 3 2" xfId="9565" xr:uid="{81A4EDEE-3D42-446C-9C2A-678177635CA6}"/>
    <cellStyle name="Style 27 3 3 2 4" xfId="9566" xr:uid="{3240CD00-7F10-4A64-A205-8BCA4F75F3ED}"/>
    <cellStyle name="Style 27 3 3 3" xfId="2370" xr:uid="{8320F0B7-245B-48CC-BA51-A79C6F072656}"/>
    <cellStyle name="Style 27 3 3 3 2" xfId="9567" xr:uid="{58064FD7-ADEF-4205-9E02-7E4EBE6188DD}"/>
    <cellStyle name="Style 27 3 3 4" xfId="6126" xr:uid="{40DE6F47-0951-4623-857D-FE410AA8D473}"/>
    <cellStyle name="Style 27 3 3 5" xfId="9568" xr:uid="{4BA20E2F-A2BE-4C34-AB25-D69A0383EC16}"/>
    <cellStyle name="Style 27 3 4" xfId="2371" xr:uid="{3508EDA8-4E45-4795-82FE-BC57D68AF7D0}"/>
    <cellStyle name="Style 27 3 4 2" xfId="2372" xr:uid="{F1F86092-4E9F-4B60-8E1C-ECAA73243D0B}"/>
    <cellStyle name="Style 27 3 4 2 2" xfId="9569" xr:uid="{71539704-1817-4DF4-8E8C-99AB6D9819AD}"/>
    <cellStyle name="Style 27 3 4 3" xfId="9570" xr:uid="{41F8EDFA-D68E-4325-BA1F-0225B95EC57B}"/>
    <cellStyle name="Style 27 3 5" xfId="2373" xr:uid="{AAFD40A3-9024-43BB-A48A-A3267C3B094D}"/>
    <cellStyle name="Style 27 3 5 2" xfId="9571" xr:uid="{48AA2333-2622-4CC0-87E7-5601199FE627}"/>
    <cellStyle name="Style 27 3 6" xfId="9572" xr:uid="{1A9E66FF-14CF-4158-AAD8-E8CB5A5937F8}"/>
    <cellStyle name="Style 27 4" xfId="2374" xr:uid="{44BADCAC-AE1B-4745-96F8-F19873601DEB}"/>
    <cellStyle name="Style 27 4 2" xfId="2375" xr:uid="{80075645-BB42-474B-B9AA-CE82B586B20B}"/>
    <cellStyle name="Style 27 4 2 2" xfId="2376" xr:uid="{B7F89B49-279D-4132-9E12-A0C3515A3306}"/>
    <cellStyle name="Style 27 4 2 2 2" xfId="2377" xr:uid="{1BBBD720-BB25-4331-AF21-222B7D245AF5}"/>
    <cellStyle name="Style 27 4 2 2 2 2" xfId="9573" xr:uid="{D4FEF0C0-B3A1-47AC-B6D7-DAD19D54774A}"/>
    <cellStyle name="Style 27 4 2 2 3" xfId="9574" xr:uid="{EB915EDF-5CB3-41DA-8239-2B829660467A}"/>
    <cellStyle name="Style 27 4 2 3" xfId="2378" xr:uid="{6DD78D75-83A6-4E8F-BFDB-24DA7CDA433E}"/>
    <cellStyle name="Style 27 4 2 3 2" xfId="9575" xr:uid="{CD86FFCF-C797-446E-8559-E5A7A8098F79}"/>
    <cellStyle name="Style 27 4 2 4" xfId="9576" xr:uid="{5A130309-19A4-4966-85B0-EE37A469154D}"/>
    <cellStyle name="Style 27 4 3" xfId="2379" xr:uid="{3BCA9BF1-C810-4247-84ED-AE6A48E7BDA2}"/>
    <cellStyle name="Style 27 4 3 2" xfId="9577" xr:uid="{512CF443-710A-4613-85DF-DD62DAD8D037}"/>
    <cellStyle name="Style 27 4 4" xfId="6127" xr:uid="{D02D97E4-E58C-4E78-830A-21B5CF8D941E}"/>
    <cellStyle name="Style 27 4 5" xfId="9578" xr:uid="{12CD07BA-01AC-44BE-B3DA-186321CB827E}"/>
    <cellStyle name="Style 27 5" xfId="2380" xr:uid="{A9E2AFD1-43EC-4A10-A7A3-CF722C2A4C6D}"/>
    <cellStyle name="Style 27 5 2" xfId="2381" xr:uid="{ED447CF4-5A61-4E00-8749-13F98DEA8CFF}"/>
    <cellStyle name="Style 27 5 2 2" xfId="9579" xr:uid="{282B58B3-D8E8-41EC-AEA6-823C15F6F156}"/>
    <cellStyle name="Style 27 5 3" xfId="9580" xr:uid="{90623DC0-9D72-4A66-A00E-7733F851C9A7}"/>
    <cellStyle name="Style 27 6" xfId="2382" xr:uid="{B220F9D8-9B5B-4833-949E-DC15C78549FF}"/>
    <cellStyle name="Style 27 6 2" xfId="4147" xr:uid="{6E5BB2C1-3764-40E7-86EF-0DC6665BFD9D}"/>
    <cellStyle name="Style 27 6 2 2" xfId="6128" xr:uid="{C20199F5-B98E-46B3-8007-872F5CD5AC99}"/>
    <cellStyle name="Style 27 6 3" xfId="9581" xr:uid="{A227C94F-FDDA-4A6D-9EA7-0F3AB1E96F34}"/>
    <cellStyle name="Style 27 7" xfId="4146" xr:uid="{8194F576-D218-40D2-B5B4-B5B8A0554769}"/>
    <cellStyle name="Style 27 7 2" xfId="6130" xr:uid="{3EE4BDFF-09A3-4E7B-87EC-5A6E51785945}"/>
    <cellStyle name="Style 27 7 3" xfId="6129" xr:uid="{58E28A2C-BD92-4B31-8014-6027A6F889B8}"/>
    <cellStyle name="Style 27 8" xfId="6131" xr:uid="{3899BF5D-1C67-4C6E-BDF6-D03442A0B403}"/>
    <cellStyle name="Style 27 9" xfId="9582" xr:uid="{4A1A7C2D-EE0E-4971-871C-F961A59682C9}"/>
    <cellStyle name="Style 27 9 2" xfId="26626" xr:uid="{0CEA5326-13FB-41B9-95F7-92808AB72C03}"/>
    <cellStyle name="Style 27_ADDON" xfId="25788" xr:uid="{FAFFEE1F-8F90-4945-9425-7CCCB0F59769}"/>
    <cellStyle name="Style 35" xfId="2383" xr:uid="{341A0AD4-FA5B-44F2-A44C-FD01E7E3DFDB}"/>
    <cellStyle name="Style 35 10" xfId="2384" xr:uid="{D061C7A5-DEE7-4426-B1B5-0D0E0745E5D1}"/>
    <cellStyle name="Style 35 10 2" xfId="2385" xr:uid="{0A80DF76-9851-49F9-B0BE-8FFC46340B52}"/>
    <cellStyle name="Style 35 10 2 2" xfId="6132" xr:uid="{E62964A8-1D29-4EEF-86F2-6FC0262BF8A2}"/>
    <cellStyle name="Style 35 10 2 2 2" xfId="27569" xr:uid="{7DE70C66-06B1-4FF9-A453-F788D74550AD}"/>
    <cellStyle name="Style 35 10 2 3" xfId="24666" xr:uid="{48AA140E-06DF-41B5-A454-BE772206E1A4}"/>
    <cellStyle name="Style 35 10 3" xfId="4148" xr:uid="{16CCB1A5-3E17-4DB7-BCDA-E5E9DD4D81A6}"/>
    <cellStyle name="Style 35 10 3 2" xfId="27568" xr:uid="{C08771B9-FB4D-46AE-A608-4AB14ED5BC7B}"/>
    <cellStyle name="Style 35 10 4" xfId="23438" xr:uid="{9947155A-D31F-4FE8-8465-06AD7D833E81}"/>
    <cellStyle name="Style 35 11" xfId="2386" xr:uid="{775C176E-7168-4EB1-A0B6-81ECBCBA13BD}"/>
    <cellStyle name="Style 35 11 2" xfId="2387" xr:uid="{A74FF548-2B24-4B46-A4E7-C736ACA54931}"/>
    <cellStyle name="Style 35 11 2 2" xfId="6134" xr:uid="{6746A535-A7D9-4E54-B2BC-F772FC188708}"/>
    <cellStyle name="Style 35 11 2 2 2" xfId="27571" xr:uid="{A35746A2-FCB8-4DE2-84CF-12794D2B0A5E}"/>
    <cellStyle name="Style 35 11 2 3" xfId="24667" xr:uid="{AD2DE757-3EFE-4A2D-941A-E3CB2F22A495}"/>
    <cellStyle name="Style 35 11 3" xfId="6133" xr:uid="{3FB6A742-8ECD-4903-AE3D-84C84C51F45F}"/>
    <cellStyle name="Style 35 11 3 2" xfId="27570" xr:uid="{0A7F4D79-E00C-47CF-80A9-689A52346D5D}"/>
    <cellStyle name="Style 35 11 4" xfId="23439" xr:uid="{5CD667F5-B919-407E-938A-C430C2D65B41}"/>
    <cellStyle name="Style 35 12" xfId="2388" xr:uid="{E45E9F1B-EE2B-4365-9DCF-20A9857EB721}"/>
    <cellStyle name="Style 35 12 2" xfId="6135" xr:uid="{304BDEBC-A028-4B23-8B94-6B8FE3320D7D}"/>
    <cellStyle name="Style 35 12 2 2" xfId="27572" xr:uid="{71D85A90-AE35-4DA2-9C99-0E1B1A1233F0}"/>
    <cellStyle name="Style 35 12 3" xfId="9583" xr:uid="{3D6A2248-0C3A-466D-9C7B-91EA195C7D4D}"/>
    <cellStyle name="Style 35 12 3 2" xfId="28956" xr:uid="{C67C4A1B-0C94-4C67-BFB0-15406EC8F60C}"/>
    <cellStyle name="Style 35 12 4" xfId="9584" xr:uid="{71689016-6437-49C8-9140-569CFF915794}"/>
    <cellStyle name="Style 35 12 4 2" xfId="28957" xr:uid="{E14F80F9-26C2-46A3-A752-CC6E3EDB3A33}"/>
    <cellStyle name="Style 35 12 5" xfId="9585" xr:uid="{7DD066E0-873E-417C-B521-E92708465B92}"/>
    <cellStyle name="Style 35 12 5 2" xfId="28958" xr:uid="{5A03B6EA-DC08-4705-A053-6FC515D8E6D8}"/>
    <cellStyle name="Style 35 12 6" xfId="9586" xr:uid="{7CBB89BA-A768-43A8-BE04-8A12A5EF8514}"/>
    <cellStyle name="Style 35 12 6 2" xfId="28959" xr:uid="{146989B9-FA73-4CFE-8C21-6F974BF7536E}"/>
    <cellStyle name="Style 35 12 7" xfId="24668" xr:uid="{C946271C-46A6-4B09-83CA-C4F0AE94DB47}"/>
    <cellStyle name="Style 35 13" xfId="9587" xr:uid="{C1E88AB2-8644-4B1F-B500-C4967FB724AE}"/>
    <cellStyle name="Style 35 13 2" xfId="9588" xr:uid="{6BDB2F6E-03EB-4919-A73C-83DEE315BDAC}"/>
    <cellStyle name="Style 35 13 2 2" xfId="28960" xr:uid="{AC39A87A-E437-4773-95B9-F6B82DBBCB74}"/>
    <cellStyle name="Style 35 13 3" xfId="9589" xr:uid="{4F6ABD15-9584-4715-9EA0-98B421933F0C}"/>
    <cellStyle name="Style 35 13 3 2" xfId="28961" xr:uid="{D8F08B0C-20D4-4D78-82F9-0E3B7C117DCB}"/>
    <cellStyle name="Style 35 13 4" xfId="26627" xr:uid="{45ED6490-4B1C-4E8B-85C4-B0258326DAEB}"/>
    <cellStyle name="Style 35 14" xfId="9590" xr:uid="{D853969F-4F9F-4BB3-B87B-516FC47DF01A}"/>
    <cellStyle name="Style 35 14 2" xfId="9591" xr:uid="{4F0B75C4-56AE-4E32-B59A-33C0D417B9B8}"/>
    <cellStyle name="Style 35 14 2 2" xfId="28963" xr:uid="{35ED7DF0-2B83-4D4D-BD40-CD9EECB7E934}"/>
    <cellStyle name="Style 35 14 3" xfId="28962" xr:uid="{A247BB06-3C92-4EC1-A593-8A38CB1264C3}"/>
    <cellStyle name="Style 35 15" xfId="9592" xr:uid="{D5A2EC35-1318-425F-A876-5A3D3327D811}"/>
    <cellStyle name="Style 35 15 2" xfId="9593" xr:uid="{23FE8383-302B-40CD-8D1A-88713072C7C6}"/>
    <cellStyle name="Style 35 15 2 2" xfId="28965" xr:uid="{62123B7E-6E53-4294-B39D-0379182CAF91}"/>
    <cellStyle name="Style 35 15 3" xfId="28964" xr:uid="{00D6D3F4-DF0D-4439-97FF-61EE7B8555F4}"/>
    <cellStyle name="Style 35 16" xfId="23437" xr:uid="{472327E1-8F2E-467E-887B-6E8BB7322308}"/>
    <cellStyle name="Style 35 2" xfId="2389" xr:uid="{DF4FA775-0EC1-49E7-8EF5-A3FFFFE1FF7A}"/>
    <cellStyle name="Style 35 2 2" xfId="4395" xr:uid="{941BF0B6-1663-4943-8296-667A61A3AA08}"/>
    <cellStyle name="Style 35 2 2 2" xfId="26628" xr:uid="{77CB17ED-A5D4-4C05-B6E6-89C0E00F81C7}"/>
    <cellStyle name="Style 35 2 3" xfId="23440" xr:uid="{8A34C564-89B3-4F09-B552-F350F6BE4D0E}"/>
    <cellStyle name="Style 35 3" xfId="2390" xr:uid="{E22B591C-F5D6-43EB-88E7-6E82B12925E4}"/>
    <cellStyle name="Style 35 3 2" xfId="2391" xr:uid="{B50129AF-468F-4B99-80A3-F411F489B077}"/>
    <cellStyle name="Style 35 3 2 2" xfId="2392" xr:uid="{0804F322-628C-4982-978E-2661B2C4B40A}"/>
    <cellStyle name="Style 35 3 2 2 2" xfId="6136" xr:uid="{450FBB4D-0EE6-4914-8572-B1920C780CB9}"/>
    <cellStyle name="Style 35 3 2 2 2 2" xfId="27573" xr:uid="{94059905-92B3-4518-B224-519C55AA4E7E}"/>
    <cellStyle name="Style 35 3 2 2 3" xfId="23443" xr:uid="{B80DAC94-D663-4838-B5DA-A6C643BF3A1A}"/>
    <cellStyle name="Style 35 3 2 3" xfId="4397" xr:uid="{5956AAD5-F885-443E-B39C-C14E02C6684D}"/>
    <cellStyle name="Style 35 3 2 3 2" xfId="26630" xr:uid="{2682FF58-EA13-48C4-A4EA-A4A98E6BAF31}"/>
    <cellStyle name="Style 35 3 2 4" xfId="23442" xr:uid="{4499A650-AB19-4524-8910-A9C67CA290E5}"/>
    <cellStyle name="Style 35 3 3" xfId="2393" xr:uid="{D757775A-AFA4-4E08-B9FB-B759AEFEE801}"/>
    <cellStyle name="Style 35 3 3 2" xfId="2394" xr:uid="{6DF58216-F50A-41A2-BBE4-3F9FF2A12676}"/>
    <cellStyle name="Style 35 3 3 2 2" xfId="6138" xr:uid="{3A984380-8EA3-48B2-9638-032E4B016746}"/>
    <cellStyle name="Style 35 3 3 2 2 2" xfId="27575" xr:uid="{2E87AB2C-1C42-4C28-8F67-1865E243A244}"/>
    <cellStyle name="Style 35 3 3 2 3" xfId="23445" xr:uid="{92E4C282-5E79-472C-995E-513D2D03ECB4}"/>
    <cellStyle name="Style 35 3 3 3" xfId="2395" xr:uid="{CF94A3E8-332B-4766-92BA-56955508813C}"/>
    <cellStyle name="Style 35 3 3 3 2" xfId="2396" xr:uid="{C254E753-29B0-442D-9F33-62B7C3BA40BD}"/>
    <cellStyle name="Style 35 3 3 3 2 2" xfId="6140" xr:uid="{48E8E001-33AE-4806-8259-32EF0315FC11}"/>
    <cellStyle name="Style 35 3 3 3 2 2 2" xfId="27577" xr:uid="{9DBC011B-40DF-4AA4-ABCF-AECBA0ABCB2B}"/>
    <cellStyle name="Style 35 3 3 3 2 3" xfId="23447" xr:uid="{730C4CD9-7F89-4366-9650-86C507CC5A56}"/>
    <cellStyle name="Style 35 3 3 3 3" xfId="6141" xr:uid="{53EBACC1-F508-4495-B379-B9E88B5C11B4}"/>
    <cellStyle name="Style 35 3 3 3 3 2" xfId="23448" xr:uid="{3493C49D-3C5E-44AE-ADE9-E59892D4049D}"/>
    <cellStyle name="Style 35 3 3 3 4" xfId="6142" xr:uid="{8F9A5280-0AE0-4468-B0CD-9B5CFBF953D6}"/>
    <cellStyle name="Style 35 3 3 3 4 2" xfId="24669" xr:uid="{6A68D494-FB04-4043-AC80-E8DC7495CA7F}"/>
    <cellStyle name="Style 35 3 3 3 5" xfId="6139" xr:uid="{3BC5D7E9-F7FA-400A-A334-84AEFDA7BEF1}"/>
    <cellStyle name="Style 35 3 3 3 5 2" xfId="27576" xr:uid="{50E067D8-D68E-4609-B735-F26A76C25A32}"/>
    <cellStyle name="Style 35 3 3 3 6" xfId="23446" xr:uid="{D5817886-C9A9-4A23-8728-D6608B392292}"/>
    <cellStyle name="Style 35 3 3 4" xfId="2397" xr:uid="{F919C673-9C21-44CA-A5AB-9EE8CBEF19A7}"/>
    <cellStyle name="Style 35 3 3 4 2" xfId="2398" xr:uid="{BFA68D57-A396-4E53-83D1-7FA4CE3214CA}"/>
    <cellStyle name="Style 35 3 3 4 2 2" xfId="6144" xr:uid="{10FB991A-305B-44AC-9EF9-1B7163A6944D}"/>
    <cellStyle name="Style 35 3 3 4 2 2 2" xfId="27579" xr:uid="{029189DE-6672-4557-80CA-D7013A608D6C}"/>
    <cellStyle name="Style 35 3 3 4 2 3" xfId="23450" xr:uid="{F606F486-23BF-4E91-B7A8-09E715719026}"/>
    <cellStyle name="Style 35 3 3 4 3" xfId="6143" xr:uid="{66E55829-EB7C-47DF-B7AB-A3F37EB2D113}"/>
    <cellStyle name="Style 35 3 3 4 3 2" xfId="27578" xr:uid="{01DD65A3-CD02-454D-BF49-F15F132F8D7C}"/>
    <cellStyle name="Style 35 3 3 4 4" xfId="23449" xr:uid="{6341F01A-2E82-422F-8B96-838620CE9A8E}"/>
    <cellStyle name="Style 35 3 3 5" xfId="6145" xr:uid="{0F606C27-2FCE-45D7-AF6A-F96EB4E6AE3F}"/>
    <cellStyle name="Style 35 3 3 5 2" xfId="24670" xr:uid="{BA5A8D58-FC30-4213-90CF-E8CF5A1C4529}"/>
    <cellStyle name="Style 35 3 3 6" xfId="6137" xr:uid="{4D8FE331-3DE9-4BFD-8A7C-14719D5DF9EA}"/>
    <cellStyle name="Style 35 3 3 6 2" xfId="27574" xr:uid="{29CAE82E-FD3E-42DD-9349-BDBB6AC7E72F}"/>
    <cellStyle name="Style 35 3 3 7" xfId="23444" xr:uid="{82B86004-FEE7-4C44-9EB2-03617647B92C}"/>
    <cellStyle name="Style 35 3 4" xfId="2399" xr:uid="{28541677-08E5-497B-8266-366F15AD075D}"/>
    <cellStyle name="Style 35 3 4 2" xfId="6147" xr:uid="{92CA6022-F29F-4DD8-87C8-94114DB89A7C}"/>
    <cellStyle name="Style 35 3 4 2 2" xfId="23452" xr:uid="{15713D1F-C0D3-4FE1-98A0-75392AE663F5}"/>
    <cellStyle name="Style 35 3 4 3" xfId="6148" xr:uid="{8AAF112E-BE86-4AF1-B33E-CDF2BAA394B1}"/>
    <cellStyle name="Style 35 3 4 3 2" xfId="24671" xr:uid="{4EC9EF27-DE0B-4340-8354-D767D7F2B127}"/>
    <cellStyle name="Style 35 3 4 4" xfId="6146" xr:uid="{792E85A4-C56C-4579-928F-DA1D43CD00BE}"/>
    <cellStyle name="Style 35 3 4 4 2" xfId="27580" xr:uid="{278CC88A-380E-4A05-B6DC-1019EEC21E63}"/>
    <cellStyle name="Style 35 3 4 5" xfId="23451" xr:uid="{14CE56E8-6DAD-4D29-954A-15E49988A29F}"/>
    <cellStyle name="Style 35 3 5" xfId="6149" xr:uid="{55760A91-CD5D-40AB-974E-E73DD0D9D791}"/>
    <cellStyle name="Style 35 3 5 2" xfId="9594" xr:uid="{E4D5336B-401F-4748-B6DA-B7AB49958A7C}"/>
    <cellStyle name="Style 35 3 5 2 2" xfId="27581" xr:uid="{A6122742-4F7A-4913-A184-BBF53945851C}"/>
    <cellStyle name="Style 35 3 5 3" xfId="23453" xr:uid="{0CAF5936-972F-4768-94D1-693982BA3D11}"/>
    <cellStyle name="Style 35 3 6" xfId="4396" xr:uid="{46952600-DBD6-413F-8608-E1D01D08D9DE}"/>
    <cellStyle name="Style 35 3 6 2" xfId="26629" xr:uid="{EA53AE47-AFB2-4963-A193-546C04E00D82}"/>
    <cellStyle name="Style 35 3 7" xfId="23441" xr:uid="{C2F502DC-B9D1-47FF-9EC7-4C008F38E23B}"/>
    <cellStyle name="Style 35 4" xfId="2400" xr:uid="{526AC91A-2D71-4DDA-A294-55F23CB6468E}"/>
    <cellStyle name="Style 35 4 2" xfId="2401" xr:uid="{44E8ADF1-8DFD-4D00-85CE-F1A4AF89F566}"/>
    <cellStyle name="Style 35 4 2 2" xfId="2402" xr:uid="{898363FA-E7CC-4341-A4ED-F95A00D685D2}"/>
    <cellStyle name="Style 35 4 2 2 2" xfId="6152" xr:uid="{2EB05555-80EB-45FE-A7E6-31D7D2FB5B96}"/>
    <cellStyle name="Style 35 4 2 2 2 2" xfId="27583" xr:uid="{EE418764-844E-4DCC-A65D-0D48335FC6F4}"/>
    <cellStyle name="Style 35 4 2 2 3" xfId="23456" xr:uid="{6C5CFA7C-3D0D-428F-90ED-5726891FB5AA}"/>
    <cellStyle name="Style 35 4 2 3" xfId="2403" xr:uid="{59078D90-A404-4E35-BBDA-95534FB293E4}"/>
    <cellStyle name="Style 35 4 2 3 2" xfId="2404" xr:uid="{C07B208D-36D8-4CCB-8BB8-02D67AD8D8C2}"/>
    <cellStyle name="Style 35 4 2 3 2 2" xfId="6154" xr:uid="{93B092C7-CB17-4E8B-A646-3B2918280F5F}"/>
    <cellStyle name="Style 35 4 2 3 2 2 2" xfId="27585" xr:uid="{6B73AB22-511D-408D-9019-07D9F14A4014}"/>
    <cellStyle name="Style 35 4 2 3 2 3" xfId="23458" xr:uid="{223576D2-A4C3-4C3D-85CC-F8726058CAAF}"/>
    <cellStyle name="Style 35 4 2 3 3" xfId="6155" xr:uid="{CFF51B2D-6449-40E9-9D41-3A5BD6A93D88}"/>
    <cellStyle name="Style 35 4 2 3 3 2" xfId="23459" xr:uid="{98BB5A1F-BEA8-427F-86B1-49F0FC14FDF7}"/>
    <cellStyle name="Style 35 4 2 3 4" xfId="6156" xr:uid="{614024C4-7FFF-46E9-8AC4-F32770634B27}"/>
    <cellStyle name="Style 35 4 2 3 4 2" xfId="24672" xr:uid="{98449C55-5824-4A42-B20E-9B142F8FD088}"/>
    <cellStyle name="Style 35 4 2 3 5" xfId="6153" xr:uid="{7F741CE1-5316-43D4-BB04-DA7333C55974}"/>
    <cellStyle name="Style 35 4 2 3 5 2" xfId="27584" xr:uid="{2085EDAE-B27F-49AB-BB1B-32EB1D9685E6}"/>
    <cellStyle name="Style 35 4 2 3 6" xfId="23457" xr:uid="{E776AADF-6905-45EB-9572-BD614747A6C6}"/>
    <cellStyle name="Style 35 4 2 4" xfId="2405" xr:uid="{13F77426-93EA-4BB6-A52F-2E8362B00115}"/>
    <cellStyle name="Style 35 4 2 4 2" xfId="2406" xr:uid="{617E7284-1CBB-4100-B23D-6A0D3E1E2D60}"/>
    <cellStyle name="Style 35 4 2 4 2 2" xfId="6158" xr:uid="{5E1681C1-43CE-4C70-A7F3-DE77D5E60C4A}"/>
    <cellStyle name="Style 35 4 2 4 2 2 2" xfId="27587" xr:uid="{14E4745A-3946-4D26-A530-032A1C9F64FA}"/>
    <cellStyle name="Style 35 4 2 4 2 3" xfId="23461" xr:uid="{65A0B6ED-6CD2-48F9-9ED3-87499702C161}"/>
    <cellStyle name="Style 35 4 2 4 3" xfId="6157" xr:uid="{0E76644B-9609-47B6-8880-5797A76F7D68}"/>
    <cellStyle name="Style 35 4 2 4 3 2" xfId="27586" xr:uid="{6C974409-DA6B-4D78-B917-4DB076DCF8FF}"/>
    <cellStyle name="Style 35 4 2 4 4" xfId="23460" xr:uid="{5DB33A51-3B73-48DD-A50E-C434AE1D8783}"/>
    <cellStyle name="Style 35 4 2 5" xfId="6159" xr:uid="{226D3435-824E-4DF9-A34B-B4E75961ABF8}"/>
    <cellStyle name="Style 35 4 2 5 2" xfId="24673" xr:uid="{351E819B-3EFF-48F3-B30E-B917F1A4839D}"/>
    <cellStyle name="Style 35 4 2 6" xfId="6151" xr:uid="{5512A626-71AE-4842-BAAA-26C1FCBFFFD5}"/>
    <cellStyle name="Style 35 4 2 6 2" xfId="27582" xr:uid="{DC58DAF9-F5B9-4EB6-9A86-A6253AACCF41}"/>
    <cellStyle name="Style 35 4 2 7" xfId="23455" xr:uid="{CA630B03-6769-41BD-B4CA-7DF24FB9F69E}"/>
    <cellStyle name="Style 35 4 3" xfId="2407" xr:uid="{4104AFBF-EEAA-426E-83AE-AB2FE0298633}"/>
    <cellStyle name="Style 35 4 3 2" xfId="6160" xr:uid="{E5FCF19B-C45B-4FF4-86E6-CBB5F9CA4191}"/>
    <cellStyle name="Style 35 4 3 2 2" xfId="27588" xr:uid="{424E84A7-77E2-4878-9C8F-37AA784538F5}"/>
    <cellStyle name="Style 35 4 3 3" xfId="23462" xr:uid="{A4C17387-8BC3-4DE1-B7B4-BD5D03E476AB}"/>
    <cellStyle name="Style 35 4 4" xfId="6161" xr:uid="{C3D3A6D1-6C38-4BD9-B288-5F6B43244A2C}"/>
    <cellStyle name="Style 35 4 4 2" xfId="6162" xr:uid="{E25478D1-067F-480D-9869-8805AC4739E1}"/>
    <cellStyle name="Style 35 4 4 2 2" xfId="24674" xr:uid="{3A06AD52-624B-4F28-8225-41241EEF7409}"/>
    <cellStyle name="Style 35 4 4 3" xfId="23463" xr:uid="{7BF3A3D9-1871-4781-94BE-02191337286A}"/>
    <cellStyle name="Style 35 4 5" xfId="6150" xr:uid="{39292CED-F252-43CC-9BD6-100CE082C8EE}"/>
    <cellStyle name="Style 35 4 5 2" xfId="25943" xr:uid="{BA4A251B-F895-413C-8E96-44A2EBE1AAD9}"/>
    <cellStyle name="Style 35 4 6" xfId="4398" xr:uid="{17279F34-57C9-40BE-B181-13A5C0F18556}"/>
    <cellStyle name="Style 35 4 6 2" xfId="26631" xr:uid="{A3322783-5D81-4923-92A0-D59C2FAD2DA7}"/>
    <cellStyle name="Style 35 4 7" xfId="23454" xr:uid="{6CEBFF7C-8CF7-4A25-95C0-3046FFF2547B}"/>
    <cellStyle name="Style 35 5" xfId="2408" xr:uid="{439ED2D8-53C8-4A89-9724-482E65E2AE6E}"/>
    <cellStyle name="Style 35 5 2" xfId="2409" xr:uid="{94AE9BF1-F10E-47A3-901A-DAD0E9097550}"/>
    <cellStyle name="Style 35 5 2 2" xfId="2410" xr:uid="{82D3EBBA-FA11-45F6-8CD4-44E5B375C2F3}"/>
    <cellStyle name="Style 35 5 2 2 2" xfId="6165" xr:uid="{5B6E7704-9779-4C46-8E5D-6AB86EE25E93}"/>
    <cellStyle name="Style 35 5 2 2 2 2" xfId="27590" xr:uid="{267C8F28-4135-4D08-B371-CFA9D077BA83}"/>
    <cellStyle name="Style 35 5 2 2 3" xfId="23466" xr:uid="{11FBFF1C-86EC-4DC3-9B35-09766BCC9028}"/>
    <cellStyle name="Style 35 5 2 3" xfId="2411" xr:uid="{EA9F9408-FA2A-4370-B9E5-6494A2CF336A}"/>
    <cellStyle name="Style 35 5 2 3 2" xfId="2412" xr:uid="{DC5ED89C-DC04-4952-8190-F7490FECE0F4}"/>
    <cellStyle name="Style 35 5 2 3 2 2" xfId="6167" xr:uid="{8E3D89BF-B530-42C9-A311-E7D9433BB1B8}"/>
    <cellStyle name="Style 35 5 2 3 2 2 2" xfId="27592" xr:uid="{24EEF775-6102-47AC-9012-4AC202581461}"/>
    <cellStyle name="Style 35 5 2 3 2 3" xfId="23468" xr:uid="{63B17304-65A0-4A12-BA15-F0BA77854338}"/>
    <cellStyle name="Style 35 5 2 3 3" xfId="6168" xr:uid="{4532E7CB-0E6B-4967-8F02-F70138D9CF72}"/>
    <cellStyle name="Style 35 5 2 3 3 2" xfId="23469" xr:uid="{66EF7AF8-C349-4AF0-BA03-1E6B71D04CFB}"/>
    <cellStyle name="Style 35 5 2 3 4" xfId="6169" xr:uid="{F9EDAF1F-B051-4B62-8F96-52AF62B39E3D}"/>
    <cellStyle name="Style 35 5 2 3 4 2" xfId="24675" xr:uid="{2B4FA5B6-BC27-4AD7-9820-F4D6196EE415}"/>
    <cellStyle name="Style 35 5 2 3 5" xfId="6166" xr:uid="{37CDD9AE-7554-4336-A7EF-A4E4D9A1A779}"/>
    <cellStyle name="Style 35 5 2 3 5 2" xfId="27591" xr:uid="{47A9DD4D-20F4-4841-BB4F-AF67B5477B23}"/>
    <cellStyle name="Style 35 5 2 3 6" xfId="23467" xr:uid="{9BEAEFB2-5461-4B90-878B-4338949B3B80}"/>
    <cellStyle name="Style 35 5 2 4" xfId="2413" xr:uid="{037E8EB6-FC39-4DE0-9479-5C439F754E10}"/>
    <cellStyle name="Style 35 5 2 4 2" xfId="2414" xr:uid="{46DD5D4D-27C5-43AC-94A0-D2EEF9B95A4C}"/>
    <cellStyle name="Style 35 5 2 4 2 2" xfId="6171" xr:uid="{70834E7E-BCDD-46FA-8FE7-C6F2A250FAB5}"/>
    <cellStyle name="Style 35 5 2 4 2 2 2" xfId="27594" xr:uid="{D9146691-9E6C-40BE-BD5B-B8081017CE8C}"/>
    <cellStyle name="Style 35 5 2 4 2 3" xfId="23471" xr:uid="{38571F47-11D8-475B-A983-A0D025B1C11C}"/>
    <cellStyle name="Style 35 5 2 4 3" xfId="6170" xr:uid="{A6E0CB56-1DA2-476B-8094-F9AD824CCBA0}"/>
    <cellStyle name="Style 35 5 2 4 3 2" xfId="27593" xr:uid="{79110F8B-7222-4016-9BD6-0B370664362A}"/>
    <cellStyle name="Style 35 5 2 4 4" xfId="23470" xr:uid="{7B9F8638-3C29-4C02-A5F7-6F5C34B40126}"/>
    <cellStyle name="Style 35 5 2 5" xfId="6172" xr:uid="{59FE175E-79AA-47AA-90E4-DE285DA34D98}"/>
    <cellStyle name="Style 35 5 2 5 2" xfId="24676" xr:uid="{59524B97-AE3D-4D2C-801B-5F108F391613}"/>
    <cellStyle name="Style 35 5 2 6" xfId="6164" xr:uid="{AE36BDCF-BBC9-4DDE-9B44-062D40252422}"/>
    <cellStyle name="Style 35 5 2 6 2" xfId="27589" xr:uid="{39C57AAE-74F9-43DB-82B1-ED336B7FE4E4}"/>
    <cellStyle name="Style 35 5 2 7" xfId="23465" xr:uid="{4E4DA56D-ED0D-40B2-8C8D-43316F99691E}"/>
    <cellStyle name="Style 35 5 3" xfId="2415" xr:uid="{90A2D60D-9BEB-4C30-8F3D-AAD1288B1735}"/>
    <cellStyle name="Style 35 5 3 2" xfId="6173" xr:uid="{4F86C2C2-740A-4467-AB0E-0EE2478A5CDA}"/>
    <cellStyle name="Style 35 5 3 2 2" xfId="27595" xr:uid="{CEAF74BC-E688-4850-BA6D-A39B8A95151D}"/>
    <cellStyle name="Style 35 5 3 3" xfId="23472" xr:uid="{C44E6E50-D91E-419E-BA92-D13C4F9F2F7F}"/>
    <cellStyle name="Style 35 5 4" xfId="6174" xr:uid="{280D6DB0-7E60-4918-8974-86C1628640DB}"/>
    <cellStyle name="Style 35 5 4 2" xfId="6175" xr:uid="{12E4CB63-DE98-4B57-B510-979954075A1B}"/>
    <cellStyle name="Style 35 5 4 2 2" xfId="24677" xr:uid="{883A129B-73CA-4A4A-B081-5C29932A0BF2}"/>
    <cellStyle name="Style 35 5 4 3" xfId="23473" xr:uid="{8493A83A-94D9-474F-A73C-70B880894CDB}"/>
    <cellStyle name="Style 35 5 5" xfId="6163" xr:uid="{14D008E8-0A2A-4D2B-84A1-9603DEEBCFF8}"/>
    <cellStyle name="Style 35 5 5 2" xfId="25944" xr:uid="{BB5D689A-A6C1-471F-8F48-68CF8A512B36}"/>
    <cellStyle name="Style 35 5 6" xfId="4399" xr:uid="{03EACB11-7380-4625-9A9C-0B09608C30F4}"/>
    <cellStyle name="Style 35 5 6 2" xfId="26632" xr:uid="{0AED37FD-19A5-42F5-B568-67C8471AA2F7}"/>
    <cellStyle name="Style 35 5 7" xfId="23464" xr:uid="{DAA932BA-666E-47D5-95E2-F24868259DB7}"/>
    <cellStyle name="Style 35 6" xfId="2416" xr:uid="{625975AA-821A-4EA6-AA1D-19B3B79E81C7}"/>
    <cellStyle name="Style 35 6 2" xfId="2417" xr:uid="{2E674E7F-9FE9-406A-BB2A-0154F5782269}"/>
    <cellStyle name="Style 35 6 2 2" xfId="6177" xr:uid="{AAB6A24C-5FE4-4B00-94C4-BFF562B6BDB4}"/>
    <cellStyle name="Style 35 6 2 2 2" xfId="27597" xr:uid="{CB15EE80-28AA-4DFA-A875-B9F790A068EF}"/>
    <cellStyle name="Style 35 6 2 3" xfId="23475" xr:uid="{FB8E4A62-4F5B-4382-B7AC-C85464AF0431}"/>
    <cellStyle name="Style 35 6 3" xfId="2418" xr:uid="{D5B2F44C-9D74-429C-93EB-4817BD4091DE}"/>
    <cellStyle name="Style 35 6 3 2" xfId="2419" xr:uid="{B6D53D99-5C15-4BAC-8177-3F337E3C9805}"/>
    <cellStyle name="Style 35 6 3 2 2" xfId="6179" xr:uid="{D30F5CB9-CB91-455F-9AE4-120486086CB4}"/>
    <cellStyle name="Style 35 6 3 2 2 2" xfId="27599" xr:uid="{C1A411B5-0833-46FB-8920-5438CB3D47EA}"/>
    <cellStyle name="Style 35 6 3 2 3" xfId="23477" xr:uid="{F09633C9-DFC3-42BA-8298-B288F33939A7}"/>
    <cellStyle name="Style 35 6 3 3" xfId="6180" xr:uid="{9CD440A0-5FEC-43A0-9586-3D0A3EB02F34}"/>
    <cellStyle name="Style 35 6 3 3 2" xfId="23478" xr:uid="{085886BF-EB8C-458F-8A96-636B34726E8F}"/>
    <cellStyle name="Style 35 6 3 4" xfId="6181" xr:uid="{AF52D17F-88E6-4AB0-9941-42EC9B4C1491}"/>
    <cellStyle name="Style 35 6 3 4 2" xfId="24678" xr:uid="{545DD5A5-9C33-41F9-8E62-321DCEE64D89}"/>
    <cellStyle name="Style 35 6 3 5" xfId="6178" xr:uid="{EF524607-3F16-427D-8DDE-95B1AC35CAF6}"/>
    <cellStyle name="Style 35 6 3 5 2" xfId="27598" xr:uid="{8BDD7211-0C53-43DF-99BB-2FB7DDF01DF1}"/>
    <cellStyle name="Style 35 6 3 6" xfId="23476" xr:uid="{A6965D05-E4E6-4534-B2A7-6C8F9FC94FD2}"/>
    <cellStyle name="Style 35 6 4" xfId="2420" xr:uid="{0848BE6C-9F51-4760-BDF5-B3147205A1B2}"/>
    <cellStyle name="Style 35 6 4 2" xfId="2421" xr:uid="{61127235-0AE1-4C6E-92D7-4EA0C7492C65}"/>
    <cellStyle name="Style 35 6 4 2 2" xfId="6183" xr:uid="{7EDA439D-2ECE-4CA3-B52E-7511AAA4E076}"/>
    <cellStyle name="Style 35 6 4 2 2 2" xfId="27601" xr:uid="{8F35BC7F-DB48-4D7F-85F4-4950FC4D637D}"/>
    <cellStyle name="Style 35 6 4 2 3" xfId="23480" xr:uid="{A422C444-899D-4933-B2E2-54B0B6016E7C}"/>
    <cellStyle name="Style 35 6 4 3" xfId="6182" xr:uid="{3C3FA8F9-B96C-4800-BBB3-53D2BA49D901}"/>
    <cellStyle name="Style 35 6 4 3 2" xfId="27600" xr:uid="{F980AB7F-F44F-4992-BFD3-9A47EDC1112E}"/>
    <cellStyle name="Style 35 6 4 4" xfId="23479" xr:uid="{E522D3B7-E839-4C59-BF4F-7BC49354193F}"/>
    <cellStyle name="Style 35 6 5" xfId="6184" xr:uid="{8CB8429F-3641-4AC0-BE4D-286AA479419B}"/>
    <cellStyle name="Style 35 6 5 2" xfId="24679" xr:uid="{038EBB80-5828-49F3-86AD-AD37D563AB05}"/>
    <cellStyle name="Style 35 6 6" xfId="6176" xr:uid="{E4B4E837-82F4-49B6-BA69-E7AC1F2AA02B}"/>
    <cellStyle name="Style 35 6 6 2" xfId="27596" xr:uid="{F0AFDB20-10FE-4BC8-A2AB-D631BFB46585}"/>
    <cellStyle name="Style 35 6 7" xfId="23474" xr:uid="{178B7A34-A2D8-41E7-A5D8-1A1F6AD44D24}"/>
    <cellStyle name="Style 35 7" xfId="2422" xr:uid="{22EF26AC-C8C0-4B86-B7EA-33BE2097AC14}"/>
    <cellStyle name="Style 35 7 2" xfId="2423" xr:uid="{8E862D48-BB9A-4F3F-99ED-45D5BC9DE1F5}"/>
    <cellStyle name="Style 35 7 2 2" xfId="6186" xr:uid="{DEDBDF6C-2465-4708-992E-DFB37B7B80A4}"/>
    <cellStyle name="Style 35 7 2 2 2" xfId="27603" xr:uid="{1ECF3CCB-96E3-46D4-9AE1-1A00529D9C0A}"/>
    <cellStyle name="Style 35 7 2 3" xfId="23482" xr:uid="{66D7933B-DE70-4BDD-AC97-5FFF71D35C99}"/>
    <cellStyle name="Style 35 7 3" xfId="6187" xr:uid="{7B59A9EA-AFAE-4EC3-9D7F-EDCC05ADD605}"/>
    <cellStyle name="Style 35 7 3 2" xfId="23483" xr:uid="{A4D2DF16-86CD-42AA-8B5A-573DC0C8A45B}"/>
    <cellStyle name="Style 35 7 4" xfId="6188" xr:uid="{DD7898A9-E0D2-4355-AE13-BF4C529910F5}"/>
    <cellStyle name="Style 35 7 4 2" xfId="24680" xr:uid="{2E1A360F-85F8-4527-97B1-6BDAD69A9F23}"/>
    <cellStyle name="Style 35 7 5" xfId="6185" xr:uid="{006DF0D1-2C7C-4499-8C9B-59470A15853B}"/>
    <cellStyle name="Style 35 7 5 2" xfId="27602" xr:uid="{4A451EED-F333-4429-9CEB-54E2ADB6B802}"/>
    <cellStyle name="Style 35 7 6" xfId="23481" xr:uid="{DFC5835D-28D9-47BA-A59E-490DEE26E825}"/>
    <cellStyle name="Style 35 8" xfId="2424" xr:uid="{12D1BD77-2B59-4080-9580-6B98625B6AB9}"/>
    <cellStyle name="Style 35 8 2" xfId="2425" xr:uid="{7ED343A1-B74F-4B62-9B8B-AE5FBB873375}"/>
    <cellStyle name="Style 35 8 2 2" xfId="6190" xr:uid="{5CBEDEEF-E7BA-4555-88A9-E085CBEDFA27}"/>
    <cellStyle name="Style 35 8 2 2 2" xfId="27605" xr:uid="{69ED5E76-028C-48A2-BF34-F23A850D953C}"/>
    <cellStyle name="Style 35 8 2 3" xfId="23485" xr:uid="{F6227CDB-BDB2-4289-A478-DC08AC8DA92A}"/>
    <cellStyle name="Style 35 8 3" xfId="6191" xr:uid="{31FAAA02-474D-4351-A6A2-7BFA7F9433AF}"/>
    <cellStyle name="Style 35 8 3 2" xfId="23486" xr:uid="{9DEBC7CC-38A2-4138-92FE-E13E7CBBB249}"/>
    <cellStyle name="Style 35 8 4" xfId="6192" xr:uid="{19603D20-DF9C-413F-9A8D-AF3A09C06903}"/>
    <cellStyle name="Style 35 8 4 2" xfId="24681" xr:uid="{D59E2053-8DCC-4BB7-9D6C-518666DCE3EA}"/>
    <cellStyle name="Style 35 8 5" xfId="6189" xr:uid="{2F2C0210-4962-4A68-9079-6D37786BC416}"/>
    <cellStyle name="Style 35 8 5 2" xfId="27604" xr:uid="{6736B833-DA3C-46CC-AF59-0864AC6E7BE8}"/>
    <cellStyle name="Style 35 8 6" xfId="23484" xr:uid="{F3319589-411D-4F11-ACC3-EE8766AC3B1A}"/>
    <cellStyle name="Style 35 9" xfId="2426" xr:uid="{AB29B11D-AB69-4F09-AEAA-E2BB6D627BD3}"/>
    <cellStyle name="Style 35 9 2" xfId="2427" xr:uid="{24DD4288-73A2-44DC-8A9D-F8CC965110F1}"/>
    <cellStyle name="Style 35 9 2 2" xfId="6193" xr:uid="{2C4CEB93-37C7-413C-B72B-844F34A15AD3}"/>
    <cellStyle name="Style 35 9 2 2 2" xfId="27607" xr:uid="{7CE8E237-6C23-481B-9B98-5EC0F356B559}"/>
    <cellStyle name="Style 35 9 2 3" xfId="24682" xr:uid="{2BCB6379-879B-4F65-BB4B-60C41BFA1F7E}"/>
    <cellStyle name="Style 35 9 3" xfId="4149" xr:uid="{4A7886ED-48F2-4C15-9C68-7C88D2F83F72}"/>
    <cellStyle name="Style 35 9 3 2" xfId="27606" xr:uid="{629438DF-19AA-41C8-A7AE-AE6F970C4022}"/>
    <cellStyle name="Style 35 9 4" xfId="23487" xr:uid="{48F60624-06DB-4DEA-BA4A-6D12199BCDFA}"/>
    <cellStyle name="Style 35_ADDON" xfId="25789" xr:uid="{C3DD84DB-82FB-4DA8-80DD-B6578BA15814}"/>
    <cellStyle name="Style 36" xfId="2428" xr:uid="{80B7F136-E973-4492-82A9-6B405633CEBA}"/>
    <cellStyle name="Style 36 10" xfId="23488" xr:uid="{C1C2846B-A8CB-41ED-A1FD-EC5BA865CA9D}"/>
    <cellStyle name="Style 36 2" xfId="2429" xr:uid="{7504A4CA-2C06-4129-8C9E-E346C852EC1E}"/>
    <cellStyle name="Style 36 2 2" xfId="9595" xr:uid="{4A497591-84EC-4BE0-AFA7-B54BAD25C7FA}"/>
    <cellStyle name="Style 36 2 2 2" xfId="28966" xr:uid="{4D44E9DE-001A-4D15-8C52-35272232217E}"/>
    <cellStyle name="Style 36 2 3" xfId="23489" xr:uid="{45F85839-D053-4160-9768-CF0F21C57B5F}"/>
    <cellStyle name="Style 36 3" xfId="2430" xr:uid="{36181C9B-F505-4FF4-86C5-A4D8C878AD61}"/>
    <cellStyle name="Style 36 3 2" xfId="2431" xr:uid="{9E1E0D26-C067-4710-8173-A6C03AA2D1FD}"/>
    <cellStyle name="Style 36 3 2 2" xfId="23491" xr:uid="{FEADBA24-729B-41C4-A937-E029415CAAB6}"/>
    <cellStyle name="Style 36 3 3" xfId="2432" xr:uid="{D1A8BF9E-CCAE-4929-B99D-86C9061FDB4F}"/>
    <cellStyle name="Style 36 3 3 2" xfId="2433" xr:uid="{5CDFA1C3-BE24-40B8-90D3-5FCE6EFEED21}"/>
    <cellStyle name="Style 36 3 3 2 2" xfId="23493" xr:uid="{16A30A6D-529E-4C4C-9CC3-6D45C1FAF675}"/>
    <cellStyle name="Style 36 3 3 3" xfId="6194" xr:uid="{27C1B666-C008-4D52-9F46-AB5ECF5434AB}"/>
    <cellStyle name="Style 36 3 3 3 2" xfId="23494" xr:uid="{E2E8BD70-618D-4991-AA7A-911B035A5E0A}"/>
    <cellStyle name="Style 36 3 3 4" xfId="6195" xr:uid="{F9B981A4-F0B1-4782-9619-9C3C27390D5F}"/>
    <cellStyle name="Style 36 3 3 4 2" xfId="24683" xr:uid="{FED234BE-D852-430D-90F6-0A75DEDE09B5}"/>
    <cellStyle name="Style 36 3 3 5" xfId="23492" xr:uid="{C907A8F2-86FE-428C-B71B-15585E4B1E52}"/>
    <cellStyle name="Style 36 3 4" xfId="2434" xr:uid="{1E986EEE-385A-4CC2-BCEA-675F91505737}"/>
    <cellStyle name="Style 36 3 4 2" xfId="2435" xr:uid="{A510FC3F-91D8-4C55-98A8-2503E8440246}"/>
    <cellStyle name="Style 36 3 4 2 2" xfId="23496" xr:uid="{8A974B12-E2F0-45C0-AFB0-0568CDED3520}"/>
    <cellStyle name="Style 36 3 4 3" xfId="23495" xr:uid="{B68FBEF1-E117-4036-B0A3-7E7FB12C5FEE}"/>
    <cellStyle name="Style 36 3 5" xfId="6196" xr:uid="{EACA68EA-8C12-45EA-921C-515841A8E5A9}"/>
    <cellStyle name="Style 36 3 5 2" xfId="24684" xr:uid="{131BD1C9-715E-4988-9957-75329EFFDCF1}"/>
    <cellStyle name="Style 36 3 6" xfId="23490" xr:uid="{A502671F-27AE-4E13-B5BC-5E0BA959AE82}"/>
    <cellStyle name="Style 36 4" xfId="2436" xr:uid="{7A329CC0-8D93-4DD9-8183-95B604A61E74}"/>
    <cellStyle name="Style 36 4 2" xfId="2437" xr:uid="{61FC529C-3FAC-4AF3-B7F2-C3239C8B5D15}"/>
    <cellStyle name="Style 36 4 2 2" xfId="23498" xr:uid="{9B474272-97A7-452B-86F3-3FF4E18D6BB5}"/>
    <cellStyle name="Style 36 4 3" xfId="6197" xr:uid="{A87251F6-65DE-4058-ABD0-F7B3C8F42169}"/>
    <cellStyle name="Style 36 4 3 2" xfId="23499" xr:uid="{FE2CA3B6-B4C8-45B8-A34F-48925AD94B4F}"/>
    <cellStyle name="Style 36 4 4" xfId="6198" xr:uid="{954BB434-A3E1-4050-A0DA-45A697C8267E}"/>
    <cellStyle name="Style 36 4 4 2" xfId="24685" xr:uid="{BD447152-A276-4DBE-BF79-1316824A75B9}"/>
    <cellStyle name="Style 36 4 5" xfId="23497" xr:uid="{04AD47EC-339C-474A-A2D4-104718F8CE39}"/>
    <cellStyle name="Style 36 5" xfId="2438" xr:uid="{989AC3CC-943D-4E29-A01B-C50B64B10091}"/>
    <cellStyle name="Style 36 5 2" xfId="2439" xr:uid="{37CF754D-388D-4182-A667-0179ED9C5919}"/>
    <cellStyle name="Style 36 5 2 2" xfId="23501" xr:uid="{68740575-C27C-4E4C-BA06-E6E03547BB01}"/>
    <cellStyle name="Style 36 5 3" xfId="23500" xr:uid="{47A136F2-E3C7-46F9-A7DE-48DFBDB62091}"/>
    <cellStyle name="Style 36 6" xfId="2440" xr:uid="{84EB8B1A-3A25-46C0-ACA4-635D709844C3}"/>
    <cellStyle name="Style 36 6 2" xfId="2441" xr:uid="{8DB8B762-E6AE-428C-BABF-47CDE330EA26}"/>
    <cellStyle name="Style 36 6 2 2" xfId="24686" xr:uid="{E2617760-236E-411E-B64B-DB5E397A1DE1}"/>
    <cellStyle name="Style 36 6 3" xfId="4151" xr:uid="{5AFAA51B-01A1-4E03-A5D4-AD92543D71E3}"/>
    <cellStyle name="Style 36 6 3 2" xfId="28325" xr:uid="{D080529A-7B42-4FE0-9A51-25B5D69A6057}"/>
    <cellStyle name="Style 36 6 4" xfId="23502" xr:uid="{AC6773D5-BD7F-4D1A-89AE-2C25BD9DA6A7}"/>
    <cellStyle name="Style 36 7" xfId="4150" xr:uid="{61290940-413F-4136-864C-BD181D4DB9CB}"/>
    <cellStyle name="Style 36 7 2" xfId="6200" xr:uid="{493248A9-B7B0-4E3C-AF4E-AF8DE736D99D}"/>
    <cellStyle name="Style 36 7 2 2" xfId="24687" xr:uid="{E5F2204E-ED2F-4332-B182-9605274E4B80}"/>
    <cellStyle name="Style 36 7 3" xfId="6199" xr:uid="{42BDC96E-413D-4D11-AE63-8C1B85B63EB0}"/>
    <cellStyle name="Style 36 7 3 2" xfId="40722" xr:uid="{1DA54E99-B003-40CE-91B7-981A425A6AF9}"/>
    <cellStyle name="Style 36 7 4" xfId="23503" xr:uid="{EF4D48D0-CA19-4133-82CE-917E4E0FD494}"/>
    <cellStyle name="Style 36 8" xfId="6201" xr:uid="{3A5E615A-A809-46F8-9729-6BDC9BF05479}"/>
    <cellStyle name="Style 36 8 2" xfId="24688" xr:uid="{6D9E9270-B4BE-4F6C-B09B-AEAA7E465899}"/>
    <cellStyle name="Style 36 9" xfId="9596" xr:uid="{E91A1ABA-D9E2-44E3-8C4F-205600175099}"/>
    <cellStyle name="Style 36 9 2" xfId="26633" xr:uid="{18F9913A-0648-4951-8502-1E75375961FF}"/>
    <cellStyle name="Style 36_ADDON" xfId="25744" xr:uid="{E58CC2E4-4FA6-48B8-BFB0-C18C25FA0B8E}"/>
    <cellStyle name="Style 37" xfId="2442" xr:uid="{B14029F0-BCA1-4831-B05F-4B97C722FE5D}"/>
    <cellStyle name="Style 37 2" xfId="2443" xr:uid="{60022088-6CE1-4397-A6F9-0745CCD21910}"/>
    <cellStyle name="Style 37 2 2" xfId="2444" xr:uid="{08FF1ED0-6388-4A6E-9FDD-33E5C9B98496}"/>
    <cellStyle name="Style 37 2 2 2" xfId="2445" xr:uid="{92E04189-8D57-4D8D-B463-49CE40CB5B63}"/>
    <cellStyle name="Style 37 2 2 2 2" xfId="2446" xr:uid="{62990FC6-DE69-4D3B-A92B-402F135A5F55}"/>
    <cellStyle name="Style 37 2 2 2 2 2" xfId="2447" xr:uid="{0512CBE2-4948-4F7C-9D11-55527F52A2DE}"/>
    <cellStyle name="Style 37 2 2 2 2 2 2" xfId="9597" xr:uid="{24FBD905-1A90-4362-8D5D-DCAE0332E42F}"/>
    <cellStyle name="Style 37 2 2 2 2 3" xfId="9598" xr:uid="{51A8A9EC-405A-4131-88B5-D0A7E7891653}"/>
    <cellStyle name="Style 37 2 2 2 3" xfId="2448" xr:uid="{4233B215-B9E1-40F4-BDCB-FD198B868AF5}"/>
    <cellStyle name="Style 37 2 2 2 3 2" xfId="9599" xr:uid="{6CBD0E95-661D-4FDA-B46F-0099F20FA7A7}"/>
    <cellStyle name="Style 37 2 2 2 4" xfId="9600" xr:uid="{3A093580-8934-4AEF-A99D-A47715B057D3}"/>
    <cellStyle name="Style 37 2 2 3" xfId="2449" xr:uid="{7776884B-2F1B-4A96-A3BF-A86146085765}"/>
    <cellStyle name="Style 37 2 2 3 2" xfId="2450" xr:uid="{2718B02A-E6E7-4A9F-9079-D13208191E25}"/>
    <cellStyle name="Style 37 2 2 3 2 2" xfId="9601" xr:uid="{8F7C9B8B-8112-42F7-AA49-EE7ED7069185}"/>
    <cellStyle name="Style 37 2 2 3 3" xfId="9602" xr:uid="{2FE72199-A12E-4BA5-A34B-005871D914FE}"/>
    <cellStyle name="Style 37 2 2 4" xfId="2451" xr:uid="{362543B4-6AFD-4669-A9CA-0A9A56A3D45F}"/>
    <cellStyle name="Style 37 2 2 4 2" xfId="9603" xr:uid="{72CDB10B-7FD5-456B-B6D0-5EE63569FF89}"/>
    <cellStyle name="Style 37 2 2 5" xfId="9604" xr:uid="{C8DDA3A7-26E3-4FCF-B339-B5F853CE0A35}"/>
    <cellStyle name="Style 37 2 3" xfId="2452" xr:uid="{95C6013D-3939-4543-9276-CEC0EA21F741}"/>
    <cellStyle name="Style 37 2 3 2" xfId="2453" xr:uid="{EE4AFAE8-0388-4132-99DA-ED62A03B21BD}"/>
    <cellStyle name="Style 37 2 3 2 2" xfId="2454" xr:uid="{5C371E9B-4F1A-4062-9C4B-F8424244BBB0}"/>
    <cellStyle name="Style 37 2 3 2 2 2" xfId="9605" xr:uid="{26665213-C92C-4695-8CC2-0130E11ED013}"/>
    <cellStyle name="Style 37 2 3 2 3" xfId="9606" xr:uid="{8F226051-F492-403A-8265-DA4BE6FFD475}"/>
    <cellStyle name="Style 37 2 3 3" xfId="2455" xr:uid="{9A6B7301-D01C-461A-B074-75BF050366CB}"/>
    <cellStyle name="Style 37 2 3 3 2" xfId="9607" xr:uid="{77B6D48E-1458-452D-ABC1-9FAA8D335204}"/>
    <cellStyle name="Style 37 2 3 4" xfId="9608" xr:uid="{573EE5C6-3478-4799-B909-3F33D7243841}"/>
    <cellStyle name="Style 37 2 4" xfId="2456" xr:uid="{ACF98DBD-BF47-4113-A286-F5D73EEB70F6}"/>
    <cellStyle name="Style 37 2 4 2" xfId="2457" xr:uid="{FEE3BF97-EC94-41F0-858B-D149D7D8320B}"/>
    <cellStyle name="Style 37 2 4 2 2" xfId="9609" xr:uid="{3EE0C93E-7F7A-497C-A405-5C193306E005}"/>
    <cellStyle name="Style 37 2 4 3" xfId="9610" xr:uid="{7C68CC06-BA4F-4472-B03C-98CE51884D75}"/>
    <cellStyle name="Style 37 2 5" xfId="2458" xr:uid="{5E5E067D-747C-4A9C-97FF-E1A1D199780D}"/>
    <cellStyle name="Style 37 2 5 2" xfId="9611" xr:uid="{42314CA0-0DBC-457B-853B-4D9B449967F3}"/>
    <cellStyle name="Style 37 2 6" xfId="9612" xr:uid="{B2F772EF-276A-463C-8ED0-50CBED630B0B}"/>
    <cellStyle name="Style 37 3" xfId="2459" xr:uid="{70BDE771-15B9-41F6-BEAD-B921836E88BF}"/>
    <cellStyle name="Style 37 3 2" xfId="2460" xr:uid="{606BBED9-B81E-41F0-82D0-BC430BA084A0}"/>
    <cellStyle name="Style 37 3 2 2" xfId="2461" xr:uid="{E00A91C7-6A6A-4D29-8A1F-EDCB7B22053A}"/>
    <cellStyle name="Style 37 3 2 2 2" xfId="2462" xr:uid="{7E8A8D61-C1D3-4436-A2B1-A63BCF4898A5}"/>
    <cellStyle name="Style 37 3 2 2 2 2" xfId="2463" xr:uid="{ACB653CD-C2C5-42C6-BCD1-1F27157264E1}"/>
    <cellStyle name="Style 37 3 2 2 2 2 2" xfId="9613" xr:uid="{0D8B99EB-5949-4DF5-89A7-7CB78A19C97A}"/>
    <cellStyle name="Style 37 3 2 2 2 3" xfId="9614" xr:uid="{2D6C9D10-21ED-4D41-B597-89B232C3D314}"/>
    <cellStyle name="Style 37 3 2 2 3" xfId="2464" xr:uid="{762402D4-7E4F-4917-BDB8-52876ADFB9FD}"/>
    <cellStyle name="Style 37 3 2 2 3 2" xfId="9615" xr:uid="{E8E16444-76F4-4C3C-A85B-67EF2C346B9F}"/>
    <cellStyle name="Style 37 3 2 2 4" xfId="9616" xr:uid="{3DB31439-277F-4444-86AB-B08690440F8A}"/>
    <cellStyle name="Style 37 3 2 3" xfId="2465" xr:uid="{F424A7F3-5446-4066-900C-9736472796B3}"/>
    <cellStyle name="Style 37 3 2 3 2" xfId="2466" xr:uid="{B4A93E9F-735F-4AF5-822D-6E40D832E3E5}"/>
    <cellStyle name="Style 37 3 2 3 2 2" xfId="9617" xr:uid="{55CAB96F-186F-4BF4-8EEC-0C3BEBB88BF9}"/>
    <cellStyle name="Style 37 3 2 3 3" xfId="9618" xr:uid="{FFA66B58-ABEE-46D2-9509-906FFFC2222E}"/>
    <cellStyle name="Style 37 3 2 4" xfId="2467" xr:uid="{49F92C9C-C19E-4D9D-8DC3-7D0B6B6FDFCA}"/>
    <cellStyle name="Style 37 3 2 4 2" xfId="9619" xr:uid="{2AA1E618-0F54-49AA-B72E-40628804745F}"/>
    <cellStyle name="Style 37 3 2 5" xfId="9620" xr:uid="{42D361A9-71B3-44CB-97E2-14B42CB3BE2A}"/>
    <cellStyle name="Style 37 3 3" xfId="2468" xr:uid="{41CFED13-FBD6-43A6-9F7E-A812C3194F69}"/>
    <cellStyle name="Style 37 3 3 2" xfId="2469" xr:uid="{428EC59F-2081-4E8C-A215-2B225C04A8F9}"/>
    <cellStyle name="Style 37 3 3 2 2" xfId="2470" xr:uid="{F9104CB0-14F1-40F7-ACC5-79E03566810E}"/>
    <cellStyle name="Style 37 3 3 2 2 2" xfId="2471" xr:uid="{7E81AF02-5C52-46E6-9EFF-A4FF8C99B918}"/>
    <cellStyle name="Style 37 3 3 2 2 2 2" xfId="9621" xr:uid="{FB99B889-4A4F-46B4-AB3F-7B72471C2B8A}"/>
    <cellStyle name="Style 37 3 3 2 2 3" xfId="9622" xr:uid="{14A04F27-3032-44F4-99A9-D86452C1FF41}"/>
    <cellStyle name="Style 37 3 3 2 3" xfId="2472" xr:uid="{3949F3D6-B9D5-4D23-8BB2-1CB1A72BC230}"/>
    <cellStyle name="Style 37 3 3 2 3 2" xfId="9623" xr:uid="{7665748B-B67C-44BD-812B-D97CA88EDDD4}"/>
    <cellStyle name="Style 37 3 3 2 4" xfId="9624" xr:uid="{AFE10DB6-D826-4A42-A30A-90F8BE5C3A40}"/>
    <cellStyle name="Style 37 3 3 3" xfId="2473" xr:uid="{211DE43B-9A18-431D-9B95-3E8A997AFF3D}"/>
    <cellStyle name="Style 37 3 3 3 2" xfId="9625" xr:uid="{9F586039-7F1B-45A8-A157-79161CE59D21}"/>
    <cellStyle name="Style 37 3 3 4" xfId="6202" xr:uid="{C908604F-2B59-459E-96E3-BF66685A7197}"/>
    <cellStyle name="Style 37 3 3 5" xfId="9626" xr:uid="{F95DA66A-A201-4BC2-AAA9-B0E67B02FFB3}"/>
    <cellStyle name="Style 37 3 4" xfId="2474" xr:uid="{703B3D44-9082-443B-BD54-5ED72931A6D7}"/>
    <cellStyle name="Style 37 3 4 2" xfId="2475" xr:uid="{07A26DD5-738E-46DD-84E2-2D303C8D839A}"/>
    <cellStyle name="Style 37 3 4 2 2" xfId="9627" xr:uid="{617C1A0D-677E-41F3-A8AB-33BDC4ADAF1F}"/>
    <cellStyle name="Style 37 3 4 3" xfId="9628" xr:uid="{E6CE2D03-9F32-41E2-84F5-B3D4A5C868AA}"/>
    <cellStyle name="Style 37 3 5" xfId="2476" xr:uid="{D24A56DB-B8EE-4A3E-96A2-7EED5942F2EE}"/>
    <cellStyle name="Style 37 3 5 2" xfId="9629" xr:uid="{7262DBF5-E48E-4145-95DC-FC3F58FE2AB2}"/>
    <cellStyle name="Style 37 3 6" xfId="9630" xr:uid="{D1EC27EB-9A5F-4277-BD67-168D60EE01CE}"/>
    <cellStyle name="Style 37 4" xfId="2477" xr:uid="{02E1C009-EFE5-4737-83CE-EAB35E8978D7}"/>
    <cellStyle name="Style 37 4 2" xfId="2478" xr:uid="{8451B0A7-EB45-4DC0-9763-ECCE02C70C70}"/>
    <cellStyle name="Style 37 4 2 2" xfId="2479" xr:uid="{080818D9-6BF9-4721-ACCC-FD53ABBE2B10}"/>
    <cellStyle name="Style 37 4 2 2 2" xfId="2480" xr:uid="{DE4A387D-221A-4E6D-804B-538D9BC5E235}"/>
    <cellStyle name="Style 37 4 2 2 2 2" xfId="9631" xr:uid="{F85F7A4A-6D1E-4CF9-9D7A-7F760CE0D403}"/>
    <cellStyle name="Style 37 4 2 2 3" xfId="9632" xr:uid="{FD9D80D2-B958-4879-8997-76A90C22B29E}"/>
    <cellStyle name="Style 37 4 2 3" xfId="2481" xr:uid="{F8F2645E-8395-4CC1-878C-D07399D957FE}"/>
    <cellStyle name="Style 37 4 2 3 2" xfId="9633" xr:uid="{6E86A4AF-9303-4FEB-BB44-3FBBB7C63776}"/>
    <cellStyle name="Style 37 4 2 4" xfId="9634" xr:uid="{A335E870-9943-422A-9806-2E181CCCF787}"/>
    <cellStyle name="Style 37 4 3" xfId="2482" xr:uid="{F4FB1AB8-013A-4C35-8B85-97D731328B10}"/>
    <cellStyle name="Style 37 4 3 2" xfId="9635" xr:uid="{981937F5-A44A-45B1-A4CE-B8DCA54C50D5}"/>
    <cellStyle name="Style 37 4 4" xfId="6203" xr:uid="{DF6F25EF-1989-46A6-9838-052091D93978}"/>
    <cellStyle name="Style 37 4 5" xfId="9636" xr:uid="{86820464-891D-48C8-A4AE-AE86827B60DA}"/>
    <cellStyle name="Style 37 5" xfId="2483" xr:uid="{572F908A-35BF-498C-8BF3-6B56C80B6414}"/>
    <cellStyle name="Style 37 5 2" xfId="2484" xr:uid="{A1CFA868-744E-4917-9C56-6B9339BA1D77}"/>
    <cellStyle name="Style 37 5 2 2" xfId="9637" xr:uid="{6BDEB0DD-2686-46B4-BFB1-84F47A9EA6D5}"/>
    <cellStyle name="Style 37 5 3" xfId="9638" xr:uid="{F900B69E-A2CD-4D80-8AD5-F949A98CAA3E}"/>
    <cellStyle name="Style 37 6" xfId="2485" xr:uid="{3F6EB81B-FCA6-40DD-A2C5-8A42E7B8CEB5}"/>
    <cellStyle name="Style 37 6 2" xfId="4153" xr:uid="{7A9AC816-3071-432F-AB79-1EB624F722D5}"/>
    <cellStyle name="Style 37 6 2 2" xfId="6204" xr:uid="{D4FE0A65-FD5F-4155-A89C-8C4F2C958AD2}"/>
    <cellStyle name="Style 37 6 3" xfId="9639" xr:uid="{54D68FC8-6989-4F22-A3F4-9F53ED4BC4D3}"/>
    <cellStyle name="Style 37 7" xfId="4152" xr:uid="{F166A873-668B-4236-9F9C-BEE5D40B81D8}"/>
    <cellStyle name="Style 37 7 2" xfId="6206" xr:uid="{D108F92D-1447-431C-8BDA-53CE057154F7}"/>
    <cellStyle name="Style 37 7 3" xfId="6205" xr:uid="{D494EB00-B484-4AAF-ADF8-A46A46626ADD}"/>
    <cellStyle name="Style 37 8" xfId="6207" xr:uid="{80B24633-4511-4FB7-B406-1F75EA7911A0}"/>
    <cellStyle name="Style 37 9" xfId="9640" xr:uid="{1912C9F5-4944-4EAE-BF32-47B0A56CA77D}"/>
    <cellStyle name="Style 37 9 2" xfId="26634" xr:uid="{5827A74F-D0BC-4636-98E7-B62AE0C706FB}"/>
    <cellStyle name="Style 37_ADDON" xfId="25790" xr:uid="{2C3CEDE7-D6E7-4EF5-9F66-0DF2572A49A1}"/>
    <cellStyle name="Style 38" xfId="2486" xr:uid="{E328C862-79DA-45D8-9720-7049CAC8E035}"/>
    <cellStyle name="Style 38 10" xfId="23504" xr:uid="{33F2B05A-D2C8-480F-AF35-748F57C931F8}"/>
    <cellStyle name="Style 38 2" xfId="2487" xr:uid="{8A2A27F8-8BE8-4A29-97E4-AD71F0CEFE4E}"/>
    <cellStyle name="Style 38 2 2" xfId="9641" xr:uid="{C8B4C801-DDA0-4E04-B5AE-AEADF9D4F7E2}"/>
    <cellStyle name="Style 38 2 2 2" xfId="28967" xr:uid="{576AAD90-2CB4-44D0-A79A-32FA1194962B}"/>
    <cellStyle name="Style 38 2 3" xfId="23505" xr:uid="{1C4CE17C-E6BF-4F9B-84EC-C62FACBA472F}"/>
    <cellStyle name="Style 38 3" xfId="2488" xr:uid="{EBCC0A95-1F2A-41A5-AF8E-661B9DA1B55F}"/>
    <cellStyle name="Style 38 3 2" xfId="2489" xr:uid="{57FA2B67-296B-43E4-B37F-298AC6E26484}"/>
    <cellStyle name="Style 38 3 2 2" xfId="23507" xr:uid="{24061B13-1762-4CF1-AAFB-B5B942865632}"/>
    <cellStyle name="Style 38 3 3" xfId="2490" xr:uid="{34F218C4-A5CA-4856-9B00-302D7335B0CF}"/>
    <cellStyle name="Style 38 3 3 2" xfId="2491" xr:uid="{CCC20BCA-FCF7-4C56-B703-FA3373382006}"/>
    <cellStyle name="Style 38 3 3 2 2" xfId="23509" xr:uid="{CA071DF5-ED2A-4FC9-81BF-7AA8A13F4EEC}"/>
    <cellStyle name="Style 38 3 3 3" xfId="6208" xr:uid="{E95D8300-E865-44F6-BFF9-59CA35893CA6}"/>
    <cellStyle name="Style 38 3 3 3 2" xfId="23510" xr:uid="{F060FEDF-2064-4820-A808-1E677B1271F4}"/>
    <cellStyle name="Style 38 3 3 4" xfId="6209" xr:uid="{56B4718F-A2EA-4B94-8F46-B15C361A0DF4}"/>
    <cellStyle name="Style 38 3 3 4 2" xfId="24689" xr:uid="{6F84E7E0-C98F-4923-8B8C-D62775448372}"/>
    <cellStyle name="Style 38 3 3 5" xfId="23508" xr:uid="{19724E3B-B82E-466B-AC66-F2DC605F7C73}"/>
    <cellStyle name="Style 38 3 4" xfId="2492" xr:uid="{B4583DED-1029-4C66-BE92-398FAB630315}"/>
    <cellStyle name="Style 38 3 4 2" xfId="2493" xr:uid="{F23F67A2-8897-4713-9957-D260CFC8C0ED}"/>
    <cellStyle name="Style 38 3 4 2 2" xfId="23512" xr:uid="{0490A907-1762-47B2-8E70-B58AEB3075A1}"/>
    <cellStyle name="Style 38 3 4 3" xfId="23511" xr:uid="{2C0C8AEC-B555-4945-83A0-3CA7658073A9}"/>
    <cellStyle name="Style 38 3 5" xfId="6210" xr:uid="{ED5C191A-C649-4EA2-A6AD-5D6A5A1208E7}"/>
    <cellStyle name="Style 38 3 5 2" xfId="24690" xr:uid="{53BC7967-F10E-4D6A-87DE-1DD14888CEB6}"/>
    <cellStyle name="Style 38 3 6" xfId="23506" xr:uid="{B7D1EB90-05C3-46DA-8EAF-20F59D680A84}"/>
    <cellStyle name="Style 38 4" xfId="2494" xr:uid="{120D2260-6225-4813-A363-18FE8D5D222B}"/>
    <cellStyle name="Style 38 4 2" xfId="2495" xr:uid="{8BD750A6-100F-45BC-BD3D-215B80B4F2A7}"/>
    <cellStyle name="Style 38 4 2 2" xfId="23514" xr:uid="{647EA51C-F0B8-4255-A750-A38A72F81319}"/>
    <cellStyle name="Style 38 4 3" xfId="6211" xr:uid="{1D71F5FD-CA88-4514-891E-737D3B589DC9}"/>
    <cellStyle name="Style 38 4 3 2" xfId="23515" xr:uid="{07A4CBF1-0C96-4452-8408-F86D29C722DF}"/>
    <cellStyle name="Style 38 4 4" xfId="6212" xr:uid="{EF150E56-AD56-4429-B0A5-B8A0FA32CC6F}"/>
    <cellStyle name="Style 38 4 4 2" xfId="24691" xr:uid="{CCBCE8FC-0B94-45F5-8697-787D56EB5C93}"/>
    <cellStyle name="Style 38 4 5" xfId="23513" xr:uid="{6A3CD538-8D16-4CF1-841A-8089380E430C}"/>
    <cellStyle name="Style 38 5" xfId="2496" xr:uid="{DFFF6895-296F-4468-93CB-9C5CA2E69BD3}"/>
    <cellStyle name="Style 38 5 2" xfId="2497" xr:uid="{3D5922FD-6521-4688-9230-BCDB7EE59DA0}"/>
    <cellStyle name="Style 38 5 2 2" xfId="23517" xr:uid="{AF9AC0AA-5E58-486D-8406-95140550D71C}"/>
    <cellStyle name="Style 38 5 3" xfId="23516" xr:uid="{D234CB23-51B9-4DA8-9F35-BF1D4516497E}"/>
    <cellStyle name="Style 38 6" xfId="2498" xr:uid="{74B491A2-FE3F-4B45-9FFD-13A0A2F60D3B}"/>
    <cellStyle name="Style 38 6 2" xfId="2499" xr:uid="{98CCB68D-9E12-4E99-A4DB-E4349BF7D117}"/>
    <cellStyle name="Style 38 6 2 2" xfId="24692" xr:uid="{9EDDB09C-460A-4C06-8C99-6707FFE2790E}"/>
    <cellStyle name="Style 38 6 3" xfId="4155" xr:uid="{4B5F38D6-42EE-46B4-A1CE-F41DB3306A01}"/>
    <cellStyle name="Style 38 6 3 2" xfId="28326" xr:uid="{ACBBCA00-6BCF-4ECF-BD33-91C05217897D}"/>
    <cellStyle name="Style 38 6 4" xfId="23518" xr:uid="{FCF0C404-EF02-4161-B1EE-9C8F8BD049EB}"/>
    <cellStyle name="Style 38 7" xfId="4154" xr:uid="{66B6958B-CDE2-4128-ACB8-4C7C659BFE43}"/>
    <cellStyle name="Style 38 7 2" xfId="6214" xr:uid="{C08E5D98-76C4-48F0-801D-055BCCCD1EFE}"/>
    <cellStyle name="Style 38 7 2 2" xfId="24693" xr:uid="{9E487546-F141-4338-88C4-82048B7977F8}"/>
    <cellStyle name="Style 38 7 3" xfId="6213" xr:uid="{090717B9-A11D-460F-9883-B6EC79F5EA04}"/>
    <cellStyle name="Style 38 7 3 2" xfId="40723" xr:uid="{05F32493-171D-424F-ACC1-40BCF2F5F9BD}"/>
    <cellStyle name="Style 38 7 4" xfId="23519" xr:uid="{5B664C40-2B0C-4B82-8095-FA394BF9469E}"/>
    <cellStyle name="Style 38 8" xfId="6215" xr:uid="{71DB1084-FA08-4131-B6D2-FA74AA0EF275}"/>
    <cellStyle name="Style 38 8 2" xfId="24694" xr:uid="{154A45C4-3D87-4FF6-BC92-821FE1413FB8}"/>
    <cellStyle name="Style 38 9" xfId="9642" xr:uid="{7EF386F9-7336-4E43-A98B-70BB610FC919}"/>
    <cellStyle name="Style 38 9 2" xfId="26635" xr:uid="{C5E490D5-5A9F-4301-A86E-52995EEDABF7}"/>
    <cellStyle name="Style 38_ADDON" xfId="25745" xr:uid="{1CB544E3-D372-4FAB-AA65-DAD789F0CC43}"/>
    <cellStyle name="Style 39" xfId="2500" xr:uid="{B4F6F8DE-48AB-4AF1-B8E6-138458623568}"/>
    <cellStyle name="Style 39 10" xfId="2501" xr:uid="{05B32DAD-10DB-438D-BE4A-8303FE7F9019}"/>
    <cellStyle name="Style 39 10 2" xfId="2502" xr:uid="{6B1EB137-6296-4CFA-B3A6-2D561B1740A8}"/>
    <cellStyle name="Style 39 10 2 2" xfId="6216" xr:uid="{B54B40C7-BBEF-4C6E-BA8D-3C5D5CCAB3E6}"/>
    <cellStyle name="Style 39 10 2 2 2" xfId="27609" xr:uid="{AE59F649-FD2B-46E8-9E76-F46015407765}"/>
    <cellStyle name="Style 39 10 2 3" xfId="24695" xr:uid="{C04DA904-0306-4EDC-9B1B-1DE753B8BE3C}"/>
    <cellStyle name="Style 39 10 3" xfId="4156" xr:uid="{A2496127-ECE1-4CD3-817B-0276D7A43CF5}"/>
    <cellStyle name="Style 39 10 3 2" xfId="27608" xr:uid="{C219D823-EB0A-4E6F-8EE7-10041C78C4B2}"/>
    <cellStyle name="Style 39 10 4" xfId="23521" xr:uid="{5159A64E-C6BF-4048-86ED-D7DC8C6CA050}"/>
    <cellStyle name="Style 39 11" xfId="2503" xr:uid="{45CF455E-5EC0-4FEE-81D2-C6EB0B5C5C46}"/>
    <cellStyle name="Style 39 11 2" xfId="2504" xr:uid="{E1C00656-FF3A-426C-9E27-CF0680322D94}"/>
    <cellStyle name="Style 39 11 2 2" xfId="6218" xr:uid="{B0356E3B-8264-4554-9815-F0FCA6DF3AB1}"/>
    <cellStyle name="Style 39 11 2 2 2" xfId="27611" xr:uid="{E93AD1F3-DEA0-44D3-80E7-7C07A8D806CF}"/>
    <cellStyle name="Style 39 11 2 3" xfId="24696" xr:uid="{984742F9-59BD-40E1-B321-5944BA94A0F1}"/>
    <cellStyle name="Style 39 11 3" xfId="6217" xr:uid="{192A9630-F387-4D82-A9D3-81049CD56879}"/>
    <cellStyle name="Style 39 11 3 2" xfId="27610" xr:uid="{F96A9386-1E2E-4B22-B4AB-C1DB244A3BAF}"/>
    <cellStyle name="Style 39 11 4" xfId="23522" xr:uid="{FE945347-7A7E-4A84-99EC-860EB80E0EA9}"/>
    <cellStyle name="Style 39 12" xfId="2505" xr:uid="{4FCC29ED-8F8A-4ADE-876A-E000E266D397}"/>
    <cellStyle name="Style 39 12 2" xfId="6219" xr:uid="{1352B7DC-26B8-448A-A07E-85296308F283}"/>
    <cellStyle name="Style 39 12 2 2" xfId="27612" xr:uid="{A9BD8BD5-9588-4ED5-A83D-65AA93CF9B34}"/>
    <cellStyle name="Style 39 12 3" xfId="9643" xr:uid="{27A8D936-1F07-4996-9AEB-767D51688B86}"/>
    <cellStyle name="Style 39 12 3 2" xfId="28968" xr:uid="{A13E846B-98E9-4AE9-99A0-A41B20484F95}"/>
    <cellStyle name="Style 39 12 4" xfId="9644" xr:uid="{3C603CEA-D1AF-4883-8CD5-BF4999B8FCF8}"/>
    <cellStyle name="Style 39 12 4 2" xfId="28969" xr:uid="{2C964E87-71DE-4FCF-81F0-0402A5E4562F}"/>
    <cellStyle name="Style 39 12 5" xfId="9645" xr:uid="{263CADE9-2AD1-4D8E-A5FE-6405AD67DE2A}"/>
    <cellStyle name="Style 39 12 5 2" xfId="28970" xr:uid="{F353C25B-8802-4C13-B753-4FB85A08F72D}"/>
    <cellStyle name="Style 39 12 6" xfId="9646" xr:uid="{20EDFADB-4255-4699-A098-B6F53841B216}"/>
    <cellStyle name="Style 39 12 6 2" xfId="28971" xr:uid="{A1A6795E-3D9D-482D-AE20-9414D347778B}"/>
    <cellStyle name="Style 39 12 7" xfId="24697" xr:uid="{E7609E2B-5A47-4FAD-85F6-9A0988548417}"/>
    <cellStyle name="Style 39 13" xfId="9647" xr:uid="{C6CF2048-2700-46EF-AD16-774DEACFD4C5}"/>
    <cellStyle name="Style 39 13 2" xfId="9648" xr:uid="{3041B1A7-569B-4B25-B25D-7B6F16B3FCF2}"/>
    <cellStyle name="Style 39 13 2 2" xfId="28972" xr:uid="{F42161A7-6C4B-429B-8ABE-AF99C61428A3}"/>
    <cellStyle name="Style 39 13 3" xfId="9649" xr:uid="{43E346CD-86EF-489D-8134-B428621FE5C9}"/>
    <cellStyle name="Style 39 13 3 2" xfId="28973" xr:uid="{CD71D2F8-A4D8-46BB-BEA6-0134BB483CFA}"/>
    <cellStyle name="Style 39 13 4" xfId="26636" xr:uid="{09551BCC-8508-4AD1-84CD-5891B60A9EE5}"/>
    <cellStyle name="Style 39 14" xfId="9650" xr:uid="{E4915939-3226-4327-8AEB-1E0C9934E9C9}"/>
    <cellStyle name="Style 39 14 2" xfId="9651" xr:uid="{C26C4169-E530-4993-BC00-7B21E18466D3}"/>
    <cellStyle name="Style 39 14 2 2" xfId="28975" xr:uid="{4E064624-70B0-4F1C-ACF5-1179A57E4174}"/>
    <cellStyle name="Style 39 14 3" xfId="28974" xr:uid="{57CFDA17-CE85-4F56-9B19-C5B501B3B610}"/>
    <cellStyle name="Style 39 15" xfId="9652" xr:uid="{C8CDE174-2DEA-4B3F-B204-795E45EE05E0}"/>
    <cellStyle name="Style 39 15 2" xfId="9653" xr:uid="{53251D8A-CF8F-4E45-8D38-B2BDAC85F273}"/>
    <cellStyle name="Style 39 15 2 2" xfId="28977" xr:uid="{96C5409B-BC3C-46BF-96FB-1E7F40F89A74}"/>
    <cellStyle name="Style 39 15 3" xfId="28976" xr:uid="{203E5E44-DFA6-4E5C-871D-F6C30B423256}"/>
    <cellStyle name="Style 39 16" xfId="23520" xr:uid="{D75D5013-0ACE-4BD9-B846-59DA0048B991}"/>
    <cellStyle name="Style 39 2" xfId="2506" xr:uid="{83ABD712-F780-4CD9-898F-EBFC3476D31D}"/>
    <cellStyle name="Style 39 2 2" xfId="4400" xr:uid="{C9929E0D-6598-4076-980E-568033DAA351}"/>
    <cellStyle name="Style 39 2 2 2" xfId="26637" xr:uid="{51514FD2-6987-40B1-B4CF-38B076D72CB0}"/>
    <cellStyle name="Style 39 2 3" xfId="23523" xr:uid="{5B10D3DD-1540-4A42-A503-DB50A5AA213D}"/>
    <cellStyle name="Style 39 3" xfId="2507" xr:uid="{72FA41F4-057F-440D-955F-EF9275FDC838}"/>
    <cellStyle name="Style 39 3 2" xfId="2508" xr:uid="{2A467F56-FCE8-4FA0-A5CA-89C20F42C31F}"/>
    <cellStyle name="Style 39 3 2 2" xfId="2509" xr:uid="{00ECD79D-C7B1-4E3A-9C0A-001E226AF024}"/>
    <cellStyle name="Style 39 3 2 2 2" xfId="6220" xr:uid="{A22D81E6-BC07-4FD5-8B37-A188A754F7BA}"/>
    <cellStyle name="Style 39 3 2 2 2 2" xfId="27613" xr:uid="{7181262A-DE54-4E96-A30A-C2492BDF3DA1}"/>
    <cellStyle name="Style 39 3 2 2 3" xfId="23526" xr:uid="{BD8425ED-E3C1-474D-9A73-6863164B0B66}"/>
    <cellStyle name="Style 39 3 2 3" xfId="4402" xr:uid="{70D4C382-74EC-4C12-A110-8F7D8CF2D9CF}"/>
    <cellStyle name="Style 39 3 2 3 2" xfId="26639" xr:uid="{5D1064D7-ABB0-4B55-AD79-18E0A914A718}"/>
    <cellStyle name="Style 39 3 2 4" xfId="23525" xr:uid="{AB3CA763-090B-4702-9E10-C8DA1479955D}"/>
    <cellStyle name="Style 39 3 3" xfId="2510" xr:uid="{97E2557B-3A2F-4B0A-A13A-D78ADE12AA96}"/>
    <cellStyle name="Style 39 3 3 2" xfId="2511" xr:uid="{43EE782A-BF1D-4596-BE8F-70A34A95E262}"/>
    <cellStyle name="Style 39 3 3 2 2" xfId="6222" xr:uid="{A28712A5-F489-4FF7-A17B-93512C0B5AAE}"/>
    <cellStyle name="Style 39 3 3 2 2 2" xfId="27615" xr:uid="{F7241630-41C2-4F91-9CA5-AF1A03607FCE}"/>
    <cellStyle name="Style 39 3 3 2 3" xfId="23528" xr:uid="{B6298444-45CD-494E-B380-46E04F446CC9}"/>
    <cellStyle name="Style 39 3 3 3" xfId="2512" xr:uid="{AD17EE67-081A-489D-B043-8526EFBD155E}"/>
    <cellStyle name="Style 39 3 3 3 2" xfId="2513" xr:uid="{15159B70-F157-444F-B7E3-AB9EBF983F25}"/>
    <cellStyle name="Style 39 3 3 3 2 2" xfId="6224" xr:uid="{7BD2802E-EBEC-4713-94B1-97FD4E92A84B}"/>
    <cellStyle name="Style 39 3 3 3 2 2 2" xfId="27617" xr:uid="{F0059F92-E34C-4D2D-9975-A0A1B03EE140}"/>
    <cellStyle name="Style 39 3 3 3 2 3" xfId="23530" xr:uid="{B44D7934-0435-4252-AE8D-10E5257E16D0}"/>
    <cellStyle name="Style 39 3 3 3 3" xfId="6225" xr:uid="{020313E1-358B-441F-9829-D4D788D5BD61}"/>
    <cellStyle name="Style 39 3 3 3 3 2" xfId="23531" xr:uid="{3DB2E202-8C88-4390-B760-21892AF00766}"/>
    <cellStyle name="Style 39 3 3 3 4" xfId="6226" xr:uid="{2DE6B032-B636-4259-9B27-C028485D79D4}"/>
    <cellStyle name="Style 39 3 3 3 4 2" xfId="24698" xr:uid="{617539DD-A835-4072-82D2-34260711D5CA}"/>
    <cellStyle name="Style 39 3 3 3 5" xfId="6223" xr:uid="{DD7946EF-832D-46E8-BBAE-1311F689A16B}"/>
    <cellStyle name="Style 39 3 3 3 5 2" xfId="27616" xr:uid="{BA9A9325-15AF-4B91-82E7-D3B9C823FBB5}"/>
    <cellStyle name="Style 39 3 3 3 6" xfId="23529" xr:uid="{AB5EB12D-D76F-4BB7-B387-695616ACDA99}"/>
    <cellStyle name="Style 39 3 3 4" xfId="2514" xr:uid="{E9FB5B01-7ADB-42CF-925C-4D5788C5F81C}"/>
    <cellStyle name="Style 39 3 3 4 2" xfId="2515" xr:uid="{026BFEEB-0CFD-489B-A376-E3E017F60ECE}"/>
    <cellStyle name="Style 39 3 3 4 2 2" xfId="6228" xr:uid="{31C5B8A3-A35F-4F1A-8D5F-948C4B394DB6}"/>
    <cellStyle name="Style 39 3 3 4 2 2 2" xfId="27619" xr:uid="{5D69A3F0-F609-4FD1-8C62-42FFB250D527}"/>
    <cellStyle name="Style 39 3 3 4 2 3" xfId="23533" xr:uid="{DA21CB7A-6731-42C6-8BB2-9044983E8915}"/>
    <cellStyle name="Style 39 3 3 4 3" xfId="6227" xr:uid="{3AE433E1-10A2-4609-8CCA-A0DAF17F5001}"/>
    <cellStyle name="Style 39 3 3 4 3 2" xfId="27618" xr:uid="{E34DCC08-6C03-48BC-B921-7F98F1F4684E}"/>
    <cellStyle name="Style 39 3 3 4 4" xfId="23532" xr:uid="{09E22E77-8F25-4047-9687-7730FBFF0079}"/>
    <cellStyle name="Style 39 3 3 5" xfId="6229" xr:uid="{6E5E5BFB-9E97-4EE0-A3D4-94CF44E1A07D}"/>
    <cellStyle name="Style 39 3 3 5 2" xfId="24699" xr:uid="{257D5B52-43BA-4258-829F-66F646D23D20}"/>
    <cellStyle name="Style 39 3 3 6" xfId="6221" xr:uid="{F7BF299C-2D68-426F-A373-CF55D10AB2FE}"/>
    <cellStyle name="Style 39 3 3 6 2" xfId="27614" xr:uid="{936ED456-4F82-456C-B08A-40967F059E9F}"/>
    <cellStyle name="Style 39 3 3 7" xfId="23527" xr:uid="{9A9469C5-7F8C-4481-AD9F-DD1687BC88D9}"/>
    <cellStyle name="Style 39 3 4" xfId="2516" xr:uid="{5D3C9E81-2EC8-4A59-BA5C-88325F77D6FE}"/>
    <cellStyle name="Style 39 3 4 2" xfId="6231" xr:uid="{A0EAC5CC-123F-43A0-8F1E-73CCB9AF9806}"/>
    <cellStyle name="Style 39 3 4 2 2" xfId="23535" xr:uid="{B5F40450-907C-4A2A-B4F4-BF52B8E367AA}"/>
    <cellStyle name="Style 39 3 4 3" xfId="6232" xr:uid="{60659E87-BF74-48A0-9192-8A393F3E6A55}"/>
    <cellStyle name="Style 39 3 4 3 2" xfId="24700" xr:uid="{5B836549-6A24-403F-821F-1F73115D53E1}"/>
    <cellStyle name="Style 39 3 4 4" xfId="6230" xr:uid="{64531B55-2C6E-406C-8E43-ACD16D2B2B5F}"/>
    <cellStyle name="Style 39 3 4 4 2" xfId="27620" xr:uid="{EEFD6A4D-8889-45F9-A614-E1737A7DA246}"/>
    <cellStyle name="Style 39 3 4 5" xfId="23534" xr:uid="{7214D06D-E3AF-474D-B85E-2BEE1EC56841}"/>
    <cellStyle name="Style 39 3 5" xfId="6233" xr:uid="{1B16BB45-749C-4397-B300-E9AEB81AC7B1}"/>
    <cellStyle name="Style 39 3 5 2" xfId="9654" xr:uid="{2DC49488-5900-40B2-8BD8-9E8437041176}"/>
    <cellStyle name="Style 39 3 5 2 2" xfId="27621" xr:uid="{C477D5CA-5484-42D7-850F-996F9053616C}"/>
    <cellStyle name="Style 39 3 5 3" xfId="23536" xr:uid="{0119E75E-705A-41FC-99E6-9CBCA1BE60C0}"/>
    <cellStyle name="Style 39 3 6" xfId="4401" xr:uid="{B4144D62-640D-4C76-B9D1-A07993BF45AB}"/>
    <cellStyle name="Style 39 3 6 2" xfId="26638" xr:uid="{BEFDF0C1-C6B2-4F36-92AB-2706F20295BB}"/>
    <cellStyle name="Style 39 3 7" xfId="23524" xr:uid="{470F16B4-2F98-4C90-8ED9-CB57424B24A2}"/>
    <cellStyle name="Style 39 4" xfId="2517" xr:uid="{651605E2-08A5-4FE3-A7AC-59AD34EB3DF3}"/>
    <cellStyle name="Style 39 4 2" xfId="2518" xr:uid="{E15EFF19-58EE-495F-A963-9407AF33FAE1}"/>
    <cellStyle name="Style 39 4 2 2" xfId="2519" xr:uid="{ADF32E04-0BE5-479E-B145-BC19972499F6}"/>
    <cellStyle name="Style 39 4 2 2 2" xfId="6236" xr:uid="{D4DDD17A-1EDE-444B-8168-1CAE62EE5117}"/>
    <cellStyle name="Style 39 4 2 2 2 2" xfId="27623" xr:uid="{658602C9-1D75-4383-A1CA-672B6C42ADB4}"/>
    <cellStyle name="Style 39 4 2 2 3" xfId="23539" xr:uid="{66BF4F30-4EDC-4744-8DB6-64431A1599EB}"/>
    <cellStyle name="Style 39 4 2 3" xfId="2520" xr:uid="{7F298179-6EA1-4D34-AB23-BECD523BE09D}"/>
    <cellStyle name="Style 39 4 2 3 2" xfId="2521" xr:uid="{F10D309D-48DF-4302-A8DE-33EF3914F844}"/>
    <cellStyle name="Style 39 4 2 3 2 2" xfId="6238" xr:uid="{919C9014-2858-4F5A-989D-A929164631BF}"/>
    <cellStyle name="Style 39 4 2 3 2 2 2" xfId="27625" xr:uid="{4786915B-C628-41A5-A4D7-BC64D397AE71}"/>
    <cellStyle name="Style 39 4 2 3 2 3" xfId="23541" xr:uid="{14357217-65AE-47E4-8FEE-E97DC54681E5}"/>
    <cellStyle name="Style 39 4 2 3 3" xfId="6239" xr:uid="{6484E1F7-C376-4844-9547-B0E4A2CE99D3}"/>
    <cellStyle name="Style 39 4 2 3 3 2" xfId="23542" xr:uid="{1FC5E5D9-29E5-465E-B9B6-55BFDFBB1C96}"/>
    <cellStyle name="Style 39 4 2 3 4" xfId="6240" xr:uid="{B28DD63F-D41F-4B4B-8F36-F52039E12589}"/>
    <cellStyle name="Style 39 4 2 3 4 2" xfId="24701" xr:uid="{CB763693-8203-4FC9-86A2-F52DC7ABC9A5}"/>
    <cellStyle name="Style 39 4 2 3 5" xfId="6237" xr:uid="{31621B19-AA66-4798-A297-655A1FB741B0}"/>
    <cellStyle name="Style 39 4 2 3 5 2" xfId="27624" xr:uid="{29FBAD18-B12E-4E62-81A0-45681319703F}"/>
    <cellStyle name="Style 39 4 2 3 6" xfId="23540" xr:uid="{0C74EE0F-EB30-4DDC-9780-E794B0769807}"/>
    <cellStyle name="Style 39 4 2 4" xfId="2522" xr:uid="{5248512F-B381-4FE2-8EDF-3E6BF4C29CB1}"/>
    <cellStyle name="Style 39 4 2 4 2" xfId="2523" xr:uid="{466E8371-EEFF-4F53-8ECF-EE91D0BEAFE3}"/>
    <cellStyle name="Style 39 4 2 4 2 2" xfId="6242" xr:uid="{AE9AF922-D2A9-47A6-A0B3-3DB7C7223443}"/>
    <cellStyle name="Style 39 4 2 4 2 2 2" xfId="27627" xr:uid="{B83BC31B-FB1B-4051-A2FF-361B7DF2B394}"/>
    <cellStyle name="Style 39 4 2 4 2 3" xfId="23544" xr:uid="{9A74E099-A39A-4E36-B334-17ED1A650CB5}"/>
    <cellStyle name="Style 39 4 2 4 3" xfId="6241" xr:uid="{358C0DC5-E040-43F0-9ECA-A5FEF6E806E5}"/>
    <cellStyle name="Style 39 4 2 4 3 2" xfId="27626" xr:uid="{30F31376-F949-4AA0-992F-0D6376D232D0}"/>
    <cellStyle name="Style 39 4 2 4 4" xfId="23543" xr:uid="{C1963D1E-1B01-4593-AAC4-A382E8FDF782}"/>
    <cellStyle name="Style 39 4 2 5" xfId="6243" xr:uid="{F282A45A-85FF-4CB9-9752-6D1F363674DE}"/>
    <cellStyle name="Style 39 4 2 5 2" xfId="24702" xr:uid="{8AD2E7F7-E1AC-4D0C-B7A0-0750D70643D0}"/>
    <cellStyle name="Style 39 4 2 6" xfId="6235" xr:uid="{D1C29E49-011F-4354-841E-7AB133F00C81}"/>
    <cellStyle name="Style 39 4 2 6 2" xfId="27622" xr:uid="{A9211A47-69B9-4EAC-96EB-66FFF2114E65}"/>
    <cellStyle name="Style 39 4 2 7" xfId="23538" xr:uid="{2625DA6D-4D0F-4410-9317-B48998E7C81B}"/>
    <cellStyle name="Style 39 4 3" xfId="2524" xr:uid="{31A3A358-1E30-4AD8-B59E-5317ACA42CC0}"/>
    <cellStyle name="Style 39 4 3 2" xfId="6244" xr:uid="{B5240336-D725-4083-9C90-00FAB2C74C03}"/>
    <cellStyle name="Style 39 4 3 2 2" xfId="27628" xr:uid="{05C84CA0-E493-4CC0-8F66-4F996A8304B2}"/>
    <cellStyle name="Style 39 4 3 3" xfId="23545" xr:uid="{348DB707-1888-44C7-8138-057BB4F9353E}"/>
    <cellStyle name="Style 39 4 4" xfId="6245" xr:uid="{6C1221FC-5BD4-43B9-9A4E-8BFA916B360B}"/>
    <cellStyle name="Style 39 4 4 2" xfId="6246" xr:uid="{CD23AA23-AF06-4A32-8E85-2706BCB72E29}"/>
    <cellStyle name="Style 39 4 4 2 2" xfId="24703" xr:uid="{72D83D64-A59C-449C-976D-3D97675BCE09}"/>
    <cellStyle name="Style 39 4 4 3" xfId="23546" xr:uid="{2237CA06-C806-4C2D-834C-0E3FE9505642}"/>
    <cellStyle name="Style 39 4 5" xfId="6234" xr:uid="{04681251-5F04-478C-A93B-39EF4217273F}"/>
    <cellStyle name="Style 39 4 5 2" xfId="25945" xr:uid="{4E12E2EE-DE73-4A48-AC03-BD5D4D68FD4E}"/>
    <cellStyle name="Style 39 4 6" xfId="4403" xr:uid="{F38154DC-816C-409E-A067-AC976854A0AE}"/>
    <cellStyle name="Style 39 4 6 2" xfId="26640" xr:uid="{4E73C82F-E8D5-43CA-93D3-0C3763811F6E}"/>
    <cellStyle name="Style 39 4 7" xfId="23537" xr:uid="{E5044CEE-283C-4F27-9965-81F59751D936}"/>
    <cellStyle name="Style 39 5" xfId="2525" xr:uid="{251224C6-213B-4A69-A5B9-52728E031B15}"/>
    <cellStyle name="Style 39 5 2" xfId="2526" xr:uid="{4A64328D-F66A-4494-8012-59824226BB56}"/>
    <cellStyle name="Style 39 5 2 2" xfId="2527" xr:uid="{482050FC-2EDC-4FF8-944A-F89B56F94847}"/>
    <cellStyle name="Style 39 5 2 2 2" xfId="6249" xr:uid="{E4BE04A8-6E07-4BFA-83A9-BCC75CF327B6}"/>
    <cellStyle name="Style 39 5 2 2 2 2" xfId="27630" xr:uid="{44726970-7B39-4834-9BBC-7BD017DEB0E4}"/>
    <cellStyle name="Style 39 5 2 2 3" xfId="23549" xr:uid="{D7B7F5C1-00F2-43F2-9CF1-4EF046DC0AB2}"/>
    <cellStyle name="Style 39 5 2 3" xfId="2528" xr:uid="{50ED4052-D85F-409B-91CC-98A15A0AA944}"/>
    <cellStyle name="Style 39 5 2 3 2" xfId="2529" xr:uid="{BD38A2D3-F0E9-46B1-82A0-6C8564B39887}"/>
    <cellStyle name="Style 39 5 2 3 2 2" xfId="6251" xr:uid="{194A7C53-8AF6-424E-9808-808DC438A0D1}"/>
    <cellStyle name="Style 39 5 2 3 2 2 2" xfId="27632" xr:uid="{505FDF11-A152-4CEB-A59F-A1206B73EFFB}"/>
    <cellStyle name="Style 39 5 2 3 2 3" xfId="23551" xr:uid="{9CB9673C-4B53-4FF6-A17C-EE688740851C}"/>
    <cellStyle name="Style 39 5 2 3 3" xfId="6252" xr:uid="{537FFDD6-E9C4-4B7F-9914-EE315AA451E2}"/>
    <cellStyle name="Style 39 5 2 3 3 2" xfId="23552" xr:uid="{30AA9520-6C4A-4D93-943F-9835BC21DCA6}"/>
    <cellStyle name="Style 39 5 2 3 4" xfId="6253" xr:uid="{869F7F2C-5646-4E47-95D6-1D82FC72C66D}"/>
    <cellStyle name="Style 39 5 2 3 4 2" xfId="24704" xr:uid="{476E178E-E902-4A1D-BCF8-133F97EDD1FD}"/>
    <cellStyle name="Style 39 5 2 3 5" xfId="6250" xr:uid="{42BA27F4-026F-40A5-89B0-1C45F6B52CB0}"/>
    <cellStyle name="Style 39 5 2 3 5 2" xfId="27631" xr:uid="{09EB7880-23E4-41C5-8817-74C174A72F44}"/>
    <cellStyle name="Style 39 5 2 3 6" xfId="23550" xr:uid="{2F64C209-92B9-4C9D-A870-C816B09EAED0}"/>
    <cellStyle name="Style 39 5 2 4" xfId="2530" xr:uid="{65D1F61F-A91C-4EE6-A561-F48D9FCDFF8D}"/>
    <cellStyle name="Style 39 5 2 4 2" xfId="2531" xr:uid="{1E83065C-B23F-4689-B2A5-5DF1C55DA0AF}"/>
    <cellStyle name="Style 39 5 2 4 2 2" xfId="6255" xr:uid="{BE0C0E5B-8398-46AC-B344-1091653016D0}"/>
    <cellStyle name="Style 39 5 2 4 2 2 2" xfId="27634" xr:uid="{CDAFD105-FDED-4FB6-A8AB-ED1E7330A7A8}"/>
    <cellStyle name="Style 39 5 2 4 2 3" xfId="23554" xr:uid="{5D44B599-EBA7-4FD8-A3F1-C19DC0A358F9}"/>
    <cellStyle name="Style 39 5 2 4 3" xfId="6254" xr:uid="{15B7C2A8-61C3-4906-AA4C-4EA1C8928F6C}"/>
    <cellStyle name="Style 39 5 2 4 3 2" xfId="27633" xr:uid="{B43F3A8C-AC4B-41AE-A0F4-A2138D2F2078}"/>
    <cellStyle name="Style 39 5 2 4 4" xfId="23553" xr:uid="{156B1A47-06A5-428E-B52C-03E9D56E5EB4}"/>
    <cellStyle name="Style 39 5 2 5" xfId="6256" xr:uid="{34360911-4FA8-4FD6-AC9E-C9250FE77DD5}"/>
    <cellStyle name="Style 39 5 2 5 2" xfId="24705" xr:uid="{B9DA60B0-BEBD-4F91-B2A1-5C80BCE6CC1F}"/>
    <cellStyle name="Style 39 5 2 6" xfId="6248" xr:uid="{B1CE49B5-1123-4366-9C4F-E04D4C064508}"/>
    <cellStyle name="Style 39 5 2 6 2" xfId="27629" xr:uid="{E142B47D-AA26-48EC-9879-9BD15C308456}"/>
    <cellStyle name="Style 39 5 2 7" xfId="23548" xr:uid="{8E62C1C1-E397-4B5D-868C-06D87745A7A9}"/>
    <cellStyle name="Style 39 5 3" xfId="2532" xr:uid="{1E3EE108-4E33-419D-938D-6130125E34B4}"/>
    <cellStyle name="Style 39 5 3 2" xfId="6257" xr:uid="{58B89A1C-4CB0-4EDA-B981-A5655B90E003}"/>
    <cellStyle name="Style 39 5 3 2 2" xfId="27635" xr:uid="{B7B2EFC6-D6D5-4661-AD00-16C0B4F7BFF3}"/>
    <cellStyle name="Style 39 5 3 3" xfId="23555" xr:uid="{6E479A5B-3C16-4378-B908-0FD145A972AC}"/>
    <cellStyle name="Style 39 5 4" xfId="6258" xr:uid="{8BEE114D-37A3-4E88-9C3E-F862179ABF6D}"/>
    <cellStyle name="Style 39 5 4 2" xfId="6259" xr:uid="{D50A3CA4-0847-43E6-8258-229558B53F4A}"/>
    <cellStyle name="Style 39 5 4 2 2" xfId="24706" xr:uid="{995AC1EF-41C3-45C5-BA53-3F07C69FA386}"/>
    <cellStyle name="Style 39 5 4 3" xfId="23556" xr:uid="{1D31032B-1824-40C6-A66B-2AC6E03E2163}"/>
    <cellStyle name="Style 39 5 5" xfId="6247" xr:uid="{4A0CB987-ED9A-4615-8815-0D8EB6BA0B0C}"/>
    <cellStyle name="Style 39 5 5 2" xfId="25946" xr:uid="{FFF7360C-0D11-4056-AF3F-31BE06AED5C0}"/>
    <cellStyle name="Style 39 5 6" xfId="4404" xr:uid="{1682030F-A206-49FB-82CE-A77E2DDDB7D3}"/>
    <cellStyle name="Style 39 5 6 2" xfId="26641" xr:uid="{44C011B3-A1B7-4EAA-AB49-FF1D7DE1CA37}"/>
    <cellStyle name="Style 39 5 7" xfId="23547" xr:uid="{51CE9998-27DC-46A4-B238-E5079E107698}"/>
    <cellStyle name="Style 39 6" xfId="2533" xr:uid="{DDFB31A6-AC6A-4E04-98A5-DCCB9D9CCCF5}"/>
    <cellStyle name="Style 39 6 2" xfId="2534" xr:uid="{91305CD8-77B7-4AA2-B1E2-E3B290398270}"/>
    <cellStyle name="Style 39 6 2 2" xfId="6261" xr:uid="{84BBF7D4-59C6-4233-848A-96F3FEA7466F}"/>
    <cellStyle name="Style 39 6 2 2 2" xfId="27637" xr:uid="{B00B86F4-5BC2-43C4-AC12-B1C0C17A34DA}"/>
    <cellStyle name="Style 39 6 2 3" xfId="23558" xr:uid="{84020EA8-DF50-427B-B486-B8CC76AE3CAA}"/>
    <cellStyle name="Style 39 6 3" xfId="2535" xr:uid="{08673B2A-9D9C-4202-A2AB-3A89EE1EE649}"/>
    <cellStyle name="Style 39 6 3 2" xfId="2536" xr:uid="{13F806EF-CD2B-425D-8A04-37B9CA34E7DC}"/>
    <cellStyle name="Style 39 6 3 2 2" xfId="6263" xr:uid="{59AF7F5B-D52D-44F2-A37D-1BE7E85ADDF3}"/>
    <cellStyle name="Style 39 6 3 2 2 2" xfId="27639" xr:uid="{B39DB648-8B9E-4DCC-81D4-DBD3D567D15A}"/>
    <cellStyle name="Style 39 6 3 2 3" xfId="23560" xr:uid="{3BB31AEA-D978-4676-89CE-DC0C742EF86E}"/>
    <cellStyle name="Style 39 6 3 3" xfId="6264" xr:uid="{FC53F38D-D429-449E-9B8A-79CDA2C53F1C}"/>
    <cellStyle name="Style 39 6 3 3 2" xfId="23561" xr:uid="{19C24E66-BC72-46FD-A208-08D96E98EA7E}"/>
    <cellStyle name="Style 39 6 3 4" xfId="6265" xr:uid="{517CA3FB-0515-44BB-91DA-9C8D80BBCB8D}"/>
    <cellStyle name="Style 39 6 3 4 2" xfId="24707" xr:uid="{06E70609-F89F-4373-B7CF-E09DB2D38E60}"/>
    <cellStyle name="Style 39 6 3 5" xfId="6262" xr:uid="{77EED09F-FD0E-4419-8BEA-881126AFF1EE}"/>
    <cellStyle name="Style 39 6 3 5 2" xfId="27638" xr:uid="{CA57BA0E-4327-498E-B1C1-C1542E7D256C}"/>
    <cellStyle name="Style 39 6 3 6" xfId="23559" xr:uid="{3B85E64F-B77B-4CF9-9F73-A0F17954DD5B}"/>
    <cellStyle name="Style 39 6 4" xfId="2537" xr:uid="{6B6E8B7D-5AD8-4D4F-B3AB-EE5658AE8604}"/>
    <cellStyle name="Style 39 6 4 2" xfId="2538" xr:uid="{4F0BBAC6-6DA6-4A83-A84C-FDFFD53117A6}"/>
    <cellStyle name="Style 39 6 4 2 2" xfId="6267" xr:uid="{68214C4B-EA78-46CE-93EB-D0BB7FE83CBC}"/>
    <cellStyle name="Style 39 6 4 2 2 2" xfId="27641" xr:uid="{ACFE1868-EACB-4E82-8F83-223D9D7B9FE9}"/>
    <cellStyle name="Style 39 6 4 2 3" xfId="23563" xr:uid="{E44ABF50-8E90-484F-AB3A-942832EF31C7}"/>
    <cellStyle name="Style 39 6 4 3" xfId="6266" xr:uid="{21AFDB63-B993-458B-99F3-F366F9050EEC}"/>
    <cellStyle name="Style 39 6 4 3 2" xfId="27640" xr:uid="{54B4DEBC-560E-438A-87E0-42A8E8D385B0}"/>
    <cellStyle name="Style 39 6 4 4" xfId="23562" xr:uid="{E6E0B7B0-D905-4A7A-8FB3-A6EA70CCF122}"/>
    <cellStyle name="Style 39 6 5" xfId="6268" xr:uid="{6EA1DCEB-08C8-4D6D-B641-EEBC2027C47D}"/>
    <cellStyle name="Style 39 6 5 2" xfId="24708" xr:uid="{E1CAC23D-A924-432D-87F7-27A6BC89F059}"/>
    <cellStyle name="Style 39 6 6" xfId="6260" xr:uid="{8534AA5F-A077-44D7-9776-1FE98E34B40C}"/>
    <cellStyle name="Style 39 6 6 2" xfId="27636" xr:uid="{01B811EC-7C0F-4424-A704-0A9C022717F1}"/>
    <cellStyle name="Style 39 6 7" xfId="23557" xr:uid="{616C1519-A89D-4C88-9771-107F232730ED}"/>
    <cellStyle name="Style 39 7" xfId="2539" xr:uid="{13473C44-0F16-43E6-843B-0E45FAA7158E}"/>
    <cellStyle name="Style 39 7 2" xfId="2540" xr:uid="{99DEC8EA-76F1-4982-AC46-AF098FA78C78}"/>
    <cellStyle name="Style 39 7 2 2" xfId="6270" xr:uid="{80A8D2FF-82EB-4A2D-AFB2-C9DA3CADA59F}"/>
    <cellStyle name="Style 39 7 2 2 2" xfId="27643" xr:uid="{6E81EE3F-3F89-4F2F-B6A7-0CF7F22EA1E6}"/>
    <cellStyle name="Style 39 7 2 3" xfId="23565" xr:uid="{548D0FC4-9285-4D9F-9CDE-9D8ED552D753}"/>
    <cellStyle name="Style 39 7 3" xfId="6271" xr:uid="{7FAADEE2-12F3-41D8-8375-E566DFE1D3AF}"/>
    <cellStyle name="Style 39 7 3 2" xfId="23566" xr:uid="{5CE42A79-735D-4F7E-8B08-2B084A8B0D2E}"/>
    <cellStyle name="Style 39 7 4" xfId="6272" xr:uid="{CEC7D1E7-164F-4A1C-8F75-4E700E5C7244}"/>
    <cellStyle name="Style 39 7 4 2" xfId="24709" xr:uid="{AF1535A0-F697-48CB-93F0-E2359AD4D78B}"/>
    <cellStyle name="Style 39 7 5" xfId="6269" xr:uid="{0337AEE6-33F9-4892-A01C-73F734D9EBC9}"/>
    <cellStyle name="Style 39 7 5 2" xfId="27642" xr:uid="{E934A8A7-FB9E-4156-BE7F-EF8796D42DBD}"/>
    <cellStyle name="Style 39 7 6" xfId="23564" xr:uid="{AB3B5781-3284-43EE-A14A-2859D979D832}"/>
    <cellStyle name="Style 39 8" xfId="2541" xr:uid="{BD4789A3-463C-4028-BE40-BBC74C9E3812}"/>
    <cellStyle name="Style 39 8 2" xfId="2542" xr:uid="{BAA66ACC-01D0-4FDE-8EEF-D8D2FDD961B1}"/>
    <cellStyle name="Style 39 8 2 2" xfId="6274" xr:uid="{CA6795C9-BF9F-41D0-B2C1-6D3985442A62}"/>
    <cellStyle name="Style 39 8 2 2 2" xfId="27645" xr:uid="{D6A59F66-450F-48FD-B71B-C8B516FB6E9D}"/>
    <cellStyle name="Style 39 8 2 3" xfId="23568" xr:uid="{4D00D94C-6D16-4C82-80F8-E8973CF8825D}"/>
    <cellStyle name="Style 39 8 3" xfId="6275" xr:uid="{8E756CC9-65EE-4A21-854B-9E8776A1A910}"/>
    <cellStyle name="Style 39 8 3 2" xfId="23569" xr:uid="{A6B3FF10-DFBC-41C8-92D6-148641312B6C}"/>
    <cellStyle name="Style 39 8 4" xfId="6276" xr:uid="{09D799C9-A2CA-4670-9638-DE2FE2A3BA1C}"/>
    <cellStyle name="Style 39 8 4 2" xfId="24710" xr:uid="{D645D4D2-833E-48FF-B378-1A5E574A5A6C}"/>
    <cellStyle name="Style 39 8 5" xfId="6273" xr:uid="{3D993DFA-F3A7-421D-ABB5-1CDE8D95528C}"/>
    <cellStyle name="Style 39 8 5 2" xfId="27644" xr:uid="{45D716CD-DE86-4097-945B-8DD49AA22A90}"/>
    <cellStyle name="Style 39 8 6" xfId="23567" xr:uid="{CFCD8DBF-5B99-43B5-B022-C74796B79D4C}"/>
    <cellStyle name="Style 39 9" xfId="2543" xr:uid="{158474B2-4097-4966-AFFC-47C2BB3D2320}"/>
    <cellStyle name="Style 39 9 2" xfId="2544" xr:uid="{3FC795FF-8019-4F46-9D77-F44044512EAC}"/>
    <cellStyle name="Style 39 9 2 2" xfId="6277" xr:uid="{0CC5B869-4071-430C-8242-B32BA8D706DC}"/>
    <cellStyle name="Style 39 9 2 2 2" xfId="27647" xr:uid="{A4E5700E-8ACE-480B-952F-2A5F5A702B39}"/>
    <cellStyle name="Style 39 9 2 3" xfId="24711" xr:uid="{4E4293E8-DAC7-4238-9844-47139A8B9630}"/>
    <cellStyle name="Style 39 9 3" xfId="4157" xr:uid="{818381AF-BF83-4F39-AF20-BD00EBBE1B4B}"/>
    <cellStyle name="Style 39 9 3 2" xfId="27646" xr:uid="{8328C009-7D9F-4DBF-8076-E529A0EDF19E}"/>
    <cellStyle name="Style 39 9 4" xfId="23570" xr:uid="{AAC1C6F8-8141-4735-8D9D-98D6DA3EEE1D}"/>
    <cellStyle name="Style 39_ADDON" xfId="25791" xr:uid="{4BDDD52B-3CE8-410C-A15C-C8C8ECF68BA3}"/>
    <cellStyle name="Style 40" xfId="2545" xr:uid="{2696C84B-3EDF-4738-AFAA-ECED635A362A}"/>
    <cellStyle name="Style 40 2" xfId="2546" xr:uid="{CD7FCCC7-4675-44C1-AD47-7F9EE19E9C4B}"/>
    <cellStyle name="Style 40 2 2" xfId="2547" xr:uid="{2FFA7FD6-E1BA-4EF3-9C6D-CE663934A975}"/>
    <cellStyle name="Style 40 2 2 2" xfId="2548" xr:uid="{1CCE4F3D-3DAC-41B0-8E90-C282C4904E98}"/>
    <cellStyle name="Style 40 2 2 2 2" xfId="2549" xr:uid="{666A7F89-E833-4C6E-8B47-7D9F7C9BF75C}"/>
    <cellStyle name="Style 40 2 2 2 2 2" xfId="2550" xr:uid="{FF4EB644-8816-4E53-8D41-91C31BCC14C7}"/>
    <cellStyle name="Style 40 2 2 2 2 2 2" xfId="9655" xr:uid="{1A0EE851-357A-403F-9C63-4E2E38B12DE7}"/>
    <cellStyle name="Style 40 2 2 2 2 3" xfId="9656" xr:uid="{01A00153-3768-4D2F-8AD5-7C8208D5A543}"/>
    <cellStyle name="Style 40 2 2 2 3" xfId="2551" xr:uid="{0C54DC77-DAA1-4997-B80B-21148FFC3BF5}"/>
    <cellStyle name="Style 40 2 2 2 3 2" xfId="9657" xr:uid="{311A98CB-E880-4D64-A28B-C6C6EAD5710F}"/>
    <cellStyle name="Style 40 2 2 2 4" xfId="9658" xr:uid="{547866FA-A7F2-4740-8BE3-063D32C789BC}"/>
    <cellStyle name="Style 40 2 2 3" xfId="2552" xr:uid="{32093007-B0C2-457B-AAEB-B5B24A2E89E4}"/>
    <cellStyle name="Style 40 2 2 3 2" xfId="2553" xr:uid="{95ECC769-1DBE-40AE-97E4-EF5F317DFC5E}"/>
    <cellStyle name="Style 40 2 2 3 2 2" xfId="9659" xr:uid="{2BA6C98A-3EE6-4989-A9A8-994D782031AF}"/>
    <cellStyle name="Style 40 2 2 3 3" xfId="9660" xr:uid="{96DC1A60-9206-4D76-A2B2-2FA37632BB8B}"/>
    <cellStyle name="Style 40 2 2 4" xfId="2554" xr:uid="{FBCE98B8-80FE-421C-B054-E20AF18AEB34}"/>
    <cellStyle name="Style 40 2 2 4 2" xfId="9661" xr:uid="{C7983815-8793-4405-8369-60AABC450891}"/>
    <cellStyle name="Style 40 2 2 5" xfId="9662" xr:uid="{5A2B4DB6-DBC8-4C43-BEC1-438578BA1614}"/>
    <cellStyle name="Style 40 2 3" xfId="2555" xr:uid="{A3BBDF05-218B-47F4-B07A-C02F2E2FB164}"/>
    <cellStyle name="Style 40 2 3 2" xfId="2556" xr:uid="{EAB97590-2DC6-40F8-BB80-2A76873D390A}"/>
    <cellStyle name="Style 40 2 3 2 2" xfId="2557" xr:uid="{31D81903-0C37-4842-A7AA-8C9E76D2CEA3}"/>
    <cellStyle name="Style 40 2 3 2 2 2" xfId="9663" xr:uid="{3014F33F-EFD9-4295-BE62-1C6927A87749}"/>
    <cellStyle name="Style 40 2 3 2 3" xfId="9664" xr:uid="{A03365CB-B4B0-49BD-AC39-E2AB600C369A}"/>
    <cellStyle name="Style 40 2 3 3" xfId="2558" xr:uid="{6DF06193-CD37-482A-A487-7D96BB7794E6}"/>
    <cellStyle name="Style 40 2 3 3 2" xfId="9665" xr:uid="{A5C34D86-6749-4CAA-912C-21B97A3B954C}"/>
    <cellStyle name="Style 40 2 3 4" xfId="9666" xr:uid="{1851D98F-816F-472A-A57A-AB19C7ABD1D4}"/>
    <cellStyle name="Style 40 2 4" xfId="2559" xr:uid="{C9DE2341-A1BA-460F-A818-627BB7C91D37}"/>
    <cellStyle name="Style 40 2 4 2" xfId="2560" xr:uid="{35D7F60D-519C-4163-B381-2936917CA862}"/>
    <cellStyle name="Style 40 2 4 2 2" xfId="9667" xr:uid="{577FD2F7-3EBC-4FB3-AE3F-2014890F0CC5}"/>
    <cellStyle name="Style 40 2 4 3" xfId="9668" xr:uid="{69861B75-5344-4471-9276-396B689F400C}"/>
    <cellStyle name="Style 40 2 5" xfId="2561" xr:uid="{9B85A870-9045-4CB4-BB20-AC9348EDC6D1}"/>
    <cellStyle name="Style 40 2 5 2" xfId="9669" xr:uid="{9B761AB2-2DB2-4028-AC66-31EA1559C95E}"/>
    <cellStyle name="Style 40 2 6" xfId="9670" xr:uid="{2BB103FB-E806-40E2-B163-198B2F8B09B1}"/>
    <cellStyle name="Style 40 3" xfId="2562" xr:uid="{0EDB9F5A-17E4-4316-AA9B-86DCAEF96A11}"/>
    <cellStyle name="Style 40 3 2" xfId="2563" xr:uid="{D8C20B2E-9192-4162-8C5C-EF0666F344A8}"/>
    <cellStyle name="Style 40 3 2 2" xfId="2564" xr:uid="{74637772-EB01-4273-8CB9-8DC0DCA24DB8}"/>
    <cellStyle name="Style 40 3 2 2 2" xfId="2565" xr:uid="{7F033BCE-AA73-4FA5-8970-39D703CA5FCE}"/>
    <cellStyle name="Style 40 3 2 2 2 2" xfId="2566" xr:uid="{1437CA59-7336-44FD-9EED-024FDAE147DE}"/>
    <cellStyle name="Style 40 3 2 2 2 2 2" xfId="9671" xr:uid="{55700608-9B12-43B4-9F7D-653D245805D1}"/>
    <cellStyle name="Style 40 3 2 2 2 3" xfId="9672" xr:uid="{19EED7E1-2F78-4148-953C-8FFD7EAE61CD}"/>
    <cellStyle name="Style 40 3 2 2 3" xfId="2567" xr:uid="{4CAE7863-C92F-4080-9C05-6330B221C3E5}"/>
    <cellStyle name="Style 40 3 2 2 3 2" xfId="9673" xr:uid="{E697A434-62F4-433B-81A0-1CB1F10C95C3}"/>
    <cellStyle name="Style 40 3 2 2 4" xfId="9674" xr:uid="{6E60D304-AAD2-4D47-9742-EEF4AAA9E5CD}"/>
    <cellStyle name="Style 40 3 2 3" xfId="2568" xr:uid="{C46B8E09-D5AA-4AEE-AD89-AA9FC1528EE6}"/>
    <cellStyle name="Style 40 3 2 3 2" xfId="2569" xr:uid="{9C7AA09E-D653-4FB2-AE0A-8107D8461EBC}"/>
    <cellStyle name="Style 40 3 2 3 2 2" xfId="9675" xr:uid="{DF966631-6972-4E0F-BA6C-B67FD1ED412C}"/>
    <cellStyle name="Style 40 3 2 3 3" xfId="9676" xr:uid="{189C35EC-03F5-4BCB-82F4-97F45C1BCD35}"/>
    <cellStyle name="Style 40 3 2 4" xfId="2570" xr:uid="{7DA2417F-A367-4E56-9FAA-E6F98CA83921}"/>
    <cellStyle name="Style 40 3 2 4 2" xfId="9677" xr:uid="{2A8CC544-DD74-46B4-BC63-F3B6304B97FC}"/>
    <cellStyle name="Style 40 3 2 5" xfId="9678" xr:uid="{271EF085-5A67-4CFD-B735-0C7CB68321CC}"/>
    <cellStyle name="Style 40 3 3" xfId="2571" xr:uid="{12B81E5D-CB2A-4FBF-82F5-B5998DE8687C}"/>
    <cellStyle name="Style 40 3 3 2" xfId="2572" xr:uid="{E58398AC-3D37-4A5F-AFF5-0343B0EE752B}"/>
    <cellStyle name="Style 40 3 3 2 2" xfId="2573" xr:uid="{1B19A7C9-0572-4972-B9B0-56DB82A9A38B}"/>
    <cellStyle name="Style 40 3 3 2 2 2" xfId="2574" xr:uid="{DB356742-2C13-4EC5-BEA9-729D112A39B2}"/>
    <cellStyle name="Style 40 3 3 2 2 2 2" xfId="9679" xr:uid="{57B26893-1BE3-4A2F-B1AD-6F1C09189A6E}"/>
    <cellStyle name="Style 40 3 3 2 2 3" xfId="9680" xr:uid="{AB21CAA8-74F7-40DD-A514-BB85A7007F93}"/>
    <cellStyle name="Style 40 3 3 2 3" xfId="2575" xr:uid="{D7A989E9-E937-4B2B-B4FD-E41C61FB0F4D}"/>
    <cellStyle name="Style 40 3 3 2 3 2" xfId="9681" xr:uid="{EF2ECF3D-9025-4B3D-AB76-94464F57DF4C}"/>
    <cellStyle name="Style 40 3 3 2 4" xfId="9682" xr:uid="{3309E9E9-D060-4BF5-BDA3-DD5D2BF43780}"/>
    <cellStyle name="Style 40 3 3 3" xfId="2576" xr:uid="{D7B6A1F8-E614-47A8-AAC5-72E0830BED3B}"/>
    <cellStyle name="Style 40 3 3 3 2" xfId="9683" xr:uid="{1F12C4CB-1FBD-4E70-866A-89CA69E94B3A}"/>
    <cellStyle name="Style 40 3 3 4" xfId="6278" xr:uid="{9BC9DE40-A6F0-41DC-BAA3-FEDD359771F0}"/>
    <cellStyle name="Style 40 3 3 5" xfId="9684" xr:uid="{5D15F78B-9856-408F-88DF-E94C7F454995}"/>
    <cellStyle name="Style 40 3 4" xfId="2577" xr:uid="{A3193E21-EA67-43AC-B414-7A21A6BCB911}"/>
    <cellStyle name="Style 40 3 4 2" xfId="2578" xr:uid="{AEAD9ED5-B222-4DC9-8EE1-F1553EA10B0D}"/>
    <cellStyle name="Style 40 3 4 2 2" xfId="9685" xr:uid="{45F92EBD-5985-45BF-AD7A-49D0631FB1D7}"/>
    <cellStyle name="Style 40 3 4 3" xfId="9686" xr:uid="{25C64DF9-EC7F-40C2-B913-90A734B54849}"/>
    <cellStyle name="Style 40 3 5" xfId="2579" xr:uid="{C354C509-578C-4C59-9283-06E12E7B9F42}"/>
    <cellStyle name="Style 40 3 5 2" xfId="9687" xr:uid="{88BAAC1A-FAC5-4FD0-B9D1-4FA5E0AD734C}"/>
    <cellStyle name="Style 40 3 6" xfId="9688" xr:uid="{1BCFED7D-519A-4CDD-B719-0E627E8918DA}"/>
    <cellStyle name="Style 40 4" xfId="2580" xr:uid="{FB25E9F0-1907-4AC4-AC48-484F6C171271}"/>
    <cellStyle name="Style 40 4 2" xfId="2581" xr:uid="{B5A5F13B-7E7A-4A41-BB85-D322DBFD936D}"/>
    <cellStyle name="Style 40 4 2 2" xfId="2582" xr:uid="{5BDB24D3-5FE3-4023-9377-11FAAF676B21}"/>
    <cellStyle name="Style 40 4 2 2 2" xfId="2583" xr:uid="{B7C21B43-D960-48E0-B725-D13839A08BDA}"/>
    <cellStyle name="Style 40 4 2 2 2 2" xfId="9689" xr:uid="{AB724C31-79EC-47C7-A9FB-669608CE79A1}"/>
    <cellStyle name="Style 40 4 2 2 3" xfId="9690" xr:uid="{8718F24B-6C7C-435B-947B-DE34AC641545}"/>
    <cellStyle name="Style 40 4 2 3" xfId="2584" xr:uid="{9517DFB2-942A-4AB6-9297-04CA353D6132}"/>
    <cellStyle name="Style 40 4 2 3 2" xfId="9691" xr:uid="{2E9ACD15-BFCF-4E07-B9A3-5686A6B1A549}"/>
    <cellStyle name="Style 40 4 2 4" xfId="9692" xr:uid="{F14E0F0B-1581-44F5-952B-028FF3D502D8}"/>
    <cellStyle name="Style 40 4 3" xfId="2585" xr:uid="{B5418F1A-8508-496E-B261-38072973286F}"/>
    <cellStyle name="Style 40 4 3 2" xfId="9693" xr:uid="{3A90F4CF-4C24-4986-9308-4D5E0FE9026C}"/>
    <cellStyle name="Style 40 4 4" xfId="6279" xr:uid="{4E468141-CA97-4861-B781-773F61BF1F9E}"/>
    <cellStyle name="Style 40 4 5" xfId="9694" xr:uid="{DA46A170-9CC1-407E-A167-1AA3878727EE}"/>
    <cellStyle name="Style 40 5" xfId="2586" xr:uid="{7AFD496E-6CB2-4120-A6CE-FFCE0653F053}"/>
    <cellStyle name="Style 40 5 2" xfId="2587" xr:uid="{B88958D9-3DD6-45DB-A62C-5BFF4C9D65C5}"/>
    <cellStyle name="Style 40 5 2 2" xfId="9695" xr:uid="{17F9BA4C-00FB-417A-BF11-D1894DBC9E3D}"/>
    <cellStyle name="Style 40 5 3" xfId="9696" xr:uid="{8224142E-1654-4A87-A9E6-9CBFDDB4728A}"/>
    <cellStyle name="Style 40 6" xfId="2588" xr:uid="{25F4B0A2-3624-4138-AEB7-0F98C435CFA9}"/>
    <cellStyle name="Style 40 6 2" xfId="4159" xr:uid="{C99078B1-260D-41E5-9E09-C690EFE14D1E}"/>
    <cellStyle name="Style 40 6 2 2" xfId="6280" xr:uid="{0F9B79E2-18FB-4799-A677-159B7BA4413A}"/>
    <cellStyle name="Style 40 6 3" xfId="9697" xr:uid="{137232B0-1291-45F8-B258-D76E414364E3}"/>
    <cellStyle name="Style 40 7" xfId="4158" xr:uid="{FC103F22-02CF-4B6B-BD50-92983DA576C5}"/>
    <cellStyle name="Style 40 7 2" xfId="6282" xr:uid="{C78983F7-2B1C-4D08-97AE-32E3C4D08FF4}"/>
    <cellStyle name="Style 40 7 3" xfId="6281" xr:uid="{40B1E5FC-E592-4A55-9246-8920E86D60C6}"/>
    <cellStyle name="Style 40 8" xfId="6283" xr:uid="{B163B213-9079-4784-A318-A3B17C088DB2}"/>
    <cellStyle name="Style 40 9" xfId="9698" xr:uid="{1678DF5F-21DB-4268-8BD9-92C47A0576E9}"/>
    <cellStyle name="Style 40 9 2" xfId="26642" xr:uid="{D4CFA311-F34C-476F-88E9-8B874529B6F9}"/>
    <cellStyle name="Style 40_ADDON" xfId="25792" xr:uid="{AB80865C-95EC-4F8B-85A2-D290CF83EF94}"/>
    <cellStyle name="Style 41" xfId="2589" xr:uid="{FC65A45F-B355-4106-9E14-848A9E775F16}"/>
    <cellStyle name="Style 41 2" xfId="2590" xr:uid="{8F324A20-1679-44E9-948F-94CC25D6EA84}"/>
    <cellStyle name="Style 41 2 2" xfId="2591" xr:uid="{58498887-6812-4498-AED1-41CD4682E067}"/>
    <cellStyle name="Style 41 2 2 2" xfId="2592" xr:uid="{975BBD66-259F-4019-ACC7-FF9AA266E25F}"/>
    <cellStyle name="Style 41 2 2 2 2" xfId="2593" xr:uid="{A0CF22FB-523E-4C42-A0E2-CC7D66A5BC33}"/>
    <cellStyle name="Style 41 2 2 2 2 2" xfId="2594" xr:uid="{2B2794BC-DD00-4723-BE3B-C3DD9CF82F0F}"/>
    <cellStyle name="Style 41 2 2 2 2 2 2" xfId="9699" xr:uid="{1FA46787-94C4-45E8-B306-2E3320002097}"/>
    <cellStyle name="Style 41 2 2 2 2 3" xfId="9700" xr:uid="{8D60C448-2882-44BD-A630-4605C9A50C2E}"/>
    <cellStyle name="Style 41 2 2 2 3" xfId="2595" xr:uid="{F96567E3-7AA1-456A-A9E6-774AB5F40FA2}"/>
    <cellStyle name="Style 41 2 2 2 3 2" xfId="9701" xr:uid="{58F2E1E8-B167-461A-A12C-6E99403AF0AC}"/>
    <cellStyle name="Style 41 2 2 2 4" xfId="9702" xr:uid="{8B3F1ECF-F73A-43D4-858B-D7E3A50C0AD6}"/>
    <cellStyle name="Style 41 2 2 3" xfId="2596" xr:uid="{AE0A23CF-BFFF-40C0-A0FE-0719024321B1}"/>
    <cellStyle name="Style 41 2 2 3 2" xfId="2597" xr:uid="{23205718-B24E-49E6-8DF6-5F12EC69CD81}"/>
    <cellStyle name="Style 41 2 2 3 2 2" xfId="9703" xr:uid="{4908B2DE-7920-465A-9503-53F6BDB60BDA}"/>
    <cellStyle name="Style 41 2 2 3 3" xfId="9704" xr:uid="{7F8EC24D-7070-42A3-B873-08F612D8E87F}"/>
    <cellStyle name="Style 41 2 2 4" xfId="2598" xr:uid="{8BD5C74A-082C-458F-87BB-D16F6475C86B}"/>
    <cellStyle name="Style 41 2 2 4 2" xfId="9705" xr:uid="{878F029B-CF17-4CC8-AF6A-5E6D84397824}"/>
    <cellStyle name="Style 41 2 2 5" xfId="9706" xr:uid="{3FF2B496-1B39-40E3-96F1-7031A8EA9B53}"/>
    <cellStyle name="Style 41 2 3" xfId="2599" xr:uid="{2E332581-B13E-463C-86DB-688EACA74BBD}"/>
    <cellStyle name="Style 41 2 3 2" xfId="2600" xr:uid="{3EE43419-B9C5-4850-AC56-C65997667F5B}"/>
    <cellStyle name="Style 41 2 3 2 2" xfId="2601" xr:uid="{A50772A9-C4AA-4099-9A1D-7D4182DB9D8F}"/>
    <cellStyle name="Style 41 2 3 2 2 2" xfId="9707" xr:uid="{1F36E106-1E84-41AF-920A-C6AAB390966B}"/>
    <cellStyle name="Style 41 2 3 2 3" xfId="9708" xr:uid="{78563AF7-B8D0-4522-BD06-A04955B034D4}"/>
    <cellStyle name="Style 41 2 3 3" xfId="2602" xr:uid="{D4DB373B-4C17-449E-B95A-4266AB962707}"/>
    <cellStyle name="Style 41 2 3 3 2" xfId="9709" xr:uid="{FA4337F2-E4F7-49AC-9751-F7DCEF9281A6}"/>
    <cellStyle name="Style 41 2 3 4" xfId="9710" xr:uid="{15480898-F014-46FF-991F-3A3C17BA3EF3}"/>
    <cellStyle name="Style 41 2 4" xfId="2603" xr:uid="{B35968D8-95F4-4B9F-9745-FAE64A3B6A83}"/>
    <cellStyle name="Style 41 2 4 2" xfId="2604" xr:uid="{9D36D254-A0F1-476D-A066-C733776189AB}"/>
    <cellStyle name="Style 41 2 4 2 2" xfId="9711" xr:uid="{B2B6B102-7608-43D7-96E5-168508972E04}"/>
    <cellStyle name="Style 41 2 4 3" xfId="9712" xr:uid="{2125475F-063F-42AB-A7D7-F78B3B01801A}"/>
    <cellStyle name="Style 41 2 5" xfId="2605" xr:uid="{6DFD6D70-A950-4A66-B8B9-A60166CCA1A7}"/>
    <cellStyle name="Style 41 2 5 2" xfId="9713" xr:uid="{E9C512F2-F9C1-41EB-8B17-C98EE6C1CA9D}"/>
    <cellStyle name="Style 41 2 6" xfId="9714" xr:uid="{50B8A1C1-F8A6-445D-9595-B8143DF2EC5C}"/>
    <cellStyle name="Style 41 3" xfId="2606" xr:uid="{2E3D29CB-8F1C-4900-98FD-D85DEA80C9F0}"/>
    <cellStyle name="Style 41 3 2" xfId="2607" xr:uid="{EE10F169-3E0B-4019-87B7-ECBF336416AA}"/>
    <cellStyle name="Style 41 3 2 2" xfId="2608" xr:uid="{AC857EAE-F764-4C35-A5BD-8F9C28A51751}"/>
    <cellStyle name="Style 41 3 2 2 2" xfId="2609" xr:uid="{5E040C4F-F3CC-4D70-9785-977D68A53F2E}"/>
    <cellStyle name="Style 41 3 2 2 2 2" xfId="2610" xr:uid="{E74F6BCB-48F8-44B6-B570-DAADF7670A62}"/>
    <cellStyle name="Style 41 3 2 2 2 2 2" xfId="9715" xr:uid="{27C5C99E-F955-4C83-B49D-E376F06EB4B7}"/>
    <cellStyle name="Style 41 3 2 2 2 3" xfId="9716" xr:uid="{C4422A1C-00F4-4F35-8A49-E3D09E9C8CB3}"/>
    <cellStyle name="Style 41 3 2 2 3" xfId="2611" xr:uid="{1637FACB-42BD-4DC6-81D3-3C681DB2C82B}"/>
    <cellStyle name="Style 41 3 2 2 3 2" xfId="9717" xr:uid="{B3C7FBD2-AF7F-4106-906E-D3D9AE02E9E6}"/>
    <cellStyle name="Style 41 3 2 2 4" xfId="9718" xr:uid="{31D165B5-5D09-4DC3-A954-6C9606A6BE52}"/>
    <cellStyle name="Style 41 3 2 3" xfId="2612" xr:uid="{C05B6EC2-1C78-4BF6-96AB-29643F048B7F}"/>
    <cellStyle name="Style 41 3 2 3 2" xfId="2613" xr:uid="{697404BB-0E77-44BC-B40D-D8E887D51A87}"/>
    <cellStyle name="Style 41 3 2 3 2 2" xfId="9719" xr:uid="{110C3B32-894E-4B0B-BC0A-9EDF0E51238C}"/>
    <cellStyle name="Style 41 3 2 3 3" xfId="9720" xr:uid="{9496538D-2F3A-44AF-94B4-DFFF3331860A}"/>
    <cellStyle name="Style 41 3 2 4" xfId="2614" xr:uid="{EC9F7D7F-56C1-4C90-A631-A6A1897BF233}"/>
    <cellStyle name="Style 41 3 2 4 2" xfId="9721" xr:uid="{D037A393-0C67-4D23-9626-530CAFF5E604}"/>
    <cellStyle name="Style 41 3 2 5" xfId="9722" xr:uid="{1A6F4233-FA89-406A-96BA-A3073EAB0355}"/>
    <cellStyle name="Style 41 3 3" xfId="2615" xr:uid="{7D41948F-EF6C-4519-AF93-4748D02F084F}"/>
    <cellStyle name="Style 41 3 3 2" xfId="2616" xr:uid="{3C055298-BF68-47B2-8CF7-8237EF324161}"/>
    <cellStyle name="Style 41 3 3 2 2" xfId="2617" xr:uid="{3B9F6F72-2227-4503-BCC9-7C387C627E3F}"/>
    <cellStyle name="Style 41 3 3 2 2 2" xfId="2618" xr:uid="{FE839EEB-5409-4827-9AF4-AF2CCC4CC6C7}"/>
    <cellStyle name="Style 41 3 3 2 2 2 2" xfId="9723" xr:uid="{B1D1803C-3FB2-4706-91DB-DDE2E6D10C35}"/>
    <cellStyle name="Style 41 3 3 2 2 3" xfId="9724" xr:uid="{2C48AF8A-7330-49F3-AA8A-813F4C0F0129}"/>
    <cellStyle name="Style 41 3 3 2 3" xfId="2619" xr:uid="{B0118E15-147B-4945-B3C7-2AFABF17EE2F}"/>
    <cellStyle name="Style 41 3 3 2 3 2" xfId="9725" xr:uid="{7C2404FE-B853-413E-9852-69E692C273ED}"/>
    <cellStyle name="Style 41 3 3 2 4" xfId="9726" xr:uid="{A3127F23-BBD3-45DB-A198-FA04ECF3BBB4}"/>
    <cellStyle name="Style 41 3 3 3" xfId="2620" xr:uid="{906AB5B9-B625-46AC-A27E-549A3C9481B9}"/>
    <cellStyle name="Style 41 3 3 3 2" xfId="9727" xr:uid="{A4F6A3E6-D187-4414-A9A1-A5642A120EDC}"/>
    <cellStyle name="Style 41 3 3 4" xfId="6284" xr:uid="{9C7908A3-E901-46DD-BB95-44ECDC3D9481}"/>
    <cellStyle name="Style 41 3 3 5" xfId="9728" xr:uid="{14267DC8-ADC7-4357-9F0F-2307EC0DF37F}"/>
    <cellStyle name="Style 41 3 4" xfId="2621" xr:uid="{FEE7EB1E-FB93-425D-A5F6-A122E403F2D4}"/>
    <cellStyle name="Style 41 3 4 2" xfId="2622" xr:uid="{F6E93C3D-6B80-4277-ADAB-3F9E544D227B}"/>
    <cellStyle name="Style 41 3 4 2 2" xfId="9729" xr:uid="{20F7C532-AC5E-4026-8FE9-AA6743327052}"/>
    <cellStyle name="Style 41 3 4 3" xfId="9730" xr:uid="{0F268AA4-EA1B-493A-9107-1968D6CC433B}"/>
    <cellStyle name="Style 41 3 5" xfId="2623" xr:uid="{B0902610-5BEF-4BC2-8E21-B9BA69EFBC94}"/>
    <cellStyle name="Style 41 3 5 2" xfId="9731" xr:uid="{FF8AF537-C829-4DCC-B45D-92FACCCAF48B}"/>
    <cellStyle name="Style 41 3 6" xfId="9732" xr:uid="{5AF25BE5-3F20-49E4-AD25-96CFD8AA8CBF}"/>
    <cellStyle name="Style 41 4" xfId="2624" xr:uid="{9C0492C4-A333-4EDF-AD13-BC481A776F35}"/>
    <cellStyle name="Style 41 4 2" xfId="2625" xr:uid="{4AE91488-3D64-4BB1-8020-E39D2898F4FA}"/>
    <cellStyle name="Style 41 4 2 2" xfId="2626" xr:uid="{2C4E77DE-263F-47A2-803B-245F6B9CC27A}"/>
    <cellStyle name="Style 41 4 2 2 2" xfId="2627" xr:uid="{DC1B5EBF-407F-4E8D-A46F-741534B79BE6}"/>
    <cellStyle name="Style 41 4 2 2 2 2" xfId="9733" xr:uid="{7326A015-03FD-4D68-B4BC-E5989503B7BD}"/>
    <cellStyle name="Style 41 4 2 2 3" xfId="9734" xr:uid="{6067A4CA-F20F-42B3-9685-22CC3278CB67}"/>
    <cellStyle name="Style 41 4 2 3" xfId="2628" xr:uid="{F9685E2B-E6C5-41B2-9C19-14812C7E3881}"/>
    <cellStyle name="Style 41 4 2 3 2" xfId="9735" xr:uid="{CDBC98ED-382C-450F-B26A-28F46AF0F26C}"/>
    <cellStyle name="Style 41 4 2 4" xfId="9736" xr:uid="{6B27B8B1-77A3-43A5-87E6-F5470EBF7DCE}"/>
    <cellStyle name="Style 41 4 3" xfId="2629" xr:uid="{96022552-FDC7-4A76-89DB-09992734F9BF}"/>
    <cellStyle name="Style 41 4 3 2" xfId="9737" xr:uid="{53AE881A-4817-4E17-9FEE-D59BF81F1A28}"/>
    <cellStyle name="Style 41 4 4" xfId="6285" xr:uid="{469703BC-BBC4-4E81-BD0D-C9D9BEE03C22}"/>
    <cellStyle name="Style 41 4 5" xfId="9738" xr:uid="{46AF8AC1-D1AF-47A6-8558-5B7B74F6988D}"/>
    <cellStyle name="Style 41 5" xfId="2630" xr:uid="{DF28920B-2D54-4C7A-AF93-BBBF7F5E3D45}"/>
    <cellStyle name="Style 41 5 2" xfId="2631" xr:uid="{21DD9B20-A81C-45AD-A76B-632BB4159631}"/>
    <cellStyle name="Style 41 5 2 2" xfId="9739" xr:uid="{8921A464-DB7F-4C7F-8EDC-9FEF15FE9D23}"/>
    <cellStyle name="Style 41 5 3" xfId="9740" xr:uid="{FEF5A9E1-9DE1-4886-A999-BB3CABE47130}"/>
    <cellStyle name="Style 41 6" xfId="2632" xr:uid="{AE7B8C03-F94F-4120-8603-942F980264E7}"/>
    <cellStyle name="Style 41 6 2" xfId="4161" xr:uid="{533894ED-20D9-4C57-897C-338FEA181759}"/>
    <cellStyle name="Style 41 6 2 2" xfId="6286" xr:uid="{39CB9EAA-E48F-40D3-857B-B18EDA4904C2}"/>
    <cellStyle name="Style 41 6 3" xfId="9741" xr:uid="{F7A56CCC-6767-47C2-81A4-5279A4C84665}"/>
    <cellStyle name="Style 41 7" xfId="4160" xr:uid="{21D0AFD3-FE6B-438E-94B1-938CEC276102}"/>
    <cellStyle name="Style 41 7 2" xfId="6288" xr:uid="{43622380-2A7D-45AE-8CF0-BAD74935CE24}"/>
    <cellStyle name="Style 41 7 3" xfId="6287" xr:uid="{365CE164-4C65-4E8E-930F-1AA86869C057}"/>
    <cellStyle name="Style 41 8" xfId="6289" xr:uid="{0F163721-1832-4EE1-AA8F-224819DB1DCB}"/>
    <cellStyle name="Style 41 9" xfId="9742" xr:uid="{08C172D0-9144-4CCF-A9DF-56CDA90EDB87}"/>
    <cellStyle name="Style 41 9 2" xfId="26643" xr:uid="{01D1FFC9-9F9E-4500-A5A3-4AF8AC6AB17C}"/>
    <cellStyle name="Style 41_ADDON" xfId="25793" xr:uid="{916AF249-B39C-4B85-B57A-BD4C213FEAAF}"/>
    <cellStyle name="Style 46" xfId="2633" xr:uid="{26F453D5-5C5E-468E-9B3A-974806C27E2C}"/>
    <cellStyle name="Style 46 10" xfId="2634" xr:uid="{E8633E98-273D-400E-BB53-4C4BBAA43263}"/>
    <cellStyle name="Style 46 10 2" xfId="2635" xr:uid="{9D38569D-FFBC-4D78-95DB-F4BF55A274CF}"/>
    <cellStyle name="Style 46 10 2 2" xfId="6290" xr:uid="{7EEA84F9-9B64-4631-82A1-BB45EF34F420}"/>
    <cellStyle name="Style 46 10 2 2 2" xfId="27649" xr:uid="{2ADFEBF9-E897-4986-9103-51717B6AD8FF}"/>
    <cellStyle name="Style 46 10 2 3" xfId="24712" xr:uid="{4E8833BC-7D4C-409C-8DE7-4101953E0C6D}"/>
    <cellStyle name="Style 46 10 3" xfId="4162" xr:uid="{83CF4E63-13EF-4D3E-B004-EF7B2AC54C33}"/>
    <cellStyle name="Style 46 10 3 2" xfId="27648" xr:uid="{A2E046EB-FB61-447F-A914-F5BF4D4F8D2C}"/>
    <cellStyle name="Style 46 10 4" xfId="23572" xr:uid="{D6116321-B9F2-456F-B0A2-AA068E355C62}"/>
    <cellStyle name="Style 46 11" xfId="2636" xr:uid="{C127C020-F204-415C-B129-D5EB5DBB9E91}"/>
    <cellStyle name="Style 46 11 2" xfId="2637" xr:uid="{7B85226A-ABE8-446D-BB2D-EC76F6E5BB0F}"/>
    <cellStyle name="Style 46 11 2 2" xfId="6292" xr:uid="{5255375D-52D9-4446-90F0-A8CF1323F5C9}"/>
    <cellStyle name="Style 46 11 2 2 2" xfId="27651" xr:uid="{6A70CCCC-E1F2-4427-B159-37092ECEFAA5}"/>
    <cellStyle name="Style 46 11 2 3" xfId="24713" xr:uid="{CFAC7486-6328-4F1A-84C6-607866A6FCCC}"/>
    <cellStyle name="Style 46 11 3" xfId="6291" xr:uid="{33AB3236-6ED0-4A6E-A149-54EF0A8522DE}"/>
    <cellStyle name="Style 46 11 3 2" xfId="27650" xr:uid="{EF6CCB41-E70F-4192-83DC-CE363151E25D}"/>
    <cellStyle name="Style 46 11 4" xfId="23573" xr:uid="{0F1A7198-C63E-4064-A165-CD9A14B18928}"/>
    <cellStyle name="Style 46 12" xfId="2638" xr:uid="{1994568E-3599-4259-9510-2AB41B0F9232}"/>
    <cellStyle name="Style 46 12 2" xfId="6293" xr:uid="{03738D25-E005-4B76-BB6A-9F956697580E}"/>
    <cellStyle name="Style 46 12 2 2" xfId="27652" xr:uid="{135BA99A-38C2-4CE5-8FF7-4AC162BD8BD6}"/>
    <cellStyle name="Style 46 12 3" xfId="9743" xr:uid="{F89BF248-89B7-4373-A3BB-48442243FEBE}"/>
    <cellStyle name="Style 46 12 3 2" xfId="28978" xr:uid="{F194A5EF-C943-4C61-B701-87BDB8B5788A}"/>
    <cellStyle name="Style 46 12 4" xfId="9744" xr:uid="{71B1D3B9-F7BF-4390-8739-E94AC30873DE}"/>
    <cellStyle name="Style 46 12 4 2" xfId="28979" xr:uid="{3A6A918E-A88E-4293-9BE5-8C18DE9C7ABB}"/>
    <cellStyle name="Style 46 12 5" xfId="9745" xr:uid="{0F23B830-C8AE-49FB-9708-EFA697FF09B3}"/>
    <cellStyle name="Style 46 12 5 2" xfId="28980" xr:uid="{56BF5815-66A9-4311-941F-968F74F0C3F1}"/>
    <cellStyle name="Style 46 12 6" xfId="9746" xr:uid="{43582F2F-C199-4E6C-8BFC-828EE0511D12}"/>
    <cellStyle name="Style 46 12 6 2" xfId="28981" xr:uid="{8186C0ED-9621-4155-B387-0FC739C077BA}"/>
    <cellStyle name="Style 46 12 7" xfId="24714" xr:uid="{CCB57762-93F0-4E35-985E-CAD72DB9BFF7}"/>
    <cellStyle name="Style 46 13" xfId="9747" xr:uid="{6ED10361-E587-47C3-BE9A-A0DC9FEB36E0}"/>
    <cellStyle name="Style 46 13 2" xfId="9748" xr:uid="{D4B5BF6A-5C17-44E6-A3DF-563D93EB76A4}"/>
    <cellStyle name="Style 46 13 2 2" xfId="28982" xr:uid="{8D3DD0FA-C10D-4171-A949-7E8663586452}"/>
    <cellStyle name="Style 46 13 3" xfId="9749" xr:uid="{E9170EAA-2BD3-4E80-BD77-AD0E83EF804B}"/>
    <cellStyle name="Style 46 13 3 2" xfId="28983" xr:uid="{EA447FA6-901F-4537-ADF1-B3B228A7A5E9}"/>
    <cellStyle name="Style 46 13 4" xfId="26644" xr:uid="{172F46FD-3464-45BD-9235-B3A96105B4A4}"/>
    <cellStyle name="Style 46 14" xfId="9750" xr:uid="{3BFE0DF7-E535-442E-9BBA-839565490D8A}"/>
    <cellStyle name="Style 46 14 2" xfId="9751" xr:uid="{47D246C3-3C79-44B0-8C58-E7F999C177E3}"/>
    <cellStyle name="Style 46 14 2 2" xfId="28985" xr:uid="{F199471C-9E79-4CFD-B4D6-7E7CC30C9C7E}"/>
    <cellStyle name="Style 46 14 3" xfId="28984" xr:uid="{8F985E1D-2C1E-4FDC-A465-3DC5E0DA4949}"/>
    <cellStyle name="Style 46 15" xfId="9752" xr:uid="{F8ED1724-3A4D-453E-999A-D710C35B9931}"/>
    <cellStyle name="Style 46 15 2" xfId="9753" xr:uid="{6C4A4E0E-F41F-4307-B218-6FE13E0783D3}"/>
    <cellStyle name="Style 46 15 2 2" xfId="28987" xr:uid="{07B0005E-882D-4F05-97D6-84AF9F120F04}"/>
    <cellStyle name="Style 46 15 3" xfId="28986" xr:uid="{0D71C801-6894-4893-87C0-701849E155CD}"/>
    <cellStyle name="Style 46 16" xfId="23571" xr:uid="{D82220E9-1474-4DC0-9E6F-7B0B9CB98B6A}"/>
    <cellStyle name="Style 46 2" xfId="2639" xr:uid="{E65B72FF-052C-4758-8D8D-9A3F81AF3651}"/>
    <cellStyle name="Style 46 2 2" xfId="4405" xr:uid="{F8DF2E99-B91B-455B-BCEC-7AC8F4170019}"/>
    <cellStyle name="Style 46 2 2 2" xfId="26645" xr:uid="{E495AB97-3A30-4443-A6C0-B1DE8901118A}"/>
    <cellStyle name="Style 46 2 3" xfId="23574" xr:uid="{6A225CE0-E432-421D-9A20-7A418F51C104}"/>
    <cellStyle name="Style 46 3" xfId="2640" xr:uid="{B76CC136-D616-4C96-BE0E-85066F7E8D5E}"/>
    <cellStyle name="Style 46 3 2" xfId="2641" xr:uid="{D499D552-B819-40D3-BB92-EBA3E7D2550A}"/>
    <cellStyle name="Style 46 3 2 2" xfId="2642" xr:uid="{B1079F74-D3E2-4AA0-B920-8871C463C7D0}"/>
    <cellStyle name="Style 46 3 2 2 2" xfId="6294" xr:uid="{72258B07-C19B-4B69-92CD-580082FABC60}"/>
    <cellStyle name="Style 46 3 2 2 2 2" xfId="27653" xr:uid="{4885AA5C-94FB-47BE-8A34-6BE2E0E601A0}"/>
    <cellStyle name="Style 46 3 2 2 3" xfId="23577" xr:uid="{8B8E8CB0-44FD-40E3-B384-82CCAE1394E9}"/>
    <cellStyle name="Style 46 3 2 3" xfId="4407" xr:uid="{AE3C97EF-8476-4807-A0FF-E30D2EE14855}"/>
    <cellStyle name="Style 46 3 2 3 2" xfId="26647" xr:uid="{AD6B1F36-0015-46EC-8934-ADCDD16C16B4}"/>
    <cellStyle name="Style 46 3 2 4" xfId="23576" xr:uid="{B19FDD19-5FAC-4EF2-BBCC-93913EF8B4AE}"/>
    <cellStyle name="Style 46 3 3" xfId="2643" xr:uid="{4E15FD24-D2D3-429C-B75D-88E4CDC203FA}"/>
    <cellStyle name="Style 46 3 3 2" xfId="2644" xr:uid="{7C29A8DF-E372-4582-867F-C584B75CA846}"/>
    <cellStyle name="Style 46 3 3 2 2" xfId="6296" xr:uid="{78DD901D-7E34-4CCB-912F-BC73BC1B3F20}"/>
    <cellStyle name="Style 46 3 3 2 2 2" xfId="27655" xr:uid="{2E2CCBF9-65B3-4380-9A7F-E56C2BA5E0C1}"/>
    <cellStyle name="Style 46 3 3 2 3" xfId="23579" xr:uid="{CB9652BC-7AC7-4E1A-B068-BD2FED15775D}"/>
    <cellStyle name="Style 46 3 3 3" xfId="2645" xr:uid="{CF76B7E6-12B8-4226-BB22-F13B2F22F90F}"/>
    <cellStyle name="Style 46 3 3 3 2" xfId="2646" xr:uid="{9625F1B6-DA27-463F-9442-87FCCC665247}"/>
    <cellStyle name="Style 46 3 3 3 2 2" xfId="6298" xr:uid="{83F49ADC-297D-478C-9EDF-24571FAC9385}"/>
    <cellStyle name="Style 46 3 3 3 2 2 2" xfId="27657" xr:uid="{AB7D3393-5906-4C7E-AC36-7C08D6347D71}"/>
    <cellStyle name="Style 46 3 3 3 2 3" xfId="23581" xr:uid="{E92565D0-19F6-4A0D-95EF-743FE96C501A}"/>
    <cellStyle name="Style 46 3 3 3 3" xfId="6299" xr:uid="{95B28F9E-D00A-47FB-8971-7C973375F9D6}"/>
    <cellStyle name="Style 46 3 3 3 3 2" xfId="23582" xr:uid="{61E05B35-B521-4C5F-BED3-B1878BA8005F}"/>
    <cellStyle name="Style 46 3 3 3 4" xfId="6300" xr:uid="{D7D2CE6A-4D4C-4994-A223-A20957FBAC2F}"/>
    <cellStyle name="Style 46 3 3 3 4 2" xfId="24715" xr:uid="{7CB09EFB-FE42-4603-B15E-2E6B5D1AC115}"/>
    <cellStyle name="Style 46 3 3 3 5" xfId="6297" xr:uid="{D67BE577-1D42-4B57-9E5A-41584F339773}"/>
    <cellStyle name="Style 46 3 3 3 5 2" xfId="27656" xr:uid="{7726BB14-2CE7-4062-96E2-58B94F46D174}"/>
    <cellStyle name="Style 46 3 3 3 6" xfId="23580" xr:uid="{F730108F-7F7E-486A-8436-807B44A68D0F}"/>
    <cellStyle name="Style 46 3 3 4" xfId="2647" xr:uid="{6D297A1D-DFE0-4FB2-9639-A7E1A770D73B}"/>
    <cellStyle name="Style 46 3 3 4 2" xfId="2648" xr:uid="{7C7AEF5F-667C-44D9-BCEF-2AFC9BDAAD4E}"/>
    <cellStyle name="Style 46 3 3 4 2 2" xfId="6302" xr:uid="{7BF493A8-5B24-4FD4-86E7-76A2B8999F30}"/>
    <cellStyle name="Style 46 3 3 4 2 2 2" xfId="27659" xr:uid="{6654CA07-79F3-44D8-9877-762E30D107ED}"/>
    <cellStyle name="Style 46 3 3 4 2 3" xfId="23584" xr:uid="{00E33989-615E-4001-BDE4-5014859349D1}"/>
    <cellStyle name="Style 46 3 3 4 3" xfId="6301" xr:uid="{D846C4EA-4B96-4C17-BEEA-36EA18814ACC}"/>
    <cellStyle name="Style 46 3 3 4 3 2" xfId="27658" xr:uid="{DF4DBBF2-B4A6-463D-BBFB-E54A9F1450F9}"/>
    <cellStyle name="Style 46 3 3 4 4" xfId="23583" xr:uid="{A4B6187D-BF27-4A71-BC2A-EC9EB0D6CEA4}"/>
    <cellStyle name="Style 46 3 3 5" xfId="6303" xr:uid="{1D38FE8C-57FE-43B7-886C-AD351241739E}"/>
    <cellStyle name="Style 46 3 3 5 2" xfId="24716" xr:uid="{4B88514A-2A1F-4636-85CB-0D6E196E7C3C}"/>
    <cellStyle name="Style 46 3 3 6" xfId="6295" xr:uid="{DB0A96FF-118E-47E4-96CB-48BB792FD6AB}"/>
    <cellStyle name="Style 46 3 3 6 2" xfId="27654" xr:uid="{BA2936EF-2921-4087-B421-7BC23FC98B58}"/>
    <cellStyle name="Style 46 3 3 7" xfId="23578" xr:uid="{F3192C29-4168-4AEB-8790-20D69C680AA9}"/>
    <cellStyle name="Style 46 3 4" xfId="2649" xr:uid="{BB36A1A9-653C-456A-B58E-6B54DDB6F775}"/>
    <cellStyle name="Style 46 3 4 2" xfId="6305" xr:uid="{27AAD071-A0B8-45AB-A196-ABEE2C7BAADB}"/>
    <cellStyle name="Style 46 3 4 2 2" xfId="23586" xr:uid="{748A0765-0E59-44B8-A2D6-B7D4E4BFB8DB}"/>
    <cellStyle name="Style 46 3 4 3" xfId="6306" xr:uid="{5AEF6750-2582-4475-9FD0-FE70EC2CEBE1}"/>
    <cellStyle name="Style 46 3 4 3 2" xfId="24717" xr:uid="{3CBD7943-47D6-4894-A62B-CEEC2FDCE8B3}"/>
    <cellStyle name="Style 46 3 4 4" xfId="6304" xr:uid="{BE69B6BD-310B-4DD6-B897-EE443A1F5392}"/>
    <cellStyle name="Style 46 3 4 4 2" xfId="27660" xr:uid="{71EB8A21-49B7-4E72-893B-7A9A2326D6D5}"/>
    <cellStyle name="Style 46 3 4 5" xfId="23585" xr:uid="{45DAE629-28EB-4772-883F-4E9EE853CFAE}"/>
    <cellStyle name="Style 46 3 5" xfId="6307" xr:uid="{CF274481-7B46-4A82-96CC-6813457B9E9F}"/>
    <cellStyle name="Style 46 3 5 2" xfId="9754" xr:uid="{DBCC9ECB-AB2C-4FBF-8B74-47B70914EB4D}"/>
    <cellStyle name="Style 46 3 5 2 2" xfId="27661" xr:uid="{9F0DD430-82F3-49CF-8986-7FCB8C610671}"/>
    <cellStyle name="Style 46 3 5 3" xfId="23587" xr:uid="{42809B69-55E9-451C-BA1B-BD55A73B1A27}"/>
    <cellStyle name="Style 46 3 6" xfId="4406" xr:uid="{303526E1-4BF2-4FC2-8477-6B94263093BE}"/>
    <cellStyle name="Style 46 3 6 2" xfId="26646" xr:uid="{34AB1B2A-E6E0-4DC4-9749-A62CC7097867}"/>
    <cellStyle name="Style 46 3 7" xfId="23575" xr:uid="{EFEC6D12-A458-458F-9DE5-765DF1A7C533}"/>
    <cellStyle name="Style 46 4" xfId="2650" xr:uid="{463F025A-0E49-4E53-A2C8-3C15FA03D3A3}"/>
    <cellStyle name="Style 46 4 2" xfId="2651" xr:uid="{9DE3CED7-88A5-448C-A953-9D5F46B1A3AE}"/>
    <cellStyle name="Style 46 4 2 2" xfId="2652" xr:uid="{7A242F1F-7A4D-4177-B315-B83C079D6CF0}"/>
    <cellStyle name="Style 46 4 2 2 2" xfId="6310" xr:uid="{0D5523E0-85FD-4BBB-8000-604217CC977B}"/>
    <cellStyle name="Style 46 4 2 2 2 2" xfId="27663" xr:uid="{855DEC42-EA05-4D44-9786-AB3503EBB6EF}"/>
    <cellStyle name="Style 46 4 2 2 3" xfId="23590" xr:uid="{70F223B5-1581-46E1-854C-496A9952551F}"/>
    <cellStyle name="Style 46 4 2 3" xfId="2653" xr:uid="{20B7DA24-5247-4F05-AD92-6C55D9C45CC3}"/>
    <cellStyle name="Style 46 4 2 3 2" xfId="2654" xr:uid="{8E6D45A2-08EB-43FE-B33D-5D777D3024F1}"/>
    <cellStyle name="Style 46 4 2 3 2 2" xfId="6312" xr:uid="{61370DAB-D12B-4D9F-93FF-66182767D0AE}"/>
    <cellStyle name="Style 46 4 2 3 2 2 2" xfId="27665" xr:uid="{2D94F8F1-23A7-48B8-AE1D-C9A42F221D0D}"/>
    <cellStyle name="Style 46 4 2 3 2 3" xfId="23592" xr:uid="{FEA1C860-5EE8-4D87-8CB4-6A54C0DB04E6}"/>
    <cellStyle name="Style 46 4 2 3 3" xfId="6313" xr:uid="{47A99B63-012E-4CE1-A853-AC604A7ED6C7}"/>
    <cellStyle name="Style 46 4 2 3 3 2" xfId="23593" xr:uid="{E5339436-5BDB-4589-ADF9-9771A175DBF6}"/>
    <cellStyle name="Style 46 4 2 3 4" xfId="6314" xr:uid="{0FEE480A-36EF-4D2A-83EF-A0E246EAB3F5}"/>
    <cellStyle name="Style 46 4 2 3 4 2" xfId="24718" xr:uid="{252A92E6-6564-4086-9F48-94D7CD7C4BC4}"/>
    <cellStyle name="Style 46 4 2 3 5" xfId="6311" xr:uid="{B041130C-98AE-426C-9A5E-1E97DE967E58}"/>
    <cellStyle name="Style 46 4 2 3 5 2" xfId="27664" xr:uid="{B71D13B9-BCBE-40D8-9ADC-683E905BEEA6}"/>
    <cellStyle name="Style 46 4 2 3 6" xfId="23591" xr:uid="{BC8A7D7E-30C8-41DE-9D20-96D3DBDDC91B}"/>
    <cellStyle name="Style 46 4 2 4" xfId="2655" xr:uid="{10D03AB1-6A91-4F49-81C9-9E2F6F827EE2}"/>
    <cellStyle name="Style 46 4 2 4 2" xfId="2656" xr:uid="{F050500F-B44D-4E9B-B763-51238902B391}"/>
    <cellStyle name="Style 46 4 2 4 2 2" xfId="6316" xr:uid="{95892C8C-517B-4FF2-B8A6-7EC8E8034FCA}"/>
    <cellStyle name="Style 46 4 2 4 2 2 2" xfId="27667" xr:uid="{A06B2A6F-832C-402D-83DB-D5582C2FA6E9}"/>
    <cellStyle name="Style 46 4 2 4 2 3" xfId="23595" xr:uid="{751264BE-F800-4E8E-A456-54016D306CCA}"/>
    <cellStyle name="Style 46 4 2 4 3" xfId="6315" xr:uid="{DBC476EC-5A01-44A4-B422-9F4BD1232BDE}"/>
    <cellStyle name="Style 46 4 2 4 3 2" xfId="27666" xr:uid="{45F61B7D-F2BE-453C-9D35-3323D4F60BF8}"/>
    <cellStyle name="Style 46 4 2 4 4" xfId="23594" xr:uid="{AE692B81-C9BB-4753-9326-CA93648C423A}"/>
    <cellStyle name="Style 46 4 2 5" xfId="6317" xr:uid="{313CDD27-621D-4EF4-81A0-70400EA76347}"/>
    <cellStyle name="Style 46 4 2 5 2" xfId="24719" xr:uid="{E20984AF-2DE2-4FD6-BDFE-C7A94C6CF6CC}"/>
    <cellStyle name="Style 46 4 2 6" xfId="6309" xr:uid="{CDD967B0-5369-4B7C-9F4C-57CA670B6B44}"/>
    <cellStyle name="Style 46 4 2 6 2" xfId="27662" xr:uid="{D31E290D-DD03-40D7-81F0-A6FBD9EF84A2}"/>
    <cellStyle name="Style 46 4 2 7" xfId="23589" xr:uid="{2AB41C24-AF2E-491B-8DE2-ABB8EC1D4B04}"/>
    <cellStyle name="Style 46 4 3" xfId="2657" xr:uid="{90CE4DF7-2ADF-47D1-B010-E1DF214D4034}"/>
    <cellStyle name="Style 46 4 3 2" xfId="6318" xr:uid="{63E95B49-1C51-4DD6-BF8E-4B0B7CA64380}"/>
    <cellStyle name="Style 46 4 3 2 2" xfId="27668" xr:uid="{A26D7C5F-17C2-4754-B82B-C3B62CC7EA8B}"/>
    <cellStyle name="Style 46 4 3 3" xfId="23596" xr:uid="{1CCAD28A-0015-4758-B448-F47BBB477069}"/>
    <cellStyle name="Style 46 4 4" xfId="6319" xr:uid="{42B11543-ABF3-49A0-81E1-AFD3EAB61B71}"/>
    <cellStyle name="Style 46 4 4 2" xfId="6320" xr:uid="{64920516-FD8D-4418-9A00-68D2902ABC9D}"/>
    <cellStyle name="Style 46 4 4 2 2" xfId="24720" xr:uid="{28D496F1-F42D-4AF3-B558-69E02470F5DF}"/>
    <cellStyle name="Style 46 4 4 3" xfId="23597" xr:uid="{F4BD4915-AFCF-40AE-91CC-91E46708B657}"/>
    <cellStyle name="Style 46 4 5" xfId="6308" xr:uid="{7C4F345F-4DDF-4864-9830-81C3F8FD490A}"/>
    <cellStyle name="Style 46 4 5 2" xfId="25947" xr:uid="{94056122-DD29-4363-A323-F52C32E70F21}"/>
    <cellStyle name="Style 46 4 6" xfId="4408" xr:uid="{8F0F0BDF-1E98-432A-A501-7A93C42A3253}"/>
    <cellStyle name="Style 46 4 6 2" xfId="26648" xr:uid="{029BB8B3-74F5-4B3F-A0C9-2A1A20808718}"/>
    <cellStyle name="Style 46 4 7" xfId="23588" xr:uid="{28D6C1AC-F49E-47FE-8F4F-B13A20E9882C}"/>
    <cellStyle name="Style 46 5" xfId="2658" xr:uid="{AA02844B-EE2D-437D-8E22-8F2579656B1F}"/>
    <cellStyle name="Style 46 5 2" xfId="2659" xr:uid="{5D2930D7-2355-4CE7-888D-185BE814E0B4}"/>
    <cellStyle name="Style 46 5 2 2" xfId="2660" xr:uid="{44703BD6-1E75-45D5-A310-4215977D5537}"/>
    <cellStyle name="Style 46 5 2 2 2" xfId="6323" xr:uid="{4C940537-9C3C-4F0F-81C0-C883AF850B26}"/>
    <cellStyle name="Style 46 5 2 2 2 2" xfId="27670" xr:uid="{18834C15-DBF9-4B48-AFFC-C4C25FF7004E}"/>
    <cellStyle name="Style 46 5 2 2 3" xfId="23600" xr:uid="{17638AD9-F171-454C-B8EC-1B1E3789BCDD}"/>
    <cellStyle name="Style 46 5 2 3" xfId="2661" xr:uid="{0048E90D-13B0-4D92-8FFC-8EF63DEB2839}"/>
    <cellStyle name="Style 46 5 2 3 2" xfId="2662" xr:uid="{91DC05BC-08DD-4B1A-AC9D-BD1F7870D1C3}"/>
    <cellStyle name="Style 46 5 2 3 2 2" xfId="6325" xr:uid="{C393E804-D4BA-4CFA-8715-1975B068059C}"/>
    <cellStyle name="Style 46 5 2 3 2 2 2" xfId="27672" xr:uid="{0830363C-5520-47D2-B956-75D0AC6E0064}"/>
    <cellStyle name="Style 46 5 2 3 2 3" xfId="23602" xr:uid="{FD979903-CE40-419D-B105-5F5951278D10}"/>
    <cellStyle name="Style 46 5 2 3 3" xfId="6326" xr:uid="{0E127ECE-7FEB-4510-8C40-F58B3BCAE2BF}"/>
    <cellStyle name="Style 46 5 2 3 3 2" xfId="23603" xr:uid="{CFED663E-5252-4A5E-A5E0-9007326B7F52}"/>
    <cellStyle name="Style 46 5 2 3 4" xfId="6327" xr:uid="{2C080E8B-C03E-4BB2-9BCA-5A37AC5CD100}"/>
    <cellStyle name="Style 46 5 2 3 4 2" xfId="24721" xr:uid="{7F4D8183-E441-4257-8FA3-2E85F72FF4DA}"/>
    <cellStyle name="Style 46 5 2 3 5" xfId="6324" xr:uid="{3D76DE37-6B45-4738-9B5C-0DDBDE582AA1}"/>
    <cellStyle name="Style 46 5 2 3 5 2" xfId="27671" xr:uid="{0FCDC211-E159-4267-A533-6F638A36785F}"/>
    <cellStyle name="Style 46 5 2 3 6" xfId="23601" xr:uid="{D0F5EB45-B508-454D-A275-25B7CE804991}"/>
    <cellStyle name="Style 46 5 2 4" xfId="2663" xr:uid="{86A5E8F2-52C2-4263-B4F0-055468887ED0}"/>
    <cellStyle name="Style 46 5 2 4 2" xfId="2664" xr:uid="{DF081D1F-AC61-468E-A936-7E576D907C66}"/>
    <cellStyle name="Style 46 5 2 4 2 2" xfId="6329" xr:uid="{93B5D70A-1975-424A-BF5C-4C82A3042E8A}"/>
    <cellStyle name="Style 46 5 2 4 2 2 2" xfId="27674" xr:uid="{860791A1-3704-4AD4-8C73-257C4CE1C413}"/>
    <cellStyle name="Style 46 5 2 4 2 3" xfId="23605" xr:uid="{C676DE98-9288-423F-B703-F9CAF68165E4}"/>
    <cellStyle name="Style 46 5 2 4 3" xfId="6328" xr:uid="{2097A0AA-3CED-49DB-929B-AECBCE081E67}"/>
    <cellStyle name="Style 46 5 2 4 3 2" xfId="27673" xr:uid="{D2760A9E-C832-4232-BABB-922BB01ED80C}"/>
    <cellStyle name="Style 46 5 2 4 4" xfId="23604" xr:uid="{ADD24741-6ECB-423A-8034-0E73EABFD340}"/>
    <cellStyle name="Style 46 5 2 5" xfId="6330" xr:uid="{5A351D18-2019-4AAD-86BC-D9F7B2257BE7}"/>
    <cellStyle name="Style 46 5 2 5 2" xfId="24722" xr:uid="{7634D2D6-FA44-4180-810D-B9FEF504DEA0}"/>
    <cellStyle name="Style 46 5 2 6" xfId="6322" xr:uid="{13C88870-6A6D-4DA6-A8AD-4B8B8A41433E}"/>
    <cellStyle name="Style 46 5 2 6 2" xfId="27669" xr:uid="{A63AEE77-47FF-4153-B231-D72478AE260C}"/>
    <cellStyle name="Style 46 5 2 7" xfId="23599" xr:uid="{ECB395DB-BC4B-4170-BC42-E9B28A539F22}"/>
    <cellStyle name="Style 46 5 3" xfId="2665" xr:uid="{1C6C22D5-3A4F-41DF-BE1E-9A4EBB5B9093}"/>
    <cellStyle name="Style 46 5 3 2" xfId="6331" xr:uid="{C5DFDF02-F6EB-4846-B635-FCA6FA8AECD8}"/>
    <cellStyle name="Style 46 5 3 2 2" xfId="27675" xr:uid="{D6A8929E-8B06-4B16-A157-1CC84EC2172E}"/>
    <cellStyle name="Style 46 5 3 3" xfId="23606" xr:uid="{51E8ECDF-F7F8-4FCC-8052-54700836F6AA}"/>
    <cellStyle name="Style 46 5 4" xfId="6332" xr:uid="{70932E3D-8B1B-4950-AD7A-DDB8743962CC}"/>
    <cellStyle name="Style 46 5 4 2" xfId="6333" xr:uid="{ECE72004-F1E5-47BA-83F5-920198A82F79}"/>
    <cellStyle name="Style 46 5 4 2 2" xfId="24723" xr:uid="{BE9F35C1-AAE1-4677-ABA8-7CBE7A4E2753}"/>
    <cellStyle name="Style 46 5 4 3" xfId="23607" xr:uid="{7608E357-2237-40DF-A272-1537320FBF22}"/>
    <cellStyle name="Style 46 5 5" xfId="6321" xr:uid="{0AB310A1-DFFF-4E2B-8467-32E612695AFF}"/>
    <cellStyle name="Style 46 5 5 2" xfId="25948" xr:uid="{03D2FF99-4425-4539-B508-C09C60093338}"/>
    <cellStyle name="Style 46 5 6" xfId="4409" xr:uid="{DC3AC5A6-1E0E-4268-922E-AB63722A339F}"/>
    <cellStyle name="Style 46 5 6 2" xfId="26649" xr:uid="{6C911048-0C62-4654-BF66-AB6F25EB26AF}"/>
    <cellStyle name="Style 46 5 7" xfId="23598" xr:uid="{4CA6058F-D82F-4733-9E00-A4E4A2D98B14}"/>
    <cellStyle name="Style 46 6" xfId="2666" xr:uid="{373A9FED-37C1-44F9-9B40-8431804EE7C1}"/>
    <cellStyle name="Style 46 6 2" xfId="2667" xr:uid="{36865127-EC0E-4696-9DB5-1690614D4976}"/>
    <cellStyle name="Style 46 6 2 2" xfId="6335" xr:uid="{0B26C294-7028-44F7-8CDC-0BFCBC6154D7}"/>
    <cellStyle name="Style 46 6 2 2 2" xfId="27677" xr:uid="{056DE5C8-C240-4CBE-85CE-539AC84C277F}"/>
    <cellStyle name="Style 46 6 2 3" xfId="23609" xr:uid="{A886E469-CE37-4BCA-9344-DD1C8BC86462}"/>
    <cellStyle name="Style 46 6 3" xfId="2668" xr:uid="{4FD6916E-D3F3-44D8-B8AB-3CD91624E7BA}"/>
    <cellStyle name="Style 46 6 3 2" xfId="2669" xr:uid="{134EF906-53FE-40AE-A455-F09A33C8380A}"/>
    <cellStyle name="Style 46 6 3 2 2" xfId="6337" xr:uid="{70260D55-C80F-4D2E-9698-8F6A72894876}"/>
    <cellStyle name="Style 46 6 3 2 2 2" xfId="27679" xr:uid="{DB68B17F-6CF7-4878-B1C3-C20FD72E3140}"/>
    <cellStyle name="Style 46 6 3 2 3" xfId="23611" xr:uid="{EB7B0792-0D8E-4B63-91FD-090FE86BBB2F}"/>
    <cellStyle name="Style 46 6 3 3" xfId="6338" xr:uid="{06915C93-25E7-4D5C-87A5-E9D21730B4AE}"/>
    <cellStyle name="Style 46 6 3 3 2" xfId="23612" xr:uid="{2AD01E04-2D43-4F0E-873A-27472EA9F9CE}"/>
    <cellStyle name="Style 46 6 3 4" xfId="6339" xr:uid="{FBD51204-EDFD-4638-953F-19FC3FA38A1E}"/>
    <cellStyle name="Style 46 6 3 4 2" xfId="24724" xr:uid="{A9DEC4A0-BEAD-4C36-86C3-8E8BF972357D}"/>
    <cellStyle name="Style 46 6 3 5" xfId="6336" xr:uid="{6DA206A4-0CEB-41FB-B579-64176579CEEC}"/>
    <cellStyle name="Style 46 6 3 5 2" xfId="27678" xr:uid="{7965CE7C-D370-48C6-97B4-1DC199D462D1}"/>
    <cellStyle name="Style 46 6 3 6" xfId="23610" xr:uid="{547E6602-D99E-4853-A0CF-A749F6F46066}"/>
    <cellStyle name="Style 46 6 4" xfId="2670" xr:uid="{22FD8BB5-FEB2-4E6E-A3BD-BEA8AA432197}"/>
    <cellStyle name="Style 46 6 4 2" xfId="2671" xr:uid="{FE783F05-24EF-4437-B77B-3A5862360729}"/>
    <cellStyle name="Style 46 6 4 2 2" xfId="6341" xr:uid="{7CD25C0C-0B8C-4455-B90C-D9A13F9ADDDC}"/>
    <cellStyle name="Style 46 6 4 2 2 2" xfId="27681" xr:uid="{1CE80357-C8DB-4968-A6D5-07E4F7517FBD}"/>
    <cellStyle name="Style 46 6 4 2 3" xfId="23614" xr:uid="{11DC029D-7EF5-4A6C-8610-E1DD34BEB0F7}"/>
    <cellStyle name="Style 46 6 4 3" xfId="6340" xr:uid="{22F2AC92-C55D-41AB-982C-530162ED68DF}"/>
    <cellStyle name="Style 46 6 4 3 2" xfId="27680" xr:uid="{890479DF-62E9-43EF-B8D0-D5C5B08E700A}"/>
    <cellStyle name="Style 46 6 4 4" xfId="23613" xr:uid="{77715881-F8AA-41F7-A6C8-11BB60E09FF6}"/>
    <cellStyle name="Style 46 6 5" xfId="6342" xr:uid="{2F47906D-35DA-40DC-BCDD-7C29DD877C74}"/>
    <cellStyle name="Style 46 6 5 2" xfId="24725" xr:uid="{A7A2D9B9-72B9-44CF-8AE4-00FF66D796DD}"/>
    <cellStyle name="Style 46 6 6" xfId="6334" xr:uid="{69BE801D-DC8F-4B6E-BBFC-AF5411CFF6C3}"/>
    <cellStyle name="Style 46 6 6 2" xfId="27676" xr:uid="{E86022A9-3E19-46C4-8384-75ED7D555E19}"/>
    <cellStyle name="Style 46 6 7" xfId="23608" xr:uid="{08BCD991-DDC5-417F-A81D-DAC7165D64A1}"/>
    <cellStyle name="Style 46 7" xfId="2672" xr:uid="{C0379A5C-6208-45A8-B5DE-FA456AAA0DBD}"/>
    <cellStyle name="Style 46 7 2" xfId="2673" xr:uid="{BA0F4448-28DA-4880-B7BB-C327A338F737}"/>
    <cellStyle name="Style 46 7 2 2" xfId="6344" xr:uid="{57C937DE-D904-4B5A-9F99-F91BBF2B8DE3}"/>
    <cellStyle name="Style 46 7 2 2 2" xfId="27683" xr:uid="{F1E021D0-DEB2-46B5-B4CD-B95A6CB7DF83}"/>
    <cellStyle name="Style 46 7 2 3" xfId="23616" xr:uid="{9F613894-82E9-480A-BC5A-9D80D71698A5}"/>
    <cellStyle name="Style 46 7 3" xfId="6345" xr:uid="{25B53451-47AE-4E94-A243-06797208B2D8}"/>
    <cellStyle name="Style 46 7 3 2" xfId="23617" xr:uid="{9B457139-AB07-446D-87BF-2649D743DE69}"/>
    <cellStyle name="Style 46 7 4" xfId="6346" xr:uid="{BD9DA9EA-BDF0-4B67-84F5-104361AB019F}"/>
    <cellStyle name="Style 46 7 4 2" xfId="24726" xr:uid="{3BA2E0AE-6979-4D69-8D31-418DE82E6084}"/>
    <cellStyle name="Style 46 7 5" xfId="6343" xr:uid="{90D6BC0A-6244-4ABD-8D76-EC703CEEB1B3}"/>
    <cellStyle name="Style 46 7 5 2" xfId="27682" xr:uid="{FB9D247F-037B-44D5-AEF2-173BA8386BD8}"/>
    <cellStyle name="Style 46 7 6" xfId="23615" xr:uid="{9F613A86-A352-46CE-A7A0-175EE92BFB68}"/>
    <cellStyle name="Style 46 8" xfId="2674" xr:uid="{170D5A43-CB14-449B-9F2E-3A00129A35E4}"/>
    <cellStyle name="Style 46 8 2" xfId="2675" xr:uid="{D4468321-B5D3-4E7D-B7CD-A2238F4B5B8B}"/>
    <cellStyle name="Style 46 8 2 2" xfId="6348" xr:uid="{D5646B2B-7F32-44C2-9D59-C6854BC9C5CE}"/>
    <cellStyle name="Style 46 8 2 2 2" xfId="27685" xr:uid="{A73C7001-F953-4E3F-A7D4-93B17C155115}"/>
    <cellStyle name="Style 46 8 2 3" xfId="23619" xr:uid="{4E3B030E-3F02-4013-9B89-C1ACD09BF8C7}"/>
    <cellStyle name="Style 46 8 3" xfId="6349" xr:uid="{8AE36F35-8372-45A9-B2C8-F3D0EF546E94}"/>
    <cellStyle name="Style 46 8 3 2" xfId="23620" xr:uid="{5BDC9F03-AB64-428C-943B-A40961D796FC}"/>
    <cellStyle name="Style 46 8 4" xfId="6350" xr:uid="{BE7DC724-9D26-409F-A418-8258A49FFEF7}"/>
    <cellStyle name="Style 46 8 4 2" xfId="24727" xr:uid="{51DE44E5-1CA5-482E-BA90-8160F2E001C1}"/>
    <cellStyle name="Style 46 8 5" xfId="6347" xr:uid="{AAA5F272-2662-403C-8AC6-19165C23044F}"/>
    <cellStyle name="Style 46 8 5 2" xfId="27684" xr:uid="{CBFBA1A2-C774-4C97-9174-659BE261491F}"/>
    <cellStyle name="Style 46 8 6" xfId="23618" xr:uid="{F7516415-ADC3-4288-B333-8E0803E24C73}"/>
    <cellStyle name="Style 46 9" xfId="2676" xr:uid="{519A9B6A-BB5F-4E67-B029-50095AB8B09E}"/>
    <cellStyle name="Style 46 9 2" xfId="2677" xr:uid="{33BC71A5-F147-4D38-9BE3-CDC48DD423DD}"/>
    <cellStyle name="Style 46 9 2 2" xfId="6351" xr:uid="{73875FD5-199C-4020-91B0-DEF93B66576D}"/>
    <cellStyle name="Style 46 9 2 2 2" xfId="27687" xr:uid="{7CC05A68-3D61-4850-9657-77049DA30257}"/>
    <cellStyle name="Style 46 9 2 3" xfId="24728" xr:uid="{F3F8A655-D8BC-46C3-8850-ED27619F5DB7}"/>
    <cellStyle name="Style 46 9 3" xfId="4163" xr:uid="{35CB6835-C4B4-4639-BDC9-BB30DDCEAE27}"/>
    <cellStyle name="Style 46 9 3 2" xfId="27686" xr:uid="{6221A9D4-72FA-4A6F-BF24-293E0E38EC4E}"/>
    <cellStyle name="Style 46 9 4" xfId="23621" xr:uid="{440C35AC-E803-400A-8D82-0445C11D6520}"/>
    <cellStyle name="Style 46_ADDON" xfId="25794" xr:uid="{BE1C1C12-9823-46A9-BF00-F8A58966E1DB}"/>
    <cellStyle name="Style 47" xfId="2678" xr:uid="{CF0B0801-0571-4A1A-A3A0-18274EA199C1}"/>
    <cellStyle name="Style 47 10" xfId="23622" xr:uid="{FDD346C4-1A37-4DB1-8194-883BEB60C288}"/>
    <cellStyle name="Style 47 2" xfId="2679" xr:uid="{8FF836D1-7536-4FCB-991D-17CE4E0A602C}"/>
    <cellStyle name="Style 47 2 2" xfId="9755" xr:uid="{3DD27D96-BE49-4206-98F1-5A4EFD200CB7}"/>
    <cellStyle name="Style 47 2 2 2" xfId="28988" xr:uid="{55583AAC-8617-496A-829B-A740FCBF8846}"/>
    <cellStyle name="Style 47 2 3" xfId="23623" xr:uid="{A796DBD3-158B-40AC-B440-ABF490E64FF6}"/>
    <cellStyle name="Style 47 3" xfId="2680" xr:uid="{211B9212-6552-418C-93B6-836117CB2D56}"/>
    <cellStyle name="Style 47 3 2" xfId="2681" xr:uid="{61DD4D7F-734A-4E74-BC18-FAA38ABB4F7D}"/>
    <cellStyle name="Style 47 3 2 2" xfId="23625" xr:uid="{2D04F142-6D55-448B-A6E4-D994BEC6B5CF}"/>
    <cellStyle name="Style 47 3 3" xfId="2682" xr:uid="{592EB28B-4BAF-4955-B220-44591E940BEE}"/>
    <cellStyle name="Style 47 3 3 2" xfId="2683" xr:uid="{811C4341-5E5A-49A6-BCF0-D360AC50F8B6}"/>
    <cellStyle name="Style 47 3 3 2 2" xfId="23627" xr:uid="{BE499890-CA4B-4770-93D3-9812D7673E82}"/>
    <cellStyle name="Style 47 3 3 3" xfId="6352" xr:uid="{0386E85C-494F-4CDD-9FB4-FDBE0B54A1E6}"/>
    <cellStyle name="Style 47 3 3 3 2" xfId="23628" xr:uid="{04464350-A061-4520-87D6-DCC9807B9ED1}"/>
    <cellStyle name="Style 47 3 3 4" xfId="6353" xr:uid="{CD3859B1-8377-4BD2-923F-1649BA06CD53}"/>
    <cellStyle name="Style 47 3 3 4 2" xfId="24729" xr:uid="{0CAF993F-8937-48F3-9C87-D44D84A369BA}"/>
    <cellStyle name="Style 47 3 3 5" xfId="23626" xr:uid="{3E2422C1-4247-4E65-8855-D5B562AD5173}"/>
    <cellStyle name="Style 47 3 4" xfId="2684" xr:uid="{E05E1DFF-DF24-4C08-B705-4281A6021C45}"/>
    <cellStyle name="Style 47 3 4 2" xfId="2685" xr:uid="{C3867301-76DE-4713-89A7-6685A04204E6}"/>
    <cellStyle name="Style 47 3 4 2 2" xfId="23630" xr:uid="{71733CA3-E56C-4131-AB48-F5A51193DB33}"/>
    <cellStyle name="Style 47 3 4 3" xfId="23629" xr:uid="{783EFE41-F029-42F9-8052-CEF7CAE53B63}"/>
    <cellStyle name="Style 47 3 5" xfId="6354" xr:uid="{04895FCF-944C-491A-89DB-E27C87F6D587}"/>
    <cellStyle name="Style 47 3 5 2" xfId="24730" xr:uid="{F9734AEF-0D1F-4403-BC88-A7FF11D1EAF5}"/>
    <cellStyle name="Style 47 3 6" xfId="23624" xr:uid="{A789B7D8-4438-4EA6-A054-7E52751F6E55}"/>
    <cellStyle name="Style 47 4" xfId="2686" xr:uid="{D3DCE41B-1735-4F36-9DAE-1C8399F9387D}"/>
    <cellStyle name="Style 47 4 2" xfId="2687" xr:uid="{1E0A332A-3D24-4F26-9A82-EFE24DC4A3E1}"/>
    <cellStyle name="Style 47 4 2 2" xfId="23632" xr:uid="{007DEB78-ADA3-4F7E-9809-AB5695B8BA54}"/>
    <cellStyle name="Style 47 4 3" xfId="6355" xr:uid="{ED51F296-9CF9-4D8F-81FA-3E0A1C56AE57}"/>
    <cellStyle name="Style 47 4 3 2" xfId="23633" xr:uid="{1717EC64-C2F5-4D31-9D0C-1498A2C8D53D}"/>
    <cellStyle name="Style 47 4 4" xfId="6356" xr:uid="{5D4BE4AE-2AA3-4AD1-9D23-1E2794D02439}"/>
    <cellStyle name="Style 47 4 4 2" xfId="24731" xr:uid="{37A8B5E6-C4AE-4960-BFDF-BEB740EDF13B}"/>
    <cellStyle name="Style 47 4 5" xfId="23631" xr:uid="{C21918F9-0455-4273-98DB-4350EB173C38}"/>
    <cellStyle name="Style 47 5" xfId="2688" xr:uid="{06F0A8BA-380F-4547-973D-394DD43564F1}"/>
    <cellStyle name="Style 47 5 2" xfId="2689" xr:uid="{CAB30F59-08C3-4258-85B8-2291E187CC64}"/>
    <cellStyle name="Style 47 5 2 2" xfId="23635" xr:uid="{F7AF86B3-09C3-404F-8B21-2A7D608695AA}"/>
    <cellStyle name="Style 47 5 3" xfId="23634" xr:uid="{B36656A4-284B-42DA-B9EF-7FAC995F2013}"/>
    <cellStyle name="Style 47 6" xfId="2690" xr:uid="{7953F28E-B61B-4D99-A1B1-6F6C9EAD5046}"/>
    <cellStyle name="Style 47 6 2" xfId="2691" xr:uid="{05384DC1-DB6A-48C6-A954-BFAC43D3FB1E}"/>
    <cellStyle name="Style 47 6 2 2" xfId="24732" xr:uid="{86BC9EA5-9F66-424A-A371-F7327165D2B3}"/>
    <cellStyle name="Style 47 6 3" xfId="4165" xr:uid="{A0AEC93D-01BD-4F9B-A345-CA6DFBC2825A}"/>
    <cellStyle name="Style 47 6 3 2" xfId="28327" xr:uid="{169F4BDD-1CDF-4428-B48B-8E784586BC8B}"/>
    <cellStyle name="Style 47 6 4" xfId="23636" xr:uid="{241E7996-8439-4F6C-9D0B-3C75A6A1EA98}"/>
    <cellStyle name="Style 47 7" xfId="4164" xr:uid="{43A630CD-7F0E-41F3-9D08-10BD051C6C91}"/>
    <cellStyle name="Style 47 7 2" xfId="6358" xr:uid="{81E31A52-3FB3-492A-B4C0-DF94AB6E813C}"/>
    <cellStyle name="Style 47 7 2 2" xfId="24733" xr:uid="{22F44D33-A667-4E4D-9459-6709939D425D}"/>
    <cellStyle name="Style 47 7 3" xfId="6357" xr:uid="{A0A823C2-1E09-4C5A-BF80-9833A8A94995}"/>
    <cellStyle name="Style 47 7 3 2" xfId="40724" xr:uid="{8E201A5F-B50C-4648-8830-4F9CB538570F}"/>
    <cellStyle name="Style 47 7 4" xfId="23637" xr:uid="{DD2DB1C7-73F9-4B3B-B273-A85403495E92}"/>
    <cellStyle name="Style 47 8" xfId="6359" xr:uid="{4BAFF68D-53C5-445F-A5FA-FD0DE7E7451A}"/>
    <cellStyle name="Style 47 8 2" xfId="24734" xr:uid="{EFD588F5-F963-4C6B-BEC9-F1DE5BF8544F}"/>
    <cellStyle name="Style 47 9" xfId="9756" xr:uid="{7BB63C8A-00C7-4676-B277-956744BBBDB3}"/>
    <cellStyle name="Style 47 9 2" xfId="26650" xr:uid="{8299CFD4-72FF-4E8F-BFC0-8B0A5EF7B46D}"/>
    <cellStyle name="Style 47_ADDON" xfId="25746" xr:uid="{B79617F3-8EC4-480D-8BB2-82FE1CD85023}"/>
    <cellStyle name="Style 48" xfId="2692" xr:uid="{DBC9887F-A42C-467E-AA70-8A60242696FF}"/>
    <cellStyle name="Style 48 2" xfId="2693" xr:uid="{25D5D465-E0CF-46B4-B81E-4022DD44E995}"/>
    <cellStyle name="Style 48 2 2" xfId="2694" xr:uid="{E80718D4-B14C-4718-8768-828791A2A5EC}"/>
    <cellStyle name="Style 48 2 2 2" xfId="2695" xr:uid="{97C2C57D-9415-49C4-90FB-8B2B0717B3E0}"/>
    <cellStyle name="Style 48 2 2 2 2" xfId="2696" xr:uid="{7ECDC249-3C5D-4ECB-937F-4ABFB355CF1B}"/>
    <cellStyle name="Style 48 2 2 2 2 2" xfId="2697" xr:uid="{62AA3D71-ED52-4A56-A13D-F87FBF027DE4}"/>
    <cellStyle name="Style 48 2 2 2 2 2 2" xfId="9757" xr:uid="{98AF159E-F7A7-4383-9BA0-B4A55A71CBC6}"/>
    <cellStyle name="Style 48 2 2 2 2 3" xfId="9758" xr:uid="{C3AA41D9-15E3-4D83-A370-3A5CB7D8500E}"/>
    <cellStyle name="Style 48 2 2 2 3" xfId="2698" xr:uid="{8E6DDDE3-5BC1-4C72-B1EE-F0CF157207DA}"/>
    <cellStyle name="Style 48 2 2 2 3 2" xfId="9759" xr:uid="{C51FDEC0-96C3-43DB-B115-26F31C01180B}"/>
    <cellStyle name="Style 48 2 2 2 4" xfId="9760" xr:uid="{AE93C458-3C64-4DFC-86AE-5A58EF49C9F3}"/>
    <cellStyle name="Style 48 2 2 3" xfId="2699" xr:uid="{8DB211F9-C535-470F-8D9C-B2E6F8666379}"/>
    <cellStyle name="Style 48 2 2 3 2" xfId="2700" xr:uid="{A3E12476-8A96-4840-A5D8-E9AB7263FC06}"/>
    <cellStyle name="Style 48 2 2 3 2 2" xfId="9761" xr:uid="{49CF12C4-D492-43EF-84DB-D47EF4D47A8E}"/>
    <cellStyle name="Style 48 2 2 3 3" xfId="9762" xr:uid="{BB1CE167-847B-4853-869C-308CB53DAF3E}"/>
    <cellStyle name="Style 48 2 2 4" xfId="2701" xr:uid="{865AFE64-CFCB-406F-8F28-25EACD886AA9}"/>
    <cellStyle name="Style 48 2 2 4 2" xfId="9763" xr:uid="{BCE7BFF9-24FE-468D-BCE2-F51A8689A13B}"/>
    <cellStyle name="Style 48 2 2 5" xfId="9764" xr:uid="{05CC5DBF-8641-495A-9C44-1612C62429E8}"/>
    <cellStyle name="Style 48 2 3" xfId="2702" xr:uid="{8E3E9FBF-C294-48FD-8C0F-FFA7F4C700F0}"/>
    <cellStyle name="Style 48 2 3 2" xfId="2703" xr:uid="{CD3CF388-D1A1-4927-AB43-EC9BD28CA05B}"/>
    <cellStyle name="Style 48 2 3 2 2" xfId="2704" xr:uid="{68447BB7-8581-480F-ADD6-AEDF1DB2926F}"/>
    <cellStyle name="Style 48 2 3 2 2 2" xfId="9765" xr:uid="{3A0D9551-3F12-4676-AE55-2CD284F3D4D4}"/>
    <cellStyle name="Style 48 2 3 2 3" xfId="9766" xr:uid="{C3722042-5070-44F4-8059-909FE7C57E42}"/>
    <cellStyle name="Style 48 2 3 3" xfId="2705" xr:uid="{94312287-1D50-4183-A857-50CC84186EA9}"/>
    <cellStyle name="Style 48 2 3 3 2" xfId="9767" xr:uid="{8443E13B-0EF9-4A90-AEDA-6AC5AE4675FA}"/>
    <cellStyle name="Style 48 2 3 4" xfId="9768" xr:uid="{573653FA-85A6-4074-91A5-B882D15C2111}"/>
    <cellStyle name="Style 48 2 4" xfId="2706" xr:uid="{9C960235-B1C9-466F-96AD-96A38AC1D083}"/>
    <cellStyle name="Style 48 2 4 2" xfId="2707" xr:uid="{44A3F681-730A-402E-822A-93E67E702A94}"/>
    <cellStyle name="Style 48 2 4 2 2" xfId="9769" xr:uid="{DEEBC0B6-3B9D-4870-AFD4-8D37554BA3BB}"/>
    <cellStyle name="Style 48 2 4 3" xfId="9770" xr:uid="{47C2A256-C9EC-4F9E-9237-25FAA3CF54E9}"/>
    <cellStyle name="Style 48 2 5" xfId="2708" xr:uid="{385FC33E-51BC-4457-9D1A-63AAD71C352B}"/>
    <cellStyle name="Style 48 2 5 2" xfId="9771" xr:uid="{A94E4783-7EE5-4968-A606-0A6112FC030C}"/>
    <cellStyle name="Style 48 2 6" xfId="9772" xr:uid="{539DABE4-A3C8-4CFB-9E3A-AE8B206DD24E}"/>
    <cellStyle name="Style 48 3" xfId="2709" xr:uid="{DDC694FD-C308-4B17-9929-31C9FFB82FFA}"/>
    <cellStyle name="Style 48 3 2" xfId="2710" xr:uid="{7C4DED0D-EEA0-4404-AE9D-26A98F0F95B8}"/>
    <cellStyle name="Style 48 3 2 2" xfId="2711" xr:uid="{E9D28772-5ABC-429E-BF6F-A9CB36392C76}"/>
    <cellStyle name="Style 48 3 2 2 2" xfId="2712" xr:uid="{1B6AF226-F44F-49BB-86FD-1EA4B1C61B2B}"/>
    <cellStyle name="Style 48 3 2 2 2 2" xfId="2713" xr:uid="{320131C5-D764-4460-8B97-5EB1D4983AD3}"/>
    <cellStyle name="Style 48 3 2 2 2 2 2" xfId="9773" xr:uid="{3A5AF884-52D6-41A6-B697-DA2EB5644CCA}"/>
    <cellStyle name="Style 48 3 2 2 2 3" xfId="9774" xr:uid="{0723D9D4-504B-4E12-BE06-5B338708F354}"/>
    <cellStyle name="Style 48 3 2 2 3" xfId="2714" xr:uid="{4E9912A2-D98E-4D1C-B382-8162B4DC4A00}"/>
    <cellStyle name="Style 48 3 2 2 3 2" xfId="9775" xr:uid="{D47A3CE4-4F95-4CB8-BE05-BF10E65CA1F6}"/>
    <cellStyle name="Style 48 3 2 2 4" xfId="9776" xr:uid="{3FE723A2-C3B8-4A7D-A4B5-650E39CD46DC}"/>
    <cellStyle name="Style 48 3 2 3" xfId="2715" xr:uid="{333194C8-7A19-4C67-BD51-9244BBEFDE31}"/>
    <cellStyle name="Style 48 3 2 3 2" xfId="2716" xr:uid="{890EA4D1-52B6-43BA-A909-21A1692B45C5}"/>
    <cellStyle name="Style 48 3 2 3 2 2" xfId="9777" xr:uid="{24DDC06A-77B3-4E0F-8415-28CBFE9E2712}"/>
    <cellStyle name="Style 48 3 2 3 3" xfId="9778" xr:uid="{338F9EE5-79D5-41AF-A26B-E0AC492AB8BA}"/>
    <cellStyle name="Style 48 3 2 4" xfId="2717" xr:uid="{3EA020E8-0C17-4878-ACF2-9A38DD00DC65}"/>
    <cellStyle name="Style 48 3 2 4 2" xfId="9779" xr:uid="{46101204-1DFB-4430-A488-DCEC0C0AEDE5}"/>
    <cellStyle name="Style 48 3 2 5" xfId="9780" xr:uid="{CBBE5A03-4049-4B8E-A28E-2183C3511F6C}"/>
    <cellStyle name="Style 48 3 3" xfId="2718" xr:uid="{7280E1B6-1421-4BBF-B9E3-75CB5E9E3B7D}"/>
    <cellStyle name="Style 48 3 3 2" xfId="2719" xr:uid="{1494DB0F-1CEE-4FF5-996B-8FB41A86BD11}"/>
    <cellStyle name="Style 48 3 3 2 2" xfId="2720" xr:uid="{960A8D67-899B-4104-B096-5CFF6A83FEAE}"/>
    <cellStyle name="Style 48 3 3 2 2 2" xfId="2721" xr:uid="{E8E82857-9D11-4728-BB08-AD709A230001}"/>
    <cellStyle name="Style 48 3 3 2 2 2 2" xfId="9781" xr:uid="{CE7BF141-94D8-40DE-BE33-9EF3488517B3}"/>
    <cellStyle name="Style 48 3 3 2 2 3" xfId="9782" xr:uid="{CB53CB55-0ADD-41D9-8A48-A60AB1771478}"/>
    <cellStyle name="Style 48 3 3 2 3" xfId="2722" xr:uid="{2D167896-4E8B-46C7-9B67-D8C6C7DCA0E2}"/>
    <cellStyle name="Style 48 3 3 2 3 2" xfId="9783" xr:uid="{BB45B83D-DA0B-4680-AB45-4FF51D53F858}"/>
    <cellStyle name="Style 48 3 3 2 4" xfId="9784" xr:uid="{3EAA8D8F-9856-4A25-9F49-D7BE0A719B92}"/>
    <cellStyle name="Style 48 3 3 3" xfId="2723" xr:uid="{6AEF6B0A-80F5-43C6-86E4-FFBD3CAB24F9}"/>
    <cellStyle name="Style 48 3 3 3 2" xfId="9785" xr:uid="{B530F7EB-B32E-484D-88C0-F864141BBD79}"/>
    <cellStyle name="Style 48 3 3 4" xfId="6360" xr:uid="{6149C05A-EFDF-4634-97DD-2EA249757F01}"/>
    <cellStyle name="Style 48 3 3 5" xfId="9786" xr:uid="{CE462405-EBFE-4594-A0A8-5F1A5CD05B75}"/>
    <cellStyle name="Style 48 3 4" xfId="2724" xr:uid="{F6FE485A-E771-4EC6-83F4-4C912CB4E652}"/>
    <cellStyle name="Style 48 3 4 2" xfId="2725" xr:uid="{CAF94BEA-5950-4463-9306-37060EDD6E95}"/>
    <cellStyle name="Style 48 3 4 2 2" xfId="9787" xr:uid="{C3707168-F8C9-457D-87F2-7B47FBB7A0EC}"/>
    <cellStyle name="Style 48 3 4 3" xfId="9788" xr:uid="{F3AB8D52-3624-4C7A-8C83-085F6F5EE0CF}"/>
    <cellStyle name="Style 48 3 5" xfId="2726" xr:uid="{51B67C69-E9D9-4B62-80D4-BF123AF0B8E8}"/>
    <cellStyle name="Style 48 3 5 2" xfId="9789" xr:uid="{6E59F3A4-AD31-41B4-88DD-4E5AC87386A2}"/>
    <cellStyle name="Style 48 3 6" xfId="9790" xr:uid="{581A8836-FB3A-410F-932D-F4E7C12CFFA0}"/>
    <cellStyle name="Style 48 4" xfId="2727" xr:uid="{D797ABB9-5C81-4A68-9E46-B9A57D4CC836}"/>
    <cellStyle name="Style 48 4 2" xfId="2728" xr:uid="{B8423A2D-28BA-445C-9C4A-38C59380847D}"/>
    <cellStyle name="Style 48 4 2 2" xfId="2729" xr:uid="{450565DD-9C1E-4610-A2A3-103BBDD23F1B}"/>
    <cellStyle name="Style 48 4 2 2 2" xfId="2730" xr:uid="{649885FA-5FE6-45A9-8977-5FDA099104FA}"/>
    <cellStyle name="Style 48 4 2 2 2 2" xfId="9791" xr:uid="{90DC89AF-776B-4B9C-9F46-42E77F78FB96}"/>
    <cellStyle name="Style 48 4 2 2 3" xfId="9792" xr:uid="{A35ACCFA-2089-4366-B8B2-E8A4BB408FB9}"/>
    <cellStyle name="Style 48 4 2 3" xfId="2731" xr:uid="{9866DD6B-0011-4F3B-9053-8CDC4FC1E7E2}"/>
    <cellStyle name="Style 48 4 2 3 2" xfId="9793" xr:uid="{714132A5-3747-4E12-BFD3-A8DFAABC8B38}"/>
    <cellStyle name="Style 48 4 2 4" xfId="9794" xr:uid="{D311D191-44FB-4CAC-B64B-999310D3344C}"/>
    <cellStyle name="Style 48 4 3" xfId="2732" xr:uid="{CDF42677-6881-41B8-9BA1-DB60BE63A779}"/>
    <cellStyle name="Style 48 4 3 2" xfId="9795" xr:uid="{697040B7-0110-4EEC-A5B3-9F75B4A7E471}"/>
    <cellStyle name="Style 48 4 4" xfId="6361" xr:uid="{AC142E09-AF93-49ED-920D-92973402795D}"/>
    <cellStyle name="Style 48 4 5" xfId="9796" xr:uid="{9F6E5239-B73B-4981-83CB-978E6C5402DC}"/>
    <cellStyle name="Style 48 5" xfId="2733" xr:uid="{5A482B7F-BB90-4D66-9C98-F308F85300BF}"/>
    <cellStyle name="Style 48 5 2" xfId="2734" xr:uid="{02785B6F-FD60-4D96-BC1E-D33BB1C2F604}"/>
    <cellStyle name="Style 48 5 2 2" xfId="9797" xr:uid="{C2A533FB-F5B5-475A-8E8B-E841D947EA7E}"/>
    <cellStyle name="Style 48 5 3" xfId="9798" xr:uid="{AD183FC8-59E1-420A-B40C-A19C849EC276}"/>
    <cellStyle name="Style 48 6" xfId="2735" xr:uid="{F03B4C7B-0FA8-48EA-9165-59D75AC2C343}"/>
    <cellStyle name="Style 48 6 2" xfId="4167" xr:uid="{EA04E047-A097-4FDB-AC8E-31B5CAB12F73}"/>
    <cellStyle name="Style 48 6 2 2" xfId="6362" xr:uid="{8F79F1B6-EA06-4A30-9AAB-7A24E0EF2555}"/>
    <cellStyle name="Style 48 6 3" xfId="9799" xr:uid="{C211F606-4446-48DE-9CA2-FEDDA144DD93}"/>
    <cellStyle name="Style 48 7" xfId="4166" xr:uid="{085110D8-27F1-4963-8137-AB1069F60F8C}"/>
    <cellStyle name="Style 48 7 2" xfId="6364" xr:uid="{239B0062-C593-49BE-874E-D5A5378D5990}"/>
    <cellStyle name="Style 48 7 3" xfId="6363" xr:uid="{2339A8FF-410A-4231-9FBC-8D440E27214E}"/>
    <cellStyle name="Style 48 8" xfId="6365" xr:uid="{DE432753-F73A-40A0-9917-44F4211B1008}"/>
    <cellStyle name="Style 48 9" xfId="9800" xr:uid="{EA9240DE-A5C7-4351-B69D-F58B439DDAE5}"/>
    <cellStyle name="Style 48 9 2" xfId="26651" xr:uid="{8E524061-5554-489F-BB1F-4B40BFDB771E}"/>
    <cellStyle name="Style 48_ADDON" xfId="25795" xr:uid="{C52B429C-6C72-444C-87C0-DF464F73C435}"/>
    <cellStyle name="Style 49" xfId="2736" xr:uid="{CDF1FAFF-0AD5-4620-A969-22A993B64965}"/>
    <cellStyle name="Style 49 10" xfId="23638" xr:uid="{E8AE3143-8366-4A3A-9048-44389279E25A}"/>
    <cellStyle name="Style 49 2" xfId="2737" xr:uid="{AA602388-39EB-4012-8CF9-4DC154159F6E}"/>
    <cellStyle name="Style 49 2 2" xfId="9801" xr:uid="{8B20AA7E-A9B6-4BBE-938D-7B75E6012C35}"/>
    <cellStyle name="Style 49 2 2 2" xfId="28989" xr:uid="{20F37822-D6EE-480D-AF26-21780DD196B6}"/>
    <cellStyle name="Style 49 2 3" xfId="23639" xr:uid="{E1D9C5DC-9C59-4FDE-95A3-DB480750DB50}"/>
    <cellStyle name="Style 49 3" xfId="2738" xr:uid="{2B50BCE5-B80C-443B-BC5C-0A1778422B94}"/>
    <cellStyle name="Style 49 3 2" xfId="2739" xr:uid="{B1262A91-FB4E-4BE2-A37A-70EEFC5A4689}"/>
    <cellStyle name="Style 49 3 2 2" xfId="23641" xr:uid="{CD5C940C-321F-46FA-9D98-188570A5FE28}"/>
    <cellStyle name="Style 49 3 3" xfId="2740" xr:uid="{964081AC-5A31-44A7-A191-ABD941E1B8AF}"/>
    <cellStyle name="Style 49 3 3 2" xfId="2741" xr:uid="{BC5DA2D2-4C3B-47DE-852E-F9BBBCE42912}"/>
    <cellStyle name="Style 49 3 3 2 2" xfId="23643" xr:uid="{01157C20-6E3D-4B45-8C70-A7F2AF370F78}"/>
    <cellStyle name="Style 49 3 3 3" xfId="6366" xr:uid="{11925BE1-F728-4C40-BD62-FB8E302CE07F}"/>
    <cellStyle name="Style 49 3 3 3 2" xfId="23644" xr:uid="{129AF5A6-56F3-4C1A-9973-1F439A53F243}"/>
    <cellStyle name="Style 49 3 3 4" xfId="6367" xr:uid="{C44FF2A5-D429-49EB-8933-DF87AC1AC830}"/>
    <cellStyle name="Style 49 3 3 4 2" xfId="24735" xr:uid="{997B828E-D9F2-4AE7-A2BC-12C1C5103A1F}"/>
    <cellStyle name="Style 49 3 3 5" xfId="23642" xr:uid="{60C8D220-C133-4761-A544-01037DF9B2CF}"/>
    <cellStyle name="Style 49 3 4" xfId="2742" xr:uid="{51078875-1BCA-43B8-9D10-0D645657A81D}"/>
    <cellStyle name="Style 49 3 4 2" xfId="2743" xr:uid="{6DBA545B-23C0-4C96-8378-681BCDADEFAB}"/>
    <cellStyle name="Style 49 3 4 2 2" xfId="23646" xr:uid="{F5B957E4-0F42-4C5C-8BFB-C1198E53B381}"/>
    <cellStyle name="Style 49 3 4 3" xfId="23645" xr:uid="{43298E01-E95B-44AD-969A-7C1A12FD52DC}"/>
    <cellStyle name="Style 49 3 5" xfId="6368" xr:uid="{374DB6CD-FFF7-468C-9AC4-5EB8242489C8}"/>
    <cellStyle name="Style 49 3 5 2" xfId="24736" xr:uid="{B8D042CF-50C1-47F3-9449-A71363E4B6C7}"/>
    <cellStyle name="Style 49 3 6" xfId="23640" xr:uid="{CAD78479-E7BB-4AC2-83E0-EA228779A4A1}"/>
    <cellStyle name="Style 49 4" xfId="2744" xr:uid="{70DC88F5-D937-4B30-AB85-9BB6475C72EB}"/>
    <cellStyle name="Style 49 4 2" xfId="2745" xr:uid="{230EE4E6-2EA8-474C-8780-39D634023571}"/>
    <cellStyle name="Style 49 4 2 2" xfId="23648" xr:uid="{EC3B96F6-03AB-4E2D-9D7A-0A939EE3B875}"/>
    <cellStyle name="Style 49 4 3" xfId="6369" xr:uid="{13CAE112-4D65-4044-87E9-D725B9DD3C18}"/>
    <cellStyle name="Style 49 4 3 2" xfId="23649" xr:uid="{29B52D33-88E9-4D32-ACFF-81869E762389}"/>
    <cellStyle name="Style 49 4 4" xfId="6370" xr:uid="{5900ABD3-CF77-40DE-A3D5-5BBB99EE7733}"/>
    <cellStyle name="Style 49 4 4 2" xfId="24737" xr:uid="{C57557EA-8967-40FB-8F28-9BD8582CA072}"/>
    <cellStyle name="Style 49 4 5" xfId="23647" xr:uid="{56B4249B-951F-487B-BD43-9F411F97CB27}"/>
    <cellStyle name="Style 49 5" xfId="2746" xr:uid="{A64C58BC-CDFF-4B4A-9656-3678859FDA30}"/>
    <cellStyle name="Style 49 5 2" xfId="2747" xr:uid="{FE671315-4EA7-4165-A01C-85ACBE5181D1}"/>
    <cellStyle name="Style 49 5 2 2" xfId="23651" xr:uid="{F89B3B69-2F95-4BF0-BEDD-991C7399DF03}"/>
    <cellStyle name="Style 49 5 3" xfId="23650" xr:uid="{5106A903-B811-412D-978B-E0BEA6C98AB3}"/>
    <cellStyle name="Style 49 6" xfId="2748" xr:uid="{73F2D82A-6CBB-49A5-93C2-5D325BA28C52}"/>
    <cellStyle name="Style 49 6 2" xfId="2749" xr:uid="{DC23C72F-F85F-49F5-A275-94ED5B039CD1}"/>
    <cellStyle name="Style 49 6 2 2" xfId="24738" xr:uid="{3BE1460A-97EA-42B3-89A1-C9895F2CF7DA}"/>
    <cellStyle name="Style 49 6 3" xfId="4169" xr:uid="{578E973A-599B-4C11-8012-FE47ACF29DA5}"/>
    <cellStyle name="Style 49 6 3 2" xfId="28328" xr:uid="{5D1627B4-7CDE-40F5-A674-06870F124443}"/>
    <cellStyle name="Style 49 6 4" xfId="23652" xr:uid="{6D0A463F-A5AF-4591-BD7D-80869670662A}"/>
    <cellStyle name="Style 49 7" xfId="4168" xr:uid="{4CA7D6E0-04C1-45F9-8AA8-F003AF027438}"/>
    <cellStyle name="Style 49 7 2" xfId="6372" xr:uid="{7F24AA06-A3F7-4D65-AD33-EF162BC5FAA8}"/>
    <cellStyle name="Style 49 7 2 2" xfId="24739" xr:uid="{52C929EA-E086-4C53-9312-EB8A9C4030E5}"/>
    <cellStyle name="Style 49 7 3" xfId="6371" xr:uid="{113C4DA4-7DBC-44CC-A867-B993D80847E1}"/>
    <cellStyle name="Style 49 7 3 2" xfId="40725" xr:uid="{9CDAEB46-3799-46C2-9558-9389A2FEE482}"/>
    <cellStyle name="Style 49 7 4" xfId="23653" xr:uid="{47CA493E-7B97-4B8A-8E18-C10E6F467DE8}"/>
    <cellStyle name="Style 49 8" xfId="6373" xr:uid="{F0C1EBD8-DB1B-4DBC-9C73-9BDD0A93B347}"/>
    <cellStyle name="Style 49 8 2" xfId="24740" xr:uid="{2DCC348C-9815-47D7-9A3E-044EE9D05269}"/>
    <cellStyle name="Style 49 9" xfId="9802" xr:uid="{DB77FE25-2F27-4ACF-9413-9EF2BA19118A}"/>
    <cellStyle name="Style 49 9 2" xfId="26652" xr:uid="{9B153050-2A3F-40B5-BCE4-FB66A4DA7A92}"/>
    <cellStyle name="Style 49_ADDON" xfId="25747" xr:uid="{AFE9C106-8F2F-4511-A1C7-FC22C2FBC5D9}"/>
    <cellStyle name="Style 50" xfId="2750" xr:uid="{AB90F49D-902B-4FEA-9580-307D64A17D5A}"/>
    <cellStyle name="Style 50 10" xfId="2751" xr:uid="{E1A6FA8A-9966-4085-A4AA-34BA5B694347}"/>
    <cellStyle name="Style 50 10 2" xfId="2752" xr:uid="{4CAFFFCE-07EF-49FE-AF02-5E5EA4ACE37F}"/>
    <cellStyle name="Style 50 10 2 2" xfId="6374" xr:uid="{9695EED1-0D1D-44CF-A558-859EAF360768}"/>
    <cellStyle name="Style 50 10 2 2 2" xfId="27689" xr:uid="{6841FD77-4326-492E-AA9C-5905298883C5}"/>
    <cellStyle name="Style 50 10 2 3" xfId="24741" xr:uid="{5FFE937E-6ACD-4F73-BCF7-6DB34C8237EF}"/>
    <cellStyle name="Style 50 10 3" xfId="4170" xr:uid="{95484F32-45D8-4A2B-A8C3-A0FD4E03599D}"/>
    <cellStyle name="Style 50 10 3 2" xfId="27688" xr:uid="{A0D127F0-DB0D-4A2E-BA9F-19F63F2202A9}"/>
    <cellStyle name="Style 50 10 4" xfId="23655" xr:uid="{BAF922DD-968A-44B3-81A8-CE1FD07CF365}"/>
    <cellStyle name="Style 50 11" xfId="2753" xr:uid="{EFDAF52B-EEAE-4794-91A7-86CCD16EFD52}"/>
    <cellStyle name="Style 50 11 2" xfId="2754" xr:uid="{FA8858A2-2452-4826-BA08-8EDCAAE42981}"/>
    <cellStyle name="Style 50 11 2 2" xfId="6376" xr:uid="{AB83CBC4-F269-4F7B-91F8-B5F8F013F0BC}"/>
    <cellStyle name="Style 50 11 2 2 2" xfId="27691" xr:uid="{70F42FBA-D9E9-4384-B19A-8AA2DD3ED3BA}"/>
    <cellStyle name="Style 50 11 2 3" xfId="24742" xr:uid="{2F409FE4-B40D-45AD-ADE9-F82636F47D94}"/>
    <cellStyle name="Style 50 11 3" xfId="6375" xr:uid="{DEF75F17-C854-4B50-964B-9AFB01C04D36}"/>
    <cellStyle name="Style 50 11 3 2" xfId="27690" xr:uid="{A6E9090D-594A-4B96-B7C0-AD9FCA2B5861}"/>
    <cellStyle name="Style 50 11 4" xfId="23656" xr:uid="{31D7B060-BF63-4BD8-B36E-BDEDD5600FFA}"/>
    <cellStyle name="Style 50 12" xfId="2755" xr:uid="{FC76F485-210A-4FE7-A46D-2009891BA18C}"/>
    <cellStyle name="Style 50 12 2" xfId="6377" xr:uid="{36EB4DB4-05DA-4360-BB68-D0DDA779274A}"/>
    <cellStyle name="Style 50 12 2 2" xfId="27692" xr:uid="{5473482C-B822-4D3D-B57D-F60E801AE295}"/>
    <cellStyle name="Style 50 12 3" xfId="9803" xr:uid="{DC51AF93-A911-4CBC-B6FA-4673540BD838}"/>
    <cellStyle name="Style 50 12 3 2" xfId="28990" xr:uid="{8B751163-1296-4318-B412-69893EB58962}"/>
    <cellStyle name="Style 50 12 4" xfId="9804" xr:uid="{1D5B0DEF-6E83-4A29-8E07-8D93B86E8744}"/>
    <cellStyle name="Style 50 12 4 2" xfId="28991" xr:uid="{CC37F5E9-E0F3-4CCF-BB04-AACE5097094F}"/>
    <cellStyle name="Style 50 12 5" xfId="9805" xr:uid="{2304A9E0-BF31-456A-B0C1-146F97BFD706}"/>
    <cellStyle name="Style 50 12 5 2" xfId="28992" xr:uid="{6BA0FEE3-D85D-4BF6-892C-10268F06E615}"/>
    <cellStyle name="Style 50 12 6" xfId="9806" xr:uid="{D690C895-E766-4DA2-B96D-8C5879522909}"/>
    <cellStyle name="Style 50 12 6 2" xfId="28993" xr:uid="{8CEE6054-0C8D-4E2C-B50D-D89A317077F5}"/>
    <cellStyle name="Style 50 12 7" xfId="24743" xr:uid="{6E7C3B6C-2539-4535-B4BD-819D064A79B1}"/>
    <cellStyle name="Style 50 13" xfId="9807" xr:uid="{9D1E7BCA-345D-4234-AE7F-A045F544C48E}"/>
    <cellStyle name="Style 50 13 2" xfId="9808" xr:uid="{AE26C1F5-A708-452C-81EB-F75913D7A820}"/>
    <cellStyle name="Style 50 13 2 2" xfId="28994" xr:uid="{8EB19EEC-F045-4B7A-ACE9-251D6A4C0BF5}"/>
    <cellStyle name="Style 50 13 3" xfId="9809" xr:uid="{AEC17B70-F68F-41C2-8C34-1762FD239E57}"/>
    <cellStyle name="Style 50 13 3 2" xfId="28995" xr:uid="{DC8C10A0-CE2D-41E8-9A5D-618B632F7794}"/>
    <cellStyle name="Style 50 13 4" xfId="26653" xr:uid="{DE662586-53D5-4B4E-9C35-5C9B51564DD3}"/>
    <cellStyle name="Style 50 14" xfId="9810" xr:uid="{982175E2-C56D-4828-884C-A0C62347CBAB}"/>
    <cellStyle name="Style 50 14 2" xfId="9811" xr:uid="{467EAD12-B334-4442-BFF3-FE85402B4C7D}"/>
    <cellStyle name="Style 50 14 2 2" xfId="28997" xr:uid="{44903D18-3FC5-425E-B3B7-0A9F9DF2A7CD}"/>
    <cellStyle name="Style 50 14 3" xfId="28996" xr:uid="{BF79F353-F3A6-4DE9-9264-8B75EDC909D4}"/>
    <cellStyle name="Style 50 15" xfId="9812" xr:uid="{6414276A-A527-440B-84CA-80398D391258}"/>
    <cellStyle name="Style 50 15 2" xfId="9813" xr:uid="{ED9842E7-7A16-4011-85F4-8190E002FE4E}"/>
    <cellStyle name="Style 50 15 2 2" xfId="28999" xr:uid="{0212E537-5048-4ABE-B476-9A01C7C78E50}"/>
    <cellStyle name="Style 50 15 3" xfId="28998" xr:uid="{BDB616AA-98B8-453C-B0C2-D08E84F5BAF1}"/>
    <cellStyle name="Style 50 16" xfId="23654" xr:uid="{6FAD10BF-DA92-475D-BE4D-C3055D27193C}"/>
    <cellStyle name="Style 50 2" xfId="2756" xr:uid="{D22980AC-9C62-4741-BA31-38FD604223BC}"/>
    <cellStyle name="Style 50 2 2" xfId="4410" xr:uid="{87078A1B-5049-4BF5-9150-DC8490CE2D20}"/>
    <cellStyle name="Style 50 2 2 2" xfId="26654" xr:uid="{783B600D-9F8A-4BC6-A8D5-DBAB046D650A}"/>
    <cellStyle name="Style 50 2 3" xfId="23657" xr:uid="{F8718893-4B8C-4940-BDA1-ED95CCED3B75}"/>
    <cellStyle name="Style 50 3" xfId="2757" xr:uid="{5672BDC0-772F-455A-92A5-848DA163FA34}"/>
    <cellStyle name="Style 50 3 2" xfId="2758" xr:uid="{5BD4ED15-B5B1-4A5B-8317-1B0415F3C6D0}"/>
    <cellStyle name="Style 50 3 2 2" xfId="2759" xr:uid="{133E3A40-B365-4BFA-B9AA-DB87AE0B0DD1}"/>
    <cellStyle name="Style 50 3 2 2 2" xfId="6378" xr:uid="{C7E1423B-45D4-4D4C-9ABB-F6017A870E7C}"/>
    <cellStyle name="Style 50 3 2 2 2 2" xfId="27693" xr:uid="{CD3BC41E-6B9B-4F7A-AD58-170897408E1F}"/>
    <cellStyle name="Style 50 3 2 2 3" xfId="23660" xr:uid="{E5EEE436-D42A-490B-9321-09D9517CADBA}"/>
    <cellStyle name="Style 50 3 2 3" xfId="4412" xr:uid="{1EAC41BF-A377-4062-9600-63194641B616}"/>
    <cellStyle name="Style 50 3 2 3 2" xfId="26656" xr:uid="{3C0B58E5-A0D0-4E2C-B699-033341931721}"/>
    <cellStyle name="Style 50 3 2 4" xfId="23659" xr:uid="{97BFC32C-2F37-4D1C-8CAF-090424D0252D}"/>
    <cellStyle name="Style 50 3 3" xfId="2760" xr:uid="{77F223CE-CEBA-438A-AB81-A9A0BB2ADCF6}"/>
    <cellStyle name="Style 50 3 3 2" xfId="2761" xr:uid="{8983D2C0-E35A-4994-8DD8-12E89E36DDCB}"/>
    <cellStyle name="Style 50 3 3 2 2" xfId="6380" xr:uid="{E2DD321A-791A-4BDC-9CE9-05C112E8D3EF}"/>
    <cellStyle name="Style 50 3 3 2 2 2" xfId="27695" xr:uid="{53AA658B-A8E5-4A28-9F54-36A3A0AFA77F}"/>
    <cellStyle name="Style 50 3 3 2 3" xfId="23662" xr:uid="{295F3024-C95D-46E0-B42B-B1442D759CC3}"/>
    <cellStyle name="Style 50 3 3 3" xfId="2762" xr:uid="{ABAD71E9-0814-41B1-B7A8-6F247CA384D8}"/>
    <cellStyle name="Style 50 3 3 3 2" xfId="2763" xr:uid="{15CDCD78-C2CD-48EF-B123-44CEA795C492}"/>
    <cellStyle name="Style 50 3 3 3 2 2" xfId="6382" xr:uid="{54C1DAE7-ED08-4BBE-9476-EF940CB0A7A5}"/>
    <cellStyle name="Style 50 3 3 3 2 2 2" xfId="27697" xr:uid="{C89C90DC-2A17-4AB7-8644-7B4B28BB395A}"/>
    <cellStyle name="Style 50 3 3 3 2 3" xfId="23664" xr:uid="{7FDAB9EC-A821-41D7-84BB-7AFE01CEC205}"/>
    <cellStyle name="Style 50 3 3 3 3" xfId="6383" xr:uid="{43BCBE55-F0A8-410F-A6F7-B21CEB7A0914}"/>
    <cellStyle name="Style 50 3 3 3 3 2" xfId="23665" xr:uid="{F0BD0F2A-34BA-4AD6-BB4F-A50D0B342EC7}"/>
    <cellStyle name="Style 50 3 3 3 4" xfId="6384" xr:uid="{0CD54FAC-1537-4F14-A415-97B59112FC50}"/>
    <cellStyle name="Style 50 3 3 3 4 2" xfId="24744" xr:uid="{76BB5A61-3959-4809-A220-DAFE5BBB6243}"/>
    <cellStyle name="Style 50 3 3 3 5" xfId="6381" xr:uid="{AE0139B1-C3EE-47A2-8FEE-BA7BA2FF995F}"/>
    <cellStyle name="Style 50 3 3 3 5 2" xfId="27696" xr:uid="{ED963019-D43D-45EE-961B-1A80E288C987}"/>
    <cellStyle name="Style 50 3 3 3 6" xfId="23663" xr:uid="{D9ED700D-D70B-4043-9B78-9C0175FFF368}"/>
    <cellStyle name="Style 50 3 3 4" xfId="2764" xr:uid="{845106D6-CD78-43A6-9880-31D9E69DD47A}"/>
    <cellStyle name="Style 50 3 3 4 2" xfId="2765" xr:uid="{C92AFEBA-098E-48C8-B9FC-A85EC277FA29}"/>
    <cellStyle name="Style 50 3 3 4 2 2" xfId="6386" xr:uid="{C39E537B-0779-47C3-9A26-B4F9F0E59E9F}"/>
    <cellStyle name="Style 50 3 3 4 2 2 2" xfId="27699" xr:uid="{B32B6E6D-C666-4CA9-A5C6-9FCD9318C0E3}"/>
    <cellStyle name="Style 50 3 3 4 2 3" xfId="23667" xr:uid="{3E03AAA3-94BC-41DA-9E51-94F9633167AF}"/>
    <cellStyle name="Style 50 3 3 4 3" xfId="6385" xr:uid="{C7D977AD-4C07-4996-80A1-A3896CE49471}"/>
    <cellStyle name="Style 50 3 3 4 3 2" xfId="27698" xr:uid="{175072A5-5AF5-4CD6-BE5E-B39FFD85234F}"/>
    <cellStyle name="Style 50 3 3 4 4" xfId="23666" xr:uid="{79542DD2-318F-44CB-991A-DF4B047EE5CB}"/>
    <cellStyle name="Style 50 3 3 5" xfId="6387" xr:uid="{74BF75CD-5E4B-4E90-9FCE-738317C5D525}"/>
    <cellStyle name="Style 50 3 3 5 2" xfId="24745" xr:uid="{28469449-5658-4C77-8E21-4560E1ADD0A7}"/>
    <cellStyle name="Style 50 3 3 6" xfId="6379" xr:uid="{A2938A21-9453-47DA-97AB-9694B63C8BAC}"/>
    <cellStyle name="Style 50 3 3 6 2" xfId="27694" xr:uid="{977CF1A2-1AAD-4AF0-92F6-0F03D1D9AF29}"/>
    <cellStyle name="Style 50 3 3 7" xfId="23661" xr:uid="{322F1CCE-480C-4F6A-B4C6-A5CBB02A81C6}"/>
    <cellStyle name="Style 50 3 4" xfId="2766" xr:uid="{8542BC11-6DB5-4C3C-9E91-689C120A32CF}"/>
    <cellStyle name="Style 50 3 4 2" xfId="6389" xr:uid="{CCF744B5-80B4-4FE2-8DAF-26AA07B8A501}"/>
    <cellStyle name="Style 50 3 4 2 2" xfId="23669" xr:uid="{B2DD40FC-F676-481F-B54E-F3F8FB4FEDEF}"/>
    <cellStyle name="Style 50 3 4 3" xfId="6390" xr:uid="{D2872ADF-027C-469C-B4A9-5366C021DD92}"/>
    <cellStyle name="Style 50 3 4 3 2" xfId="24746" xr:uid="{EBA04202-7FCB-4C4C-91AF-6E8165868C17}"/>
    <cellStyle name="Style 50 3 4 4" xfId="6388" xr:uid="{07282D67-955E-4C0E-A423-8139FA3C2521}"/>
    <cellStyle name="Style 50 3 4 4 2" xfId="27700" xr:uid="{77E49586-FFE7-47D6-802E-14781D7FF50E}"/>
    <cellStyle name="Style 50 3 4 5" xfId="23668" xr:uid="{1DC5F4F3-4DA3-4C10-8871-BE875B4EB5BC}"/>
    <cellStyle name="Style 50 3 5" xfId="6391" xr:uid="{77470330-D695-4887-A693-7EB7AF260937}"/>
    <cellStyle name="Style 50 3 5 2" xfId="9814" xr:uid="{6B593E97-13C4-42E6-8640-EFEC01EAAB05}"/>
    <cellStyle name="Style 50 3 5 2 2" xfId="27701" xr:uid="{54EAE621-52F4-4908-A14D-03BEC85C48EF}"/>
    <cellStyle name="Style 50 3 5 3" xfId="23670" xr:uid="{739C5A40-6549-40C7-8A36-A72AF03CB80E}"/>
    <cellStyle name="Style 50 3 6" xfId="4411" xr:uid="{40426F8D-C359-4D4C-9828-9A673FCA61D9}"/>
    <cellStyle name="Style 50 3 6 2" xfId="26655" xr:uid="{5A69FC80-06EB-47B9-BA2C-1664D7C79E02}"/>
    <cellStyle name="Style 50 3 7" xfId="23658" xr:uid="{02558A59-821A-4C53-98F8-FDA13B42542C}"/>
    <cellStyle name="Style 50 4" xfId="2767" xr:uid="{5DE23863-CB21-4034-9589-2DA18E9C2DF7}"/>
    <cellStyle name="Style 50 4 2" xfId="2768" xr:uid="{D97FE8AC-553C-4BFC-AFC7-32768F30753D}"/>
    <cellStyle name="Style 50 4 2 2" xfId="2769" xr:uid="{8D148670-743A-4A47-81D4-899391DD3939}"/>
    <cellStyle name="Style 50 4 2 2 2" xfId="6394" xr:uid="{9D664062-1822-42EB-99B7-4B09EDE1BB63}"/>
    <cellStyle name="Style 50 4 2 2 2 2" xfId="27703" xr:uid="{F786F105-CF06-4248-BF91-4BC31B4C7327}"/>
    <cellStyle name="Style 50 4 2 2 3" xfId="23673" xr:uid="{2B439F98-8971-41EC-AADC-45EB022117F3}"/>
    <cellStyle name="Style 50 4 2 3" xfId="2770" xr:uid="{863B99B7-D52F-4485-A9BD-2F63687E855D}"/>
    <cellStyle name="Style 50 4 2 3 2" xfId="2771" xr:uid="{D4B45E45-CB38-4FBB-8B03-778BEFC7C174}"/>
    <cellStyle name="Style 50 4 2 3 2 2" xfId="6396" xr:uid="{163B0797-7E6A-40C5-83FF-B97BC0FEA3D9}"/>
    <cellStyle name="Style 50 4 2 3 2 2 2" xfId="27705" xr:uid="{2FCDA008-CDB5-42BF-96B4-05A1AA6ADF3F}"/>
    <cellStyle name="Style 50 4 2 3 2 3" xfId="23675" xr:uid="{041B9AC1-D827-49E4-87E3-594587180E4E}"/>
    <cellStyle name="Style 50 4 2 3 3" xfId="6397" xr:uid="{79FC99F1-8392-48EF-B953-46B3E838C9EB}"/>
    <cellStyle name="Style 50 4 2 3 3 2" xfId="23676" xr:uid="{88F0DA96-96AD-4FF3-BEE7-FAAA4859228F}"/>
    <cellStyle name="Style 50 4 2 3 4" xfId="6398" xr:uid="{5DC206D5-1A8E-4B38-ABD5-680FC431BC2A}"/>
    <cellStyle name="Style 50 4 2 3 4 2" xfId="24747" xr:uid="{05B297D6-4C70-448B-A7A7-B8B3458CAD9F}"/>
    <cellStyle name="Style 50 4 2 3 5" xfId="6395" xr:uid="{459447E4-65E2-4A9E-B6BB-C261BCD52850}"/>
    <cellStyle name="Style 50 4 2 3 5 2" xfId="27704" xr:uid="{801DBA7A-0801-4ACF-9DFF-8980D9A2A740}"/>
    <cellStyle name="Style 50 4 2 3 6" xfId="23674" xr:uid="{2B097B34-2B4B-49E9-9799-B12688AFB204}"/>
    <cellStyle name="Style 50 4 2 4" xfId="2772" xr:uid="{9CB95567-B0CA-42F1-A887-751B78B48A39}"/>
    <cellStyle name="Style 50 4 2 4 2" xfId="2773" xr:uid="{1A6691D4-A9E8-4AF3-9870-3A7E767DC520}"/>
    <cellStyle name="Style 50 4 2 4 2 2" xfId="6400" xr:uid="{F1BB9361-C129-4715-9FD5-3E8FEB5233A5}"/>
    <cellStyle name="Style 50 4 2 4 2 2 2" xfId="27707" xr:uid="{6A905464-1E3E-4516-AD1F-9116DFF76093}"/>
    <cellStyle name="Style 50 4 2 4 2 3" xfId="23678" xr:uid="{B347742B-A620-4A82-A4F6-93AB10F48283}"/>
    <cellStyle name="Style 50 4 2 4 3" xfId="6399" xr:uid="{8978EDB9-865C-4E08-8DC4-F285F367F187}"/>
    <cellStyle name="Style 50 4 2 4 3 2" xfId="27706" xr:uid="{11C6A3F8-26FF-4D67-BB23-608D98519C7A}"/>
    <cellStyle name="Style 50 4 2 4 4" xfId="23677" xr:uid="{7FE18F29-3A4E-433B-BECB-D81275E6553F}"/>
    <cellStyle name="Style 50 4 2 5" xfId="6401" xr:uid="{7F161CD8-81BF-47F2-970F-3FBB9BD409FB}"/>
    <cellStyle name="Style 50 4 2 5 2" xfId="24748" xr:uid="{D70E586B-1BD1-4BC0-B59F-42A7FBFB6978}"/>
    <cellStyle name="Style 50 4 2 6" xfId="6393" xr:uid="{98238276-F994-47DF-AD98-DE3F5278A005}"/>
    <cellStyle name="Style 50 4 2 6 2" xfId="27702" xr:uid="{224AA611-0377-4D17-B774-A36D3BD4ED3E}"/>
    <cellStyle name="Style 50 4 2 7" xfId="23672" xr:uid="{2CA79E89-AC77-4893-8EE5-BC32E38F9881}"/>
    <cellStyle name="Style 50 4 3" xfId="2774" xr:uid="{C95ED884-2453-4BED-A280-0E7117867691}"/>
    <cellStyle name="Style 50 4 3 2" xfId="6402" xr:uid="{05476DE2-0C89-4212-9BF1-79D912F85EB9}"/>
    <cellStyle name="Style 50 4 3 2 2" xfId="27708" xr:uid="{C913D0FA-098D-4302-92AB-AC226D2421EF}"/>
    <cellStyle name="Style 50 4 3 3" xfId="23679" xr:uid="{A5839CC0-A4C0-4A95-B272-9461CBF43138}"/>
    <cellStyle name="Style 50 4 4" xfId="6403" xr:uid="{AC8E6E07-8242-4062-8A3A-DCE22515250A}"/>
    <cellStyle name="Style 50 4 4 2" xfId="6404" xr:uid="{CEE29AB7-152C-4174-960C-C00516B2CA09}"/>
    <cellStyle name="Style 50 4 4 2 2" xfId="24749" xr:uid="{A00C313D-83A6-46C3-90C6-431417D27C6B}"/>
    <cellStyle name="Style 50 4 4 3" xfId="23680" xr:uid="{7CD3AF86-7319-43C3-9A74-CECC559D5677}"/>
    <cellStyle name="Style 50 4 5" xfId="6392" xr:uid="{ED43360C-B500-40F6-BCD2-E00C6D7948D9}"/>
    <cellStyle name="Style 50 4 5 2" xfId="25949" xr:uid="{C6E98471-6AD0-4453-B0DB-08BA44547838}"/>
    <cellStyle name="Style 50 4 6" xfId="4413" xr:uid="{495E667A-BA62-423B-87A0-0346CCD9EBFE}"/>
    <cellStyle name="Style 50 4 6 2" xfId="26657" xr:uid="{A9F2EC80-8116-4363-B977-3D153668BEE2}"/>
    <cellStyle name="Style 50 4 7" xfId="23671" xr:uid="{8A83417F-99D9-4E77-BD0D-BE5608369A3C}"/>
    <cellStyle name="Style 50 5" xfId="2775" xr:uid="{07A6778B-AA56-4D88-97D8-7DC47023D5C5}"/>
    <cellStyle name="Style 50 5 2" xfId="2776" xr:uid="{EF7396DD-BEBF-4137-A4A2-AE30FFD13AFF}"/>
    <cellStyle name="Style 50 5 2 2" xfId="2777" xr:uid="{1606F66F-7150-4A3D-9E91-4861D7B524F4}"/>
    <cellStyle name="Style 50 5 2 2 2" xfId="6407" xr:uid="{D2343DBD-2D72-4EF9-91BE-2953A02910BD}"/>
    <cellStyle name="Style 50 5 2 2 2 2" xfId="27710" xr:uid="{175C8E5F-AFAA-4EFA-85E6-716BD25E778B}"/>
    <cellStyle name="Style 50 5 2 2 3" xfId="23683" xr:uid="{63A7331E-6076-47E8-A7B4-AA710FDD9423}"/>
    <cellStyle name="Style 50 5 2 3" xfId="2778" xr:uid="{CB3716F3-FB6F-4190-8F7D-18B6C4910FA7}"/>
    <cellStyle name="Style 50 5 2 3 2" xfId="2779" xr:uid="{F17F95A2-C3D7-4C88-8FF2-91E2CFD54611}"/>
    <cellStyle name="Style 50 5 2 3 2 2" xfId="6409" xr:uid="{38B7F427-D8E4-49FE-ABB9-2CCE2F63DF48}"/>
    <cellStyle name="Style 50 5 2 3 2 2 2" xfId="27712" xr:uid="{073E4D95-140A-42B2-B4B2-07DA4737F20A}"/>
    <cellStyle name="Style 50 5 2 3 2 3" xfId="23685" xr:uid="{82150A4E-6E7A-43C7-9C66-49627510A5CE}"/>
    <cellStyle name="Style 50 5 2 3 3" xfId="6410" xr:uid="{6650B6F7-E4E8-4DED-94DA-DE7A5CC575D8}"/>
    <cellStyle name="Style 50 5 2 3 3 2" xfId="23686" xr:uid="{A8980C49-F3BD-4680-9573-CD57A8CDB701}"/>
    <cellStyle name="Style 50 5 2 3 4" xfId="6411" xr:uid="{40108880-9EA8-4D62-BBB6-C3201821F3F6}"/>
    <cellStyle name="Style 50 5 2 3 4 2" xfId="24750" xr:uid="{157AB654-0A85-487E-8B1B-FA2045B20D92}"/>
    <cellStyle name="Style 50 5 2 3 5" xfId="6408" xr:uid="{D13127BA-2329-4114-86CA-987D7F0BFDB8}"/>
    <cellStyle name="Style 50 5 2 3 5 2" xfId="27711" xr:uid="{27AB986F-AB22-4270-9945-3D714FEA58EA}"/>
    <cellStyle name="Style 50 5 2 3 6" xfId="23684" xr:uid="{BE683278-7177-4F55-A370-61D71CCC6939}"/>
    <cellStyle name="Style 50 5 2 4" xfId="2780" xr:uid="{669B51F1-96E8-4F9E-A397-B6AFE531F8A8}"/>
    <cellStyle name="Style 50 5 2 4 2" xfId="2781" xr:uid="{B806BAEC-8F7E-455D-BAD0-698B24864016}"/>
    <cellStyle name="Style 50 5 2 4 2 2" xfId="6413" xr:uid="{E0685D87-9772-4776-97CF-F012E533CE79}"/>
    <cellStyle name="Style 50 5 2 4 2 2 2" xfId="27714" xr:uid="{C629A057-3FDD-4FB2-93FF-AAA7C6152A00}"/>
    <cellStyle name="Style 50 5 2 4 2 3" xfId="23688" xr:uid="{C98D85EF-219B-4847-AD7F-4BA6D5F10D96}"/>
    <cellStyle name="Style 50 5 2 4 3" xfId="6412" xr:uid="{6ED14974-7AF9-41DE-B82C-728189E4DC0A}"/>
    <cellStyle name="Style 50 5 2 4 3 2" xfId="27713" xr:uid="{CF523BBD-47F8-4878-8198-304AED70EAE2}"/>
    <cellStyle name="Style 50 5 2 4 4" xfId="23687" xr:uid="{80F5B85E-B879-4C5A-A7FB-04F3CC89B252}"/>
    <cellStyle name="Style 50 5 2 5" xfId="6414" xr:uid="{39E15AE2-F4CC-47D4-A982-3BC301288709}"/>
    <cellStyle name="Style 50 5 2 5 2" xfId="24751" xr:uid="{E29D8ACC-955D-4808-9F74-66F3B2020C37}"/>
    <cellStyle name="Style 50 5 2 6" xfId="6406" xr:uid="{90C32698-8266-4745-9B88-F8823E3D67D9}"/>
    <cellStyle name="Style 50 5 2 6 2" xfId="27709" xr:uid="{C011E3BE-117F-4ADD-9ED9-81B45C780E3B}"/>
    <cellStyle name="Style 50 5 2 7" xfId="23682" xr:uid="{6A0048FC-9338-4D72-913D-C5103F8798BB}"/>
    <cellStyle name="Style 50 5 3" xfId="2782" xr:uid="{9AB2B6C0-DAD1-4EB8-864F-539603BDA3F2}"/>
    <cellStyle name="Style 50 5 3 2" xfId="6415" xr:uid="{DE12CA47-0617-446A-A660-9B66DDB7FA18}"/>
    <cellStyle name="Style 50 5 3 2 2" xfId="27715" xr:uid="{AC4E2094-7A0E-450D-9A55-4F54BB71F379}"/>
    <cellStyle name="Style 50 5 3 3" xfId="23689" xr:uid="{6ED3E459-795D-4058-9375-B35B9DB5033B}"/>
    <cellStyle name="Style 50 5 4" xfId="6416" xr:uid="{3ACAB8B1-6F20-47E4-A3A8-2D09537D875A}"/>
    <cellStyle name="Style 50 5 4 2" xfId="6417" xr:uid="{A4C6C43F-6993-47BE-818B-18F8438FA98E}"/>
    <cellStyle name="Style 50 5 4 2 2" xfId="24752" xr:uid="{0435EF41-CBC1-4C42-B949-3CC3E730AD57}"/>
    <cellStyle name="Style 50 5 4 3" xfId="23690" xr:uid="{BFE3D9DE-C924-41C1-AC9C-EE499471807D}"/>
    <cellStyle name="Style 50 5 5" xfId="6405" xr:uid="{4C7D1EC5-2B0C-4DB3-9EF7-40F1E78AE0B8}"/>
    <cellStyle name="Style 50 5 5 2" xfId="25950" xr:uid="{6A71AB0B-5A27-4304-84F7-DE7FF07A7CE9}"/>
    <cellStyle name="Style 50 5 6" xfId="4414" xr:uid="{F1B17007-E639-4853-A7AD-853DBD7D436B}"/>
    <cellStyle name="Style 50 5 6 2" xfId="26658" xr:uid="{C0932566-0775-4B6F-8896-717A35D6FE6C}"/>
    <cellStyle name="Style 50 5 7" xfId="23681" xr:uid="{C561880C-E3D9-450B-B149-8BCF3F57C1D0}"/>
    <cellStyle name="Style 50 6" xfId="2783" xr:uid="{FBCABAF5-7C2B-4873-AA88-A208BF1F5FFE}"/>
    <cellStyle name="Style 50 6 2" xfId="2784" xr:uid="{E462CB3E-1E3C-4EAC-B862-DE8CA7F2342F}"/>
    <cellStyle name="Style 50 6 2 2" xfId="6419" xr:uid="{7781C30B-7146-4141-AC11-C3BCA3C27D34}"/>
    <cellStyle name="Style 50 6 2 2 2" xfId="27717" xr:uid="{CD85A763-E3DC-4B17-8DDB-8CA23EB570A9}"/>
    <cellStyle name="Style 50 6 2 3" xfId="23692" xr:uid="{82A6438E-DDD5-435D-ADED-B700232464F5}"/>
    <cellStyle name="Style 50 6 3" xfId="2785" xr:uid="{06D11169-43CE-4309-85FC-9AF8FF35789A}"/>
    <cellStyle name="Style 50 6 3 2" xfId="2786" xr:uid="{EF1EAA94-A6AF-4A80-8674-A954A188B47F}"/>
    <cellStyle name="Style 50 6 3 2 2" xfId="6421" xr:uid="{28330D1A-8BFE-4CF2-BCA0-73BBA7E1B1AB}"/>
    <cellStyle name="Style 50 6 3 2 2 2" xfId="27719" xr:uid="{29EAC6AF-D360-4CEA-A0B0-CB6D22D0B64E}"/>
    <cellStyle name="Style 50 6 3 2 3" xfId="23694" xr:uid="{99C8FD0F-3BD1-4DBE-9685-73F947658901}"/>
    <cellStyle name="Style 50 6 3 3" xfId="6422" xr:uid="{965CBC8A-A419-4F64-92AD-DB56E29AB0FA}"/>
    <cellStyle name="Style 50 6 3 3 2" xfId="23695" xr:uid="{33A640B6-BDF0-4DC8-878D-F85F5D338345}"/>
    <cellStyle name="Style 50 6 3 4" xfId="6423" xr:uid="{D8DECF9E-6297-4624-AD14-98A88A85CB18}"/>
    <cellStyle name="Style 50 6 3 4 2" xfId="24753" xr:uid="{3B540210-AE75-4B3A-8BE6-52641054F260}"/>
    <cellStyle name="Style 50 6 3 5" xfId="6420" xr:uid="{C4C5A71F-85B9-4F34-A591-CABF9498C67F}"/>
    <cellStyle name="Style 50 6 3 5 2" xfId="27718" xr:uid="{A7E2231E-B093-4408-B682-1A97D5D35C51}"/>
    <cellStyle name="Style 50 6 3 6" xfId="23693" xr:uid="{D20A756F-FFEE-47C7-ADC3-41E03001318D}"/>
    <cellStyle name="Style 50 6 4" xfId="2787" xr:uid="{3B8E4771-B421-4EEA-A60A-11083DF443DB}"/>
    <cellStyle name="Style 50 6 4 2" xfId="2788" xr:uid="{D4E7D3B3-029D-4B79-97EB-B43FC7C8B99A}"/>
    <cellStyle name="Style 50 6 4 2 2" xfId="6425" xr:uid="{0A74DBE0-10FE-4DA2-A6AF-FD4E4B782F18}"/>
    <cellStyle name="Style 50 6 4 2 2 2" xfId="27721" xr:uid="{027A2C1D-4976-4C19-9E72-9D0008A3B679}"/>
    <cellStyle name="Style 50 6 4 2 3" xfId="23697" xr:uid="{8D65A948-4C31-42B7-B331-E08148026C8F}"/>
    <cellStyle name="Style 50 6 4 3" xfId="6424" xr:uid="{5B0EFD9C-1CDE-4346-AA4F-9729D69A989F}"/>
    <cellStyle name="Style 50 6 4 3 2" xfId="27720" xr:uid="{8FF9744B-09FB-4BFA-8F78-F45A3AFF4C17}"/>
    <cellStyle name="Style 50 6 4 4" xfId="23696" xr:uid="{929FC576-D1EB-4139-AA4D-A6D613913503}"/>
    <cellStyle name="Style 50 6 5" xfId="6426" xr:uid="{E5B1CA7D-AD51-41C5-A9C2-9EE8EAB24235}"/>
    <cellStyle name="Style 50 6 5 2" xfId="24754" xr:uid="{A8284F59-18D7-487C-99F3-A64791CFFFA6}"/>
    <cellStyle name="Style 50 6 6" xfId="6418" xr:uid="{3B4AE2EE-2BDB-4B43-8330-D982B4009812}"/>
    <cellStyle name="Style 50 6 6 2" xfId="27716" xr:uid="{BEC78147-09D1-4E1E-B88A-15D3704A1335}"/>
    <cellStyle name="Style 50 6 7" xfId="23691" xr:uid="{D02B696B-B750-436F-9957-5A17775B3F92}"/>
    <cellStyle name="Style 50 7" xfId="2789" xr:uid="{C0D0DBF7-63A5-4D63-9DC3-03659ADEBED1}"/>
    <cellStyle name="Style 50 7 2" xfId="2790" xr:uid="{F9C93874-5F7C-4645-BB27-6F04F527933D}"/>
    <cellStyle name="Style 50 7 2 2" xfId="6428" xr:uid="{1BA6A3F8-6CFF-4112-B772-9EB9ADBDEEFC}"/>
    <cellStyle name="Style 50 7 2 2 2" xfId="27723" xr:uid="{2B062E4E-E1B0-42C3-A1A3-7DF793C70EE0}"/>
    <cellStyle name="Style 50 7 2 3" xfId="23699" xr:uid="{87375852-2478-4687-9112-91BBC2B5FD79}"/>
    <cellStyle name="Style 50 7 3" xfId="6429" xr:uid="{514ABFE6-3549-4D72-B45C-CB9CAD0E029C}"/>
    <cellStyle name="Style 50 7 3 2" xfId="23700" xr:uid="{3546A958-75A5-4675-8853-541FBC0A861E}"/>
    <cellStyle name="Style 50 7 4" xfId="6430" xr:uid="{6712A762-ACC8-4546-9DFA-317B89EC71BC}"/>
    <cellStyle name="Style 50 7 4 2" xfId="24755" xr:uid="{56693175-F062-4F21-9D23-16DA33CB3B98}"/>
    <cellStyle name="Style 50 7 5" xfId="6427" xr:uid="{5C3F7BB6-21C7-40EE-B1D3-1C3CF299D63B}"/>
    <cellStyle name="Style 50 7 5 2" xfId="27722" xr:uid="{0F96DFB9-9CE7-4955-8CAA-44D3BE2A7737}"/>
    <cellStyle name="Style 50 7 6" xfId="23698" xr:uid="{C2F12523-F7C0-4A44-9777-EAF87D333AD5}"/>
    <cellStyle name="Style 50 8" xfId="2791" xr:uid="{A2B6A410-2A89-4F61-886C-4780BF29B633}"/>
    <cellStyle name="Style 50 8 2" xfId="2792" xr:uid="{28E97B51-2900-4BB3-91CF-A2DE0FA31151}"/>
    <cellStyle name="Style 50 8 2 2" xfId="6432" xr:uid="{DEC95BCA-34AD-4984-92F0-2A1B9DDA5BA0}"/>
    <cellStyle name="Style 50 8 2 2 2" xfId="27725" xr:uid="{866BBE07-2FF7-48C3-8E90-D90A019C1E67}"/>
    <cellStyle name="Style 50 8 2 3" xfId="23702" xr:uid="{1D082843-A1C0-40FD-B323-E167C05CAB35}"/>
    <cellStyle name="Style 50 8 3" xfId="6433" xr:uid="{29C7DA07-66FE-42E1-A825-87B1E1D5BD01}"/>
    <cellStyle name="Style 50 8 3 2" xfId="23703" xr:uid="{FDB55890-4D5F-4FE8-AECF-D088EBB7C350}"/>
    <cellStyle name="Style 50 8 4" xfId="6434" xr:uid="{B7E2BBB6-21CD-4626-B387-1B866C9AB455}"/>
    <cellStyle name="Style 50 8 4 2" xfId="24756" xr:uid="{DB81EB9C-7143-41EA-9814-5C3403521845}"/>
    <cellStyle name="Style 50 8 5" xfId="6431" xr:uid="{82B15544-82B6-4614-9C02-D538DF0E2460}"/>
    <cellStyle name="Style 50 8 5 2" xfId="27724" xr:uid="{E1445ABF-0B17-412D-A28E-8A0EDB835D26}"/>
    <cellStyle name="Style 50 8 6" xfId="23701" xr:uid="{1C8A9539-FE13-4930-818B-7DFE19D36DEA}"/>
    <cellStyle name="Style 50 9" xfId="2793" xr:uid="{138233C2-C914-43B6-AED9-BD16496BEEA7}"/>
    <cellStyle name="Style 50 9 2" xfId="2794" xr:uid="{3ED5BF97-F59F-416E-8DD2-D83768439690}"/>
    <cellStyle name="Style 50 9 2 2" xfId="6435" xr:uid="{0433AF89-3DD8-4835-BD4A-5B5D97C3365A}"/>
    <cellStyle name="Style 50 9 2 2 2" xfId="27727" xr:uid="{4BDF6970-937F-4763-B45E-43B27B857BFF}"/>
    <cellStyle name="Style 50 9 2 3" xfId="24757" xr:uid="{EBAC59F6-29CF-4A1B-9897-E1CBEA0D3A2D}"/>
    <cellStyle name="Style 50 9 3" xfId="4171" xr:uid="{6AACD286-440A-4D10-A63C-342346673CCA}"/>
    <cellStyle name="Style 50 9 3 2" xfId="27726" xr:uid="{19A25FEA-E608-4B16-815F-E1D2CB8FA179}"/>
    <cellStyle name="Style 50 9 4" xfId="23704" xr:uid="{3A94D4EE-C7B3-47D2-A98D-D3C05FF44B23}"/>
    <cellStyle name="Style 50_ADDON" xfId="25796" xr:uid="{959292B0-5AE6-4CBD-B972-F1A482A4B813}"/>
    <cellStyle name="Style 51" xfId="2795" xr:uid="{1711AE01-2A76-4676-8C6F-6482C3B6B4D7}"/>
    <cellStyle name="Style 51 2" xfId="2796" xr:uid="{38F949AD-664D-424B-BFE2-83896D16AC69}"/>
    <cellStyle name="Style 51 2 2" xfId="2797" xr:uid="{AFA5BAE3-B2C6-4801-BEF2-F6E536DAEDAA}"/>
    <cellStyle name="Style 51 2 2 2" xfId="2798" xr:uid="{41E17C62-0215-49F9-B09F-958E5E32690C}"/>
    <cellStyle name="Style 51 2 2 2 2" xfId="2799" xr:uid="{E4A5F364-B6AB-46E6-8EA3-45E2AAE7E45F}"/>
    <cellStyle name="Style 51 2 2 2 2 2" xfId="2800" xr:uid="{A6338BAD-A006-45FC-89D8-81A3CFC4FAF6}"/>
    <cellStyle name="Style 51 2 2 2 2 2 2" xfId="9815" xr:uid="{76A0A6EE-C1AF-4278-A30C-997C020BD7AE}"/>
    <cellStyle name="Style 51 2 2 2 2 3" xfId="9816" xr:uid="{D931A5A2-FB10-4E64-9001-484F975B5D34}"/>
    <cellStyle name="Style 51 2 2 2 3" xfId="2801" xr:uid="{805EB3CA-866B-4605-9EEF-1F9F043EF128}"/>
    <cellStyle name="Style 51 2 2 2 3 2" xfId="9817" xr:uid="{C1002C88-83A0-4C14-B89A-F157F9F64C42}"/>
    <cellStyle name="Style 51 2 2 2 4" xfId="9818" xr:uid="{E485232C-F9A2-4ADC-B15E-E69951788C6C}"/>
    <cellStyle name="Style 51 2 2 3" xfId="2802" xr:uid="{B7421AFD-BDA1-4F38-8494-DE8077A14AE0}"/>
    <cellStyle name="Style 51 2 2 3 2" xfId="2803" xr:uid="{FE64349A-A269-494E-8D20-87F37D881069}"/>
    <cellStyle name="Style 51 2 2 3 2 2" xfId="9819" xr:uid="{FA9C6ED9-9B0A-4558-86AE-F006D7FF440D}"/>
    <cellStyle name="Style 51 2 2 3 3" xfId="9820" xr:uid="{7ABE016A-F49E-4CA5-926B-94AF908D0499}"/>
    <cellStyle name="Style 51 2 2 4" xfId="2804" xr:uid="{191A4845-1301-4D80-AFA5-D728BA375775}"/>
    <cellStyle name="Style 51 2 2 4 2" xfId="9821" xr:uid="{5838AA36-B487-4E6A-900C-8C6D76D88D1B}"/>
    <cellStyle name="Style 51 2 2 5" xfId="9822" xr:uid="{15D8FFB8-84DB-4567-BE44-7217C5311CF3}"/>
    <cellStyle name="Style 51 2 3" xfId="2805" xr:uid="{8083EB91-2DA0-42AD-971F-121709138945}"/>
    <cellStyle name="Style 51 2 3 2" xfId="2806" xr:uid="{41F3B976-A096-43FA-92A6-422A55D205D9}"/>
    <cellStyle name="Style 51 2 3 2 2" xfId="2807" xr:uid="{A4F36F58-F378-43A6-AA4D-3BD5EC98B523}"/>
    <cellStyle name="Style 51 2 3 2 2 2" xfId="9823" xr:uid="{E0618B3D-0B76-4C34-9D52-C9FBE0D4AFF8}"/>
    <cellStyle name="Style 51 2 3 2 3" xfId="9824" xr:uid="{7A5A04CD-77A3-4105-BF7C-0FD30D86C0D7}"/>
    <cellStyle name="Style 51 2 3 3" xfId="2808" xr:uid="{8C4FA278-B091-4BAD-9405-F8D1808CDF26}"/>
    <cellStyle name="Style 51 2 3 3 2" xfId="9825" xr:uid="{34FE1E78-A87A-4748-829E-16C3672A9C38}"/>
    <cellStyle name="Style 51 2 3 4" xfId="9826" xr:uid="{08D04D16-8DBA-4645-9E66-FEA610002C2F}"/>
    <cellStyle name="Style 51 2 4" xfId="2809" xr:uid="{D861192F-FB5D-4829-9FA9-F88FCBBAAAB1}"/>
    <cellStyle name="Style 51 2 4 2" xfId="2810" xr:uid="{73029BA7-15D5-4A6E-B709-7EDB51BA4961}"/>
    <cellStyle name="Style 51 2 4 2 2" xfId="9827" xr:uid="{D6F5D5F2-EA85-4631-8D51-E57EDCACD00B}"/>
    <cellStyle name="Style 51 2 4 3" xfId="9828" xr:uid="{8181BEC4-A1F4-45E8-A0DA-085776393B38}"/>
    <cellStyle name="Style 51 2 5" xfId="2811" xr:uid="{9728130D-6631-49B0-9BB0-57317F4343D1}"/>
    <cellStyle name="Style 51 2 5 2" xfId="9829" xr:uid="{B803A107-1411-49DE-9BBD-41C5DE79D4D6}"/>
    <cellStyle name="Style 51 2 6" xfId="9830" xr:uid="{FBF0E8EA-FCA7-4810-9503-58F8ADB04173}"/>
    <cellStyle name="Style 51 3" xfId="2812" xr:uid="{050890EB-6FAC-40E6-BDAA-A02677ED1FDA}"/>
    <cellStyle name="Style 51 3 2" xfId="2813" xr:uid="{B13CC85F-230E-462B-A20C-28CAC396369B}"/>
    <cellStyle name="Style 51 3 2 2" xfId="2814" xr:uid="{3C7D65EA-7851-49B4-966D-4A5E21AEDEBD}"/>
    <cellStyle name="Style 51 3 2 2 2" xfId="2815" xr:uid="{CE095A41-7CE7-449E-B05D-BA9D710EBEFD}"/>
    <cellStyle name="Style 51 3 2 2 2 2" xfId="2816" xr:uid="{25D8C2C9-5A7D-43AD-95A1-79C01102BFD7}"/>
    <cellStyle name="Style 51 3 2 2 2 2 2" xfId="9831" xr:uid="{8AF6C23F-0E4B-4E7D-A1A8-6CCC4D1232AE}"/>
    <cellStyle name="Style 51 3 2 2 2 3" xfId="9832" xr:uid="{1FCB23A9-AE38-4693-8CE5-D3D27C9EAAD4}"/>
    <cellStyle name="Style 51 3 2 2 3" xfId="2817" xr:uid="{5FCDE9E5-1F8C-443D-B172-92F867F7E334}"/>
    <cellStyle name="Style 51 3 2 2 3 2" xfId="9833" xr:uid="{3A0C22E0-A9CF-47AE-841F-8AB6488F7F39}"/>
    <cellStyle name="Style 51 3 2 2 4" xfId="9834" xr:uid="{6A8A5BCE-B457-4BE7-88E0-DA6AE6035B50}"/>
    <cellStyle name="Style 51 3 2 3" xfId="2818" xr:uid="{E171B313-AE76-46BC-AC86-CBC01CC34450}"/>
    <cellStyle name="Style 51 3 2 3 2" xfId="2819" xr:uid="{F1FA250A-2322-4242-B044-459AAD2D95D2}"/>
    <cellStyle name="Style 51 3 2 3 2 2" xfId="9835" xr:uid="{8D4A528D-81B8-4C84-A39F-2CC8EBBCA629}"/>
    <cellStyle name="Style 51 3 2 3 3" xfId="9836" xr:uid="{5FFA550A-C5F5-4867-AF9C-9FDF7EF2143E}"/>
    <cellStyle name="Style 51 3 2 4" xfId="2820" xr:uid="{E9C110F0-AA65-440C-AEA0-AF5F47347D63}"/>
    <cellStyle name="Style 51 3 2 4 2" xfId="9837" xr:uid="{29EE1416-7842-4C15-85C0-24B3E6953688}"/>
    <cellStyle name="Style 51 3 2 5" xfId="9838" xr:uid="{D65EF08B-D216-4D62-9BA8-BCD55173FFD2}"/>
    <cellStyle name="Style 51 3 3" xfId="2821" xr:uid="{579B5EDA-64B2-4040-8F86-A1EC4885D24A}"/>
    <cellStyle name="Style 51 3 3 2" xfId="2822" xr:uid="{1676A6C4-ACA1-4937-9700-5345D92C3893}"/>
    <cellStyle name="Style 51 3 3 2 2" xfId="2823" xr:uid="{F842C76E-965E-46A0-BFFD-79A10522E914}"/>
    <cellStyle name="Style 51 3 3 2 2 2" xfId="2824" xr:uid="{750A7BD5-0794-4CE7-B0B9-57117086531D}"/>
    <cellStyle name="Style 51 3 3 2 2 2 2" xfId="9839" xr:uid="{73C9383E-F273-419E-89C9-5C0122D36B6E}"/>
    <cellStyle name="Style 51 3 3 2 2 3" xfId="9840" xr:uid="{988DB405-23DE-4C7C-BA02-2C5212AA1CB2}"/>
    <cellStyle name="Style 51 3 3 2 3" xfId="2825" xr:uid="{1FDA7CBC-6588-46A6-A9AA-DE4A2C8BAEF7}"/>
    <cellStyle name="Style 51 3 3 2 3 2" xfId="9841" xr:uid="{785EAF1A-A6BA-4092-9FD3-E5D3E9231D6C}"/>
    <cellStyle name="Style 51 3 3 2 4" xfId="9842" xr:uid="{A4A1FD0D-AF22-4514-9C42-31FBE474E1B8}"/>
    <cellStyle name="Style 51 3 3 3" xfId="2826" xr:uid="{FCA9F1AD-E3BA-4307-B465-4D421FB1C914}"/>
    <cellStyle name="Style 51 3 3 3 2" xfId="9843" xr:uid="{A924283D-E025-4CBF-9D1C-8ED68BC67818}"/>
    <cellStyle name="Style 51 3 3 4" xfId="6436" xr:uid="{60EAA680-925B-4E12-8339-0DA7AAC6E615}"/>
    <cellStyle name="Style 51 3 3 5" xfId="9844" xr:uid="{052A362C-65CB-4833-A4A9-7681606D68CC}"/>
    <cellStyle name="Style 51 3 4" xfId="2827" xr:uid="{4DF919F0-6F9D-4D3C-9E36-BD07C7D2841B}"/>
    <cellStyle name="Style 51 3 4 2" xfId="2828" xr:uid="{718459A5-CFAB-4170-AD72-407347905B37}"/>
    <cellStyle name="Style 51 3 4 2 2" xfId="9845" xr:uid="{417B1407-BE95-46D3-A122-1F8F4EEA7697}"/>
    <cellStyle name="Style 51 3 4 3" xfId="9846" xr:uid="{B3634649-2474-4295-80F8-3A8B6A38EE85}"/>
    <cellStyle name="Style 51 3 5" xfId="2829" xr:uid="{4F3C7D69-1441-44D8-B291-1931D3670792}"/>
    <cellStyle name="Style 51 3 5 2" xfId="9847" xr:uid="{027F66B4-A012-4437-A1FB-C33611190AAD}"/>
    <cellStyle name="Style 51 3 6" xfId="9848" xr:uid="{0EB7A9F8-DF77-4EE8-A808-5507C9B65369}"/>
    <cellStyle name="Style 51 4" xfId="2830" xr:uid="{F439BD48-3B8B-4155-B42B-CBE75FD56B94}"/>
    <cellStyle name="Style 51 4 2" xfId="2831" xr:uid="{EFFC827B-51E5-43B8-A918-73A2EECF4FC7}"/>
    <cellStyle name="Style 51 4 2 2" xfId="2832" xr:uid="{8831A458-66C5-430E-B639-0281BD9CCC3D}"/>
    <cellStyle name="Style 51 4 2 2 2" xfId="2833" xr:uid="{E73AF771-CC20-4932-8B5E-4A833ACD7C66}"/>
    <cellStyle name="Style 51 4 2 2 2 2" xfId="9849" xr:uid="{6C79A8B1-981C-400A-8647-BBAB5EFE9E19}"/>
    <cellStyle name="Style 51 4 2 2 3" xfId="9850" xr:uid="{B612570E-F30E-43E0-ABF0-E2B45B6EDD0D}"/>
    <cellStyle name="Style 51 4 2 3" xfId="2834" xr:uid="{E3D31C6B-9528-46DD-9453-DF35ED5F3B75}"/>
    <cellStyle name="Style 51 4 2 3 2" xfId="9851" xr:uid="{70543D96-C4F8-4D9C-93A0-A3C0021D023D}"/>
    <cellStyle name="Style 51 4 2 4" xfId="9852" xr:uid="{F5C32636-E34D-41A1-8F50-23709DC25587}"/>
    <cellStyle name="Style 51 4 3" xfId="2835" xr:uid="{260C9943-C7FA-4A36-98B4-136DB1AAB427}"/>
    <cellStyle name="Style 51 4 3 2" xfId="9853" xr:uid="{8BB09A0C-55E1-4444-8CF8-85F96E7F0D89}"/>
    <cellStyle name="Style 51 4 4" xfId="6437" xr:uid="{CB0E1A1D-871C-4E9A-918C-B6A20776B7B5}"/>
    <cellStyle name="Style 51 4 5" xfId="9854" xr:uid="{7190C8EF-ABDB-4692-ACFD-FA506659E42B}"/>
    <cellStyle name="Style 51 5" xfId="2836" xr:uid="{FE915316-AEA8-49F0-8F12-CFE56B22C701}"/>
    <cellStyle name="Style 51 5 2" xfId="2837" xr:uid="{E0B9F9E0-8F68-4AC8-BFF6-9752215982C3}"/>
    <cellStyle name="Style 51 5 2 2" xfId="9855" xr:uid="{1517FBE4-F501-429B-92BF-7EFFE096B28D}"/>
    <cellStyle name="Style 51 5 3" xfId="9856" xr:uid="{E1F78F5F-BA5C-4804-8991-554E73A9CF01}"/>
    <cellStyle name="Style 51 6" xfId="2838" xr:uid="{FB684307-473F-44BC-8DF2-B679D3004B13}"/>
    <cellStyle name="Style 51 6 2" xfId="4173" xr:uid="{C27BEEEE-3B02-4B81-B1DF-4AD1D6656891}"/>
    <cellStyle name="Style 51 6 2 2" xfId="6438" xr:uid="{8176A4A5-595F-402B-B85C-9C5CE4E85BF9}"/>
    <cellStyle name="Style 51 6 3" xfId="9857" xr:uid="{16837482-B2E3-45A5-8FA2-7CB1F6BBE7FF}"/>
    <cellStyle name="Style 51 7" xfId="4172" xr:uid="{B2F460B3-53B3-4EC4-A251-2D1804C3D4C6}"/>
    <cellStyle name="Style 51 7 2" xfId="6440" xr:uid="{497D0E81-C7C4-48AE-BE84-0C5D0974815F}"/>
    <cellStyle name="Style 51 7 3" xfId="6439" xr:uid="{6C2933E2-FBE9-4B62-8E48-42441FB6602B}"/>
    <cellStyle name="Style 51 8" xfId="6441" xr:uid="{97CEF95F-FF64-41C7-83F4-6F59A047F9BB}"/>
    <cellStyle name="Style 51 9" xfId="9858" xr:uid="{E6EF982C-38AB-4377-9F3A-3FE3B4271015}"/>
    <cellStyle name="Style 51 9 2" xfId="26659" xr:uid="{DCF2E178-374D-4F39-AB43-E5AEDE4014CE}"/>
    <cellStyle name="Style 51_ADDON" xfId="25797" xr:uid="{8E9DCACD-BA38-4574-AD97-21DC5F556AAD}"/>
    <cellStyle name="Style 52" xfId="2839" xr:uid="{4275442E-8078-49E4-B59B-E91B9A36ADEC}"/>
    <cellStyle name="Style 52 2" xfId="2840" xr:uid="{6AE69D6F-6A92-4194-9E30-0EF3BAA03C53}"/>
    <cellStyle name="Style 52 2 2" xfId="2841" xr:uid="{93405F3A-C17B-4BAD-BFCF-A935A2054EB0}"/>
    <cellStyle name="Style 52 2 2 2" xfId="2842" xr:uid="{4827915A-C0DA-4AC8-8726-35079B2E63EF}"/>
    <cellStyle name="Style 52 2 2 2 2" xfId="2843" xr:uid="{D113D13E-FADF-47C9-90D7-128ED21D13BA}"/>
    <cellStyle name="Style 52 2 2 2 2 2" xfId="2844" xr:uid="{070711BC-0A75-4F62-8193-6E5D2FBAB493}"/>
    <cellStyle name="Style 52 2 2 2 2 2 2" xfId="9859" xr:uid="{2BE8350B-13AC-4BE7-B356-899C3DFAEB5B}"/>
    <cellStyle name="Style 52 2 2 2 2 3" xfId="9860" xr:uid="{C54EF4F9-1DF8-418F-9B0F-760C2F60602C}"/>
    <cellStyle name="Style 52 2 2 2 3" xfId="2845" xr:uid="{7AC793C4-1BAB-4E2A-9D29-AB023CBCFC18}"/>
    <cellStyle name="Style 52 2 2 2 3 2" xfId="9861" xr:uid="{A9E199A4-D31A-4DAD-946D-2FD980F052A1}"/>
    <cellStyle name="Style 52 2 2 2 4" xfId="9862" xr:uid="{BFB81907-963B-4AE0-A515-C4B83BAF0270}"/>
    <cellStyle name="Style 52 2 2 3" xfId="2846" xr:uid="{3FB8002A-E107-4773-BEED-C906BA330E7E}"/>
    <cellStyle name="Style 52 2 2 3 2" xfId="2847" xr:uid="{75729CCF-4707-4796-A3E9-C46D911306E1}"/>
    <cellStyle name="Style 52 2 2 3 2 2" xfId="9863" xr:uid="{22051E1A-C356-4A3B-B78D-FA487FADEB09}"/>
    <cellStyle name="Style 52 2 2 3 3" xfId="9864" xr:uid="{B810DD10-9725-42C9-B6DB-FFB328E7215B}"/>
    <cellStyle name="Style 52 2 2 4" xfId="2848" xr:uid="{1744ACB6-3247-44CF-911D-02DF6AC6DA53}"/>
    <cellStyle name="Style 52 2 2 4 2" xfId="9865" xr:uid="{9B6CFC3E-B3DB-4E55-A05C-EE3001B8E2F3}"/>
    <cellStyle name="Style 52 2 2 5" xfId="9866" xr:uid="{A166C7A8-97AF-4D63-AC68-5BA88D152600}"/>
    <cellStyle name="Style 52 2 3" xfId="2849" xr:uid="{DC07AB98-8944-40BB-A01F-3ADE31672BDF}"/>
    <cellStyle name="Style 52 2 3 2" xfId="2850" xr:uid="{EC2B9B1E-29FB-4261-9E79-E822E1392868}"/>
    <cellStyle name="Style 52 2 3 2 2" xfId="2851" xr:uid="{92FC59FA-2967-4FA3-95FF-3B2D89744AAD}"/>
    <cellStyle name="Style 52 2 3 2 2 2" xfId="9867" xr:uid="{900B5E8C-89C3-433D-8AF6-81685267E021}"/>
    <cellStyle name="Style 52 2 3 2 3" xfId="9868" xr:uid="{6850A444-68A4-4DBD-9FDB-ED6BE6CCB6EA}"/>
    <cellStyle name="Style 52 2 3 3" xfId="2852" xr:uid="{EB50BDE1-76D7-493C-9A6C-9796266CA7D2}"/>
    <cellStyle name="Style 52 2 3 3 2" xfId="9869" xr:uid="{F3A23626-6F17-4DA4-845C-742F4E4014E7}"/>
    <cellStyle name="Style 52 2 3 4" xfId="9870" xr:uid="{6D6AE60C-729F-428E-8968-2866E4CD9449}"/>
    <cellStyle name="Style 52 2 4" xfId="2853" xr:uid="{26CFCCFB-1281-498B-BC9F-B24B100882CB}"/>
    <cellStyle name="Style 52 2 4 2" xfId="2854" xr:uid="{DB03F5BD-4D8D-4AAC-A55A-BA703AA90664}"/>
    <cellStyle name="Style 52 2 4 2 2" xfId="9871" xr:uid="{CA7C3643-DAAF-47C4-9EB9-C5AEF10042D2}"/>
    <cellStyle name="Style 52 2 4 3" xfId="9872" xr:uid="{E163AFD7-ABD5-4488-9F24-712E6CD85FE8}"/>
    <cellStyle name="Style 52 2 5" xfId="2855" xr:uid="{B73DD3DF-959C-4FF9-818E-76160F42FA47}"/>
    <cellStyle name="Style 52 2 5 2" xfId="9873" xr:uid="{14076929-A3B9-4C0D-873D-6A8E03FFF9D0}"/>
    <cellStyle name="Style 52 2 6" xfId="9874" xr:uid="{DA6461F4-6B15-4126-8A21-CE0AA5921245}"/>
    <cellStyle name="Style 52 3" xfId="2856" xr:uid="{6FB222F3-4EE6-4AFA-A1D1-C422B8D5704B}"/>
    <cellStyle name="Style 52 3 2" xfId="2857" xr:uid="{E092D49B-EF40-4DB2-93EC-02CB835C2191}"/>
    <cellStyle name="Style 52 3 2 2" xfId="2858" xr:uid="{D9F62196-CDE4-42BE-800C-A0EF3DDCCF5C}"/>
    <cellStyle name="Style 52 3 2 2 2" xfId="2859" xr:uid="{AFDFDB18-2B12-4E69-BF47-CF5EDDA0A995}"/>
    <cellStyle name="Style 52 3 2 2 2 2" xfId="2860" xr:uid="{0C630370-E6EA-446A-9C0B-FF7DD064ED93}"/>
    <cellStyle name="Style 52 3 2 2 2 2 2" xfId="9875" xr:uid="{704BD3DD-A87F-4E57-91A6-739BE2370600}"/>
    <cellStyle name="Style 52 3 2 2 2 3" xfId="9876" xr:uid="{F7CB4B67-C90A-4E5E-971F-50183D246CA2}"/>
    <cellStyle name="Style 52 3 2 2 3" xfId="2861" xr:uid="{647FDBC9-8F99-419F-98F9-D45795864AC7}"/>
    <cellStyle name="Style 52 3 2 2 3 2" xfId="9877" xr:uid="{7093825A-C78C-4EDA-A281-DC8A302F3D62}"/>
    <cellStyle name="Style 52 3 2 2 4" xfId="9878" xr:uid="{8EA0C41D-9E7D-4D72-A140-7D683C0D1CCA}"/>
    <cellStyle name="Style 52 3 2 3" xfId="2862" xr:uid="{F4881F57-8596-45D0-BF82-0B7946964BC3}"/>
    <cellStyle name="Style 52 3 2 3 2" xfId="2863" xr:uid="{1E52A65D-FDCE-4255-99A2-59FF47A8FB66}"/>
    <cellStyle name="Style 52 3 2 3 2 2" xfId="9879" xr:uid="{87BF5DA0-53CF-401F-BA67-F6D2614F6C2B}"/>
    <cellStyle name="Style 52 3 2 3 3" xfId="9880" xr:uid="{89D6C77F-33E5-4EEE-970A-7A2AA87EF03A}"/>
    <cellStyle name="Style 52 3 2 4" xfId="2864" xr:uid="{A24BCD41-05F4-4522-8FCF-1B16F2D8A318}"/>
    <cellStyle name="Style 52 3 2 4 2" xfId="9881" xr:uid="{46E95570-0DAF-4209-B1B6-9D5E8451F508}"/>
    <cellStyle name="Style 52 3 2 5" xfId="9882" xr:uid="{BBE0182B-A391-4D98-9030-C546C51FA96A}"/>
    <cellStyle name="Style 52 3 3" xfId="2865" xr:uid="{6DD3EC85-A906-49EF-8E09-003823B0B545}"/>
    <cellStyle name="Style 52 3 3 2" xfId="2866" xr:uid="{65424AE1-3D17-4237-879D-13B01512C0B3}"/>
    <cellStyle name="Style 52 3 3 2 2" xfId="2867" xr:uid="{C8A857E4-89C7-4DCA-A827-BE0725AEA52B}"/>
    <cellStyle name="Style 52 3 3 2 2 2" xfId="2868" xr:uid="{E5A9D8AA-05B5-45AB-B547-60F11D7A1571}"/>
    <cellStyle name="Style 52 3 3 2 2 2 2" xfId="9883" xr:uid="{85FC2E74-FA96-416F-9DA0-CB58DD690C48}"/>
    <cellStyle name="Style 52 3 3 2 2 3" xfId="9884" xr:uid="{8656A3EE-A44A-4E4B-9F38-A0CB8ED343AE}"/>
    <cellStyle name="Style 52 3 3 2 3" xfId="2869" xr:uid="{9932043F-F281-44F1-A847-0143F1C02B87}"/>
    <cellStyle name="Style 52 3 3 2 3 2" xfId="9885" xr:uid="{12797619-7C4E-42C6-BEF1-8F3C05D42AD2}"/>
    <cellStyle name="Style 52 3 3 2 4" xfId="9886" xr:uid="{FE0E103E-FE82-4F96-9874-1BDB15799EC5}"/>
    <cellStyle name="Style 52 3 3 3" xfId="2870" xr:uid="{70AED0AE-25AA-4FB2-824D-B4F354037C1B}"/>
    <cellStyle name="Style 52 3 3 3 2" xfId="9887" xr:uid="{3980EF7F-E4A8-4E7A-BB8D-DC09C969945A}"/>
    <cellStyle name="Style 52 3 3 4" xfId="6442" xr:uid="{455E06A8-F778-417C-84F7-DF43C9BE954A}"/>
    <cellStyle name="Style 52 3 3 5" xfId="9888" xr:uid="{D070BFC8-3763-448E-A3F2-68EBDEC87272}"/>
    <cellStyle name="Style 52 3 4" xfId="2871" xr:uid="{164D97E7-C2F4-47E6-97B0-BA2F5BCF3306}"/>
    <cellStyle name="Style 52 3 4 2" xfId="2872" xr:uid="{F0E13191-D104-499B-AD47-7376B7050B8D}"/>
    <cellStyle name="Style 52 3 4 2 2" xfId="9889" xr:uid="{9375C60E-9963-4271-A233-988375898878}"/>
    <cellStyle name="Style 52 3 4 3" xfId="9890" xr:uid="{7D2CE5C8-E22E-434C-9845-B95A66178109}"/>
    <cellStyle name="Style 52 3 5" xfId="2873" xr:uid="{1CA7997D-A1CE-467D-BCD5-661A7372A25A}"/>
    <cellStyle name="Style 52 3 5 2" xfId="9891" xr:uid="{4904E2A1-D081-41BF-95FC-C5A3079187E0}"/>
    <cellStyle name="Style 52 3 6" xfId="9892" xr:uid="{72C28A84-2062-4495-A0B7-A9BAF6834E70}"/>
    <cellStyle name="Style 52 4" xfId="2874" xr:uid="{F8CF78AC-F09C-4B66-825C-810C24F40C03}"/>
    <cellStyle name="Style 52 4 2" xfId="2875" xr:uid="{17902EB6-586C-44D0-AB17-2D09F6CC04FA}"/>
    <cellStyle name="Style 52 4 2 2" xfId="2876" xr:uid="{287EDCAF-1AB9-4C9E-8E13-851FE94A3EED}"/>
    <cellStyle name="Style 52 4 2 2 2" xfId="2877" xr:uid="{C14AC0D7-7E0F-46B9-A30A-638279AC10A6}"/>
    <cellStyle name="Style 52 4 2 2 2 2" xfId="9893" xr:uid="{5B73510D-D67F-400C-BCA4-4A0B45BEB90D}"/>
    <cellStyle name="Style 52 4 2 2 3" xfId="9894" xr:uid="{B231A778-7262-4966-80BE-E9656183E384}"/>
    <cellStyle name="Style 52 4 2 3" xfId="2878" xr:uid="{6FF4CB0E-58D6-49D8-AFE6-8FE3CFFEEB1A}"/>
    <cellStyle name="Style 52 4 2 3 2" xfId="9895" xr:uid="{6484E5E1-2908-49A1-A403-360DBD8AD83C}"/>
    <cellStyle name="Style 52 4 2 4" xfId="9896" xr:uid="{417AA7C6-816F-4632-AB74-3096C49A9828}"/>
    <cellStyle name="Style 52 4 3" xfId="2879" xr:uid="{FE4314CE-37E4-432C-A69A-76802B30D6A3}"/>
    <cellStyle name="Style 52 4 3 2" xfId="9897" xr:uid="{1BDB826D-2096-41A5-83E8-C0050BB1B837}"/>
    <cellStyle name="Style 52 4 4" xfId="6443" xr:uid="{A41C3463-EEF8-4B03-A29D-32D19A339584}"/>
    <cellStyle name="Style 52 4 5" xfId="9898" xr:uid="{B155BE22-14AD-4B0C-9C1C-DD2E768BBAC7}"/>
    <cellStyle name="Style 52 5" xfId="2880" xr:uid="{032039D5-90E0-448D-B2BE-FFCED513E5C0}"/>
    <cellStyle name="Style 52 5 2" xfId="2881" xr:uid="{AFF4A820-51C0-4231-9913-D955BFA033DB}"/>
    <cellStyle name="Style 52 5 2 2" xfId="9899" xr:uid="{F91D9FEC-EA37-4538-A2D0-0958D8AFC081}"/>
    <cellStyle name="Style 52 5 3" xfId="9900" xr:uid="{E322B4FD-86A6-4D14-97DD-2E6E93AA9ACF}"/>
    <cellStyle name="Style 52 6" xfId="2882" xr:uid="{395E57C2-65EE-4DF3-8613-DF7BF5715811}"/>
    <cellStyle name="Style 52 6 2" xfId="4175" xr:uid="{33074863-BD4E-4A6A-BE4F-B84DBA1BC008}"/>
    <cellStyle name="Style 52 6 2 2" xfId="6444" xr:uid="{C8A00807-9E4D-4B97-90C6-BD37E100988D}"/>
    <cellStyle name="Style 52 6 3" xfId="9901" xr:uid="{C2193F53-7A77-4850-B583-5D00191341DA}"/>
    <cellStyle name="Style 52 7" xfId="4174" xr:uid="{FAFED563-F68F-470F-B9FA-7C082704955F}"/>
    <cellStyle name="Style 52 7 2" xfId="6446" xr:uid="{38B6718C-3AF2-46F5-BAFA-0C43CD94268C}"/>
    <cellStyle name="Style 52 7 3" xfId="6445" xr:uid="{F466C971-EC1A-44BD-B8F4-7AA37DACD6A2}"/>
    <cellStyle name="Style 52 8" xfId="6447" xr:uid="{C0554D5A-14FD-48CB-A9F8-C212FFD50368}"/>
    <cellStyle name="Style 52 9" xfId="9902" xr:uid="{E6B75672-FAA7-4494-A628-056099FEAF33}"/>
    <cellStyle name="Style 52 9 2" xfId="26660" xr:uid="{D6D16BE1-C8A5-4DA8-8B42-B097F3FC23BA}"/>
    <cellStyle name="Style 52_ADDON" xfId="25798" xr:uid="{10416566-5D23-4D8B-BB23-77CF67089B09}"/>
    <cellStyle name="Style 58" xfId="2883" xr:uid="{50EFD914-1155-46B3-B8B8-374099C113E4}"/>
    <cellStyle name="Style 58 10" xfId="2884" xr:uid="{348CA143-4D31-4447-A7BF-8734D21ECC01}"/>
    <cellStyle name="Style 58 10 2" xfId="2885" xr:uid="{53445A5B-8A8F-44E4-BE44-EE5004AF38C6}"/>
    <cellStyle name="Style 58 10 2 2" xfId="6448" xr:uid="{AB2A8000-2191-40F1-A176-F3879A70D88E}"/>
    <cellStyle name="Style 58 10 2 2 2" xfId="27729" xr:uid="{8B7E2DE7-F886-42B2-B600-1C6F287E2E6E}"/>
    <cellStyle name="Style 58 10 2 3" xfId="24758" xr:uid="{D88940AB-8BF0-43A2-8529-FC4AEEDF533E}"/>
    <cellStyle name="Style 58 10 3" xfId="4176" xr:uid="{C34523D6-D53B-402D-BF79-240E4E62C31C}"/>
    <cellStyle name="Style 58 10 3 2" xfId="27728" xr:uid="{9C915A83-D9B8-4A49-9015-3491AD444F3F}"/>
    <cellStyle name="Style 58 10 4" xfId="23706" xr:uid="{E1214811-6EFE-428F-AD0C-DA645517C87B}"/>
    <cellStyle name="Style 58 11" xfId="2886" xr:uid="{EC353943-0CBF-45C8-9FEF-8D3E6183D4F6}"/>
    <cellStyle name="Style 58 11 2" xfId="2887" xr:uid="{B791380A-E321-4F6E-A788-F961D5E1B83C}"/>
    <cellStyle name="Style 58 11 2 2" xfId="6450" xr:uid="{52B0207A-2D76-4D9D-A324-F15E5D39CB72}"/>
    <cellStyle name="Style 58 11 2 2 2" xfId="27731" xr:uid="{97D1B318-F821-400B-B7FE-84F33A405AB4}"/>
    <cellStyle name="Style 58 11 2 3" xfId="24759" xr:uid="{288CBE07-21D0-4FE2-9E1E-F636ED55A548}"/>
    <cellStyle name="Style 58 11 3" xfId="6449" xr:uid="{87078FC3-E00B-4425-BAD2-2E9C0683B6BC}"/>
    <cellStyle name="Style 58 11 3 2" xfId="27730" xr:uid="{98B1AC84-35A3-4BBB-B159-5854F52E3A48}"/>
    <cellStyle name="Style 58 11 4" xfId="23707" xr:uid="{AB795D33-7E81-47A7-9CE7-F4F9B9E392AC}"/>
    <cellStyle name="Style 58 12" xfId="2888" xr:uid="{F95E34BE-91B9-43B5-8FCB-E72A1F56DBC6}"/>
    <cellStyle name="Style 58 12 2" xfId="6451" xr:uid="{69DA605B-2E04-41CD-BAAA-AD6570F29F16}"/>
    <cellStyle name="Style 58 12 2 2" xfId="27732" xr:uid="{89CD23AF-C0F7-4652-BA30-CED9F7139A4A}"/>
    <cellStyle name="Style 58 12 3" xfId="9903" xr:uid="{ECDEA9B4-E2B8-4608-8F7F-99648F36B783}"/>
    <cellStyle name="Style 58 12 3 2" xfId="29000" xr:uid="{D3DE697A-D542-4795-971B-5D793A989A02}"/>
    <cellStyle name="Style 58 12 4" xfId="9904" xr:uid="{1A379DD1-9F58-488C-863D-303BBBC67C9C}"/>
    <cellStyle name="Style 58 12 4 2" xfId="29001" xr:uid="{67254D4A-983B-49B3-8F2B-C3F9F58EBEB6}"/>
    <cellStyle name="Style 58 12 5" xfId="9905" xr:uid="{5B70EA5A-8355-498B-B81E-86328B43B2BA}"/>
    <cellStyle name="Style 58 12 5 2" xfId="29002" xr:uid="{054CEDC6-F93A-4507-B636-CC2E976B386B}"/>
    <cellStyle name="Style 58 12 6" xfId="9906" xr:uid="{9917886B-DD18-453C-8B17-E9A2EF46E78D}"/>
    <cellStyle name="Style 58 12 6 2" xfId="29003" xr:uid="{3C00D462-3BC6-46C7-B60F-3BBF32A6D014}"/>
    <cellStyle name="Style 58 12 7" xfId="24760" xr:uid="{6A5DDAC9-978D-4759-B04A-3E3244AEA5CD}"/>
    <cellStyle name="Style 58 13" xfId="9907" xr:uid="{36A73449-FC64-4C2E-B6A3-9370784F1759}"/>
    <cellStyle name="Style 58 13 2" xfId="9908" xr:uid="{A6983AF3-69BE-41A8-8FFA-AF2BFD7430F4}"/>
    <cellStyle name="Style 58 13 2 2" xfId="29004" xr:uid="{4D06803F-1597-406D-8033-8F369617578A}"/>
    <cellStyle name="Style 58 13 3" xfId="9909" xr:uid="{D857C265-065C-49E6-9254-4F0E2C3AF64A}"/>
    <cellStyle name="Style 58 13 3 2" xfId="29005" xr:uid="{8B6E3A32-953F-4232-B10C-1FCC7C3A3A7E}"/>
    <cellStyle name="Style 58 13 4" xfId="26661" xr:uid="{6AAA8802-A1DC-40A5-82F6-4D6C22D476AF}"/>
    <cellStyle name="Style 58 14" xfId="9910" xr:uid="{B9F213B9-9895-4F66-AD93-78DB4178A9B8}"/>
    <cellStyle name="Style 58 14 2" xfId="9911" xr:uid="{8B6E8FD4-6AB5-459D-950B-63FEC3AD8421}"/>
    <cellStyle name="Style 58 14 2 2" xfId="29007" xr:uid="{9AE4311F-B9E3-4358-B707-B96720BADD17}"/>
    <cellStyle name="Style 58 14 3" xfId="29006" xr:uid="{6A586C8B-F3D4-446D-A407-91A16331F27F}"/>
    <cellStyle name="Style 58 15" xfId="9912" xr:uid="{32541F50-345C-4204-9900-C7005BC263EA}"/>
    <cellStyle name="Style 58 15 2" xfId="9913" xr:uid="{56E2F6C6-7FD4-4364-AE4B-358DF1F5A446}"/>
    <cellStyle name="Style 58 15 2 2" xfId="29009" xr:uid="{0D7D926D-2B5E-4E6F-9F88-A350864A4FDB}"/>
    <cellStyle name="Style 58 15 3" xfId="29008" xr:uid="{DCAB9309-A21D-4043-825F-86A969ACF7B3}"/>
    <cellStyle name="Style 58 16" xfId="23705" xr:uid="{97C0F1CC-6B78-4C92-83DE-4F52A80BF02A}"/>
    <cellStyle name="Style 58 2" xfId="2889" xr:uid="{1AF55EB5-263C-40BC-BF92-2E612DE6B755}"/>
    <cellStyle name="Style 58 2 2" xfId="4415" xr:uid="{F305FDFD-8970-4C6A-B049-70FBB4740ADB}"/>
    <cellStyle name="Style 58 2 2 2" xfId="26662" xr:uid="{8763FB0A-368A-4C29-8C4A-1D459DA6D1D8}"/>
    <cellStyle name="Style 58 2 3" xfId="23708" xr:uid="{5AFC4FB8-8B6B-43A0-8E55-98121D916DE7}"/>
    <cellStyle name="Style 58 3" xfId="2890" xr:uid="{3A011E8B-D28A-4916-AE17-A928AF920CB2}"/>
    <cellStyle name="Style 58 3 2" xfId="2891" xr:uid="{CE1FDD93-3624-4988-8E4C-9A16FFB8559D}"/>
    <cellStyle name="Style 58 3 2 2" xfId="2892" xr:uid="{E770E70D-84C8-4938-8DA5-027A301005F6}"/>
    <cellStyle name="Style 58 3 2 2 2" xfId="6452" xr:uid="{837AF779-BCEE-45F1-A84C-EDE7F0D88F3C}"/>
    <cellStyle name="Style 58 3 2 2 2 2" xfId="27733" xr:uid="{453BEF22-7939-4C3C-9DEC-CF91F105B042}"/>
    <cellStyle name="Style 58 3 2 2 3" xfId="23711" xr:uid="{0680CF43-2CCE-4881-BBFF-2810FEB9C5BF}"/>
    <cellStyle name="Style 58 3 2 3" xfId="4417" xr:uid="{1B9036AA-7DA3-4591-843E-8389A32C695D}"/>
    <cellStyle name="Style 58 3 2 3 2" xfId="26664" xr:uid="{005FDBE8-F80E-410E-A630-1FB4E657352B}"/>
    <cellStyle name="Style 58 3 2 4" xfId="23710" xr:uid="{390E19B3-0D8D-44E9-9054-C8796B3A69EF}"/>
    <cellStyle name="Style 58 3 3" xfId="2893" xr:uid="{BFAA489A-CBED-4675-8885-135FC4A3D7F4}"/>
    <cellStyle name="Style 58 3 3 2" xfId="2894" xr:uid="{89851AC9-8034-409C-9CB0-6E9962897435}"/>
    <cellStyle name="Style 58 3 3 2 2" xfId="6454" xr:uid="{05E4E7F5-4DF8-472E-A7E8-7310912055BE}"/>
    <cellStyle name="Style 58 3 3 2 2 2" xfId="27735" xr:uid="{B5B77977-F53D-4591-B586-F3DAF7CB3709}"/>
    <cellStyle name="Style 58 3 3 2 3" xfId="23713" xr:uid="{B250C336-BD0A-42C3-AC6D-8B42B86DA00F}"/>
    <cellStyle name="Style 58 3 3 3" xfId="2895" xr:uid="{D838E2D0-7326-4C9A-B925-9CBFAD8A65C9}"/>
    <cellStyle name="Style 58 3 3 3 2" xfId="2896" xr:uid="{B6433219-686E-4071-94D7-A70D79FA3AE7}"/>
    <cellStyle name="Style 58 3 3 3 2 2" xfId="6456" xr:uid="{6E11168F-6C16-40CA-86AD-0DA976F07E81}"/>
    <cellStyle name="Style 58 3 3 3 2 2 2" xfId="27737" xr:uid="{A33ED043-30A8-4BBB-B7BC-11292CAF813B}"/>
    <cellStyle name="Style 58 3 3 3 2 3" xfId="23715" xr:uid="{2BC7D7B3-24C6-4E6E-8CB8-921CC8479F03}"/>
    <cellStyle name="Style 58 3 3 3 3" xfId="6457" xr:uid="{A2F82AA2-ACEA-472C-AE93-61C9A0B2FB15}"/>
    <cellStyle name="Style 58 3 3 3 3 2" xfId="23716" xr:uid="{46F496F5-7BAD-464C-B2C1-E025F6D2FF5B}"/>
    <cellStyle name="Style 58 3 3 3 4" xfId="6458" xr:uid="{AB8F0465-3AB5-42D8-9449-ADE5505BEE02}"/>
    <cellStyle name="Style 58 3 3 3 4 2" xfId="24761" xr:uid="{1057BBA5-4DE4-48B0-96D6-936D2696F164}"/>
    <cellStyle name="Style 58 3 3 3 5" xfId="6455" xr:uid="{12B2587F-33A4-4245-946D-663C3B4DDCCF}"/>
    <cellStyle name="Style 58 3 3 3 5 2" xfId="27736" xr:uid="{1FF13173-5180-47F5-ACA3-5C3DF9978273}"/>
    <cellStyle name="Style 58 3 3 3 6" xfId="23714" xr:uid="{5B400E07-8ED0-4579-AC81-06C5C9B26D93}"/>
    <cellStyle name="Style 58 3 3 4" xfId="2897" xr:uid="{95A90223-BB7B-4899-A5B5-C45723571725}"/>
    <cellStyle name="Style 58 3 3 4 2" xfId="2898" xr:uid="{BA61DE91-4960-4221-81C3-9C1F7AD8CBFA}"/>
    <cellStyle name="Style 58 3 3 4 2 2" xfId="6460" xr:uid="{8DE15172-AB9D-4EA8-8E8C-52D324F68221}"/>
    <cellStyle name="Style 58 3 3 4 2 2 2" xfId="27739" xr:uid="{F94BEC3D-E76A-4E60-B5B3-1E4ACC518046}"/>
    <cellStyle name="Style 58 3 3 4 2 3" xfId="23718" xr:uid="{5C45E522-91C6-49A9-9C89-4FEDA3280E2A}"/>
    <cellStyle name="Style 58 3 3 4 3" xfId="6459" xr:uid="{C07F1FD6-F852-48FB-BDAE-4B806567B5E4}"/>
    <cellStyle name="Style 58 3 3 4 3 2" xfId="27738" xr:uid="{C983D33F-C746-4383-9BCC-642F7B9E4919}"/>
    <cellStyle name="Style 58 3 3 4 4" xfId="23717" xr:uid="{FA03C582-8227-4B41-A453-956F09367726}"/>
    <cellStyle name="Style 58 3 3 5" xfId="6461" xr:uid="{62B6D715-97ED-40B9-AA62-98A19897F845}"/>
    <cellStyle name="Style 58 3 3 5 2" xfId="24762" xr:uid="{9D71CBA6-877C-495A-8EED-B88C03B1904E}"/>
    <cellStyle name="Style 58 3 3 6" xfId="6453" xr:uid="{C1EA3B00-A07D-49F4-8E35-825C42910AEF}"/>
    <cellStyle name="Style 58 3 3 6 2" xfId="27734" xr:uid="{45D66254-2573-4D7E-A092-2963579B5A80}"/>
    <cellStyle name="Style 58 3 3 7" xfId="23712" xr:uid="{DDBB6FE6-A70F-48B7-86AF-7079AE53335F}"/>
    <cellStyle name="Style 58 3 4" xfId="2899" xr:uid="{08F224FC-E8B6-427F-B8CC-9F28592F7CF5}"/>
    <cellStyle name="Style 58 3 4 2" xfId="6463" xr:uid="{A1D8F1C1-7BD7-469D-B6A0-63245AEB17B8}"/>
    <cellStyle name="Style 58 3 4 2 2" xfId="23720" xr:uid="{9ED92912-267C-4CCF-9BA8-56E0246EC1D7}"/>
    <cellStyle name="Style 58 3 4 3" xfId="6464" xr:uid="{9C47B501-D214-446D-872B-FA84302DE335}"/>
    <cellStyle name="Style 58 3 4 3 2" xfId="24763" xr:uid="{C6897EBE-1C2E-46EB-A8AB-BED3B9508484}"/>
    <cellStyle name="Style 58 3 4 4" xfId="6462" xr:uid="{A523CDD3-4EA0-46F6-A15A-DD46274FEEE6}"/>
    <cellStyle name="Style 58 3 4 4 2" xfId="27740" xr:uid="{76A372D9-9614-496F-BF24-380A6514AB57}"/>
    <cellStyle name="Style 58 3 4 5" xfId="23719" xr:uid="{DF5E2DFB-52EA-4246-9D49-A99DB32D587A}"/>
    <cellStyle name="Style 58 3 5" xfId="6465" xr:uid="{C3E67E50-6FE1-4012-AE88-DBEBCF7B9310}"/>
    <cellStyle name="Style 58 3 5 2" xfId="9914" xr:uid="{D5F45CC1-54BB-4C66-9292-4A494D8E5F83}"/>
    <cellStyle name="Style 58 3 5 2 2" xfId="27741" xr:uid="{285AD00C-70F7-4704-AAAA-4AAC22D2BB83}"/>
    <cellStyle name="Style 58 3 5 3" xfId="23721" xr:uid="{FA59FBBF-610E-4F8B-9C18-34FA25CC0616}"/>
    <cellStyle name="Style 58 3 6" xfId="4416" xr:uid="{636CD52F-E7B8-4BEB-AF6F-52916774F248}"/>
    <cellStyle name="Style 58 3 6 2" xfId="26663" xr:uid="{34852ABD-A07E-44F8-9321-8BA9961CCBD7}"/>
    <cellStyle name="Style 58 3 7" xfId="23709" xr:uid="{79257FBD-EDB1-44CC-9EA1-A27EE7D9E58B}"/>
    <cellStyle name="Style 58 4" xfId="2900" xr:uid="{99D2568B-B1D8-44E1-8D96-A9E5C23C1B5B}"/>
    <cellStyle name="Style 58 4 2" xfId="2901" xr:uid="{836542DB-D26B-4ACA-BB9F-455DCEB512EB}"/>
    <cellStyle name="Style 58 4 2 2" xfId="2902" xr:uid="{3A279170-92A0-4100-A815-98348F4E6ABD}"/>
    <cellStyle name="Style 58 4 2 2 2" xfId="6468" xr:uid="{FD5F074C-8749-4F96-946C-34E73D2180FC}"/>
    <cellStyle name="Style 58 4 2 2 2 2" xfId="27743" xr:uid="{59F95645-706B-466E-A951-34E86439BAEA}"/>
    <cellStyle name="Style 58 4 2 2 3" xfId="23724" xr:uid="{FD299BB4-A151-417D-8EE5-03496EFCFD0F}"/>
    <cellStyle name="Style 58 4 2 3" xfId="2903" xr:uid="{268DF609-59F9-451A-9824-452F36D6E150}"/>
    <cellStyle name="Style 58 4 2 3 2" xfId="2904" xr:uid="{7E41023D-A847-4738-A877-55013CF03369}"/>
    <cellStyle name="Style 58 4 2 3 2 2" xfId="6470" xr:uid="{D003DEFD-DC32-44AD-A7E4-3473995440B7}"/>
    <cellStyle name="Style 58 4 2 3 2 2 2" xfId="27745" xr:uid="{5460F055-CD9B-4761-942C-25D117852E3B}"/>
    <cellStyle name="Style 58 4 2 3 2 3" xfId="23726" xr:uid="{4A701667-7EC5-4112-8341-EC2624AC83C3}"/>
    <cellStyle name="Style 58 4 2 3 3" xfId="6471" xr:uid="{1294E28F-F998-46E8-BDAF-DC3FA8A6FF57}"/>
    <cellStyle name="Style 58 4 2 3 3 2" xfId="23727" xr:uid="{5F785ECE-4862-421E-A83F-FFFF2EF5BC6E}"/>
    <cellStyle name="Style 58 4 2 3 4" xfId="6472" xr:uid="{66D7F5D9-D638-43F0-9319-8E925F1DD589}"/>
    <cellStyle name="Style 58 4 2 3 4 2" xfId="24764" xr:uid="{BBCB3F0D-2219-4C7C-B8C4-1055E5D6E2F1}"/>
    <cellStyle name="Style 58 4 2 3 5" xfId="6469" xr:uid="{30E9592A-3455-4F1F-9D74-0F4DF87736ED}"/>
    <cellStyle name="Style 58 4 2 3 5 2" xfId="27744" xr:uid="{374FC3F5-4E11-4C0E-8DB7-BDAC32894B2A}"/>
    <cellStyle name="Style 58 4 2 3 6" xfId="23725" xr:uid="{EDE8CD54-A18F-4EAD-BDAC-A9119D4CF2BA}"/>
    <cellStyle name="Style 58 4 2 4" xfId="2905" xr:uid="{20A38EC3-A199-48AA-A5A1-82C02B017F9D}"/>
    <cellStyle name="Style 58 4 2 4 2" xfId="2906" xr:uid="{D40DB0CB-91F6-485D-BD28-C40299F493FF}"/>
    <cellStyle name="Style 58 4 2 4 2 2" xfId="6474" xr:uid="{7DC73FFA-C759-49F2-A616-CC54BC0893F0}"/>
    <cellStyle name="Style 58 4 2 4 2 2 2" xfId="27747" xr:uid="{38754E56-E175-4DF4-8A20-B3EA8CD838F7}"/>
    <cellStyle name="Style 58 4 2 4 2 3" xfId="23729" xr:uid="{C95B5D04-DF1B-4813-B655-90E6C683B6A9}"/>
    <cellStyle name="Style 58 4 2 4 3" xfId="6473" xr:uid="{7EE2DE7F-711B-437D-8BE6-5BB9E5F023F4}"/>
    <cellStyle name="Style 58 4 2 4 3 2" xfId="27746" xr:uid="{4DE3E523-4CED-4202-8819-84501F5DDF38}"/>
    <cellStyle name="Style 58 4 2 4 4" xfId="23728" xr:uid="{E2382C9D-AA25-4EDF-A7AD-B83E31D38904}"/>
    <cellStyle name="Style 58 4 2 5" xfId="6475" xr:uid="{8E631437-1077-4649-881C-B7D77244D601}"/>
    <cellStyle name="Style 58 4 2 5 2" xfId="24765" xr:uid="{14CB6E24-67A3-4ADD-807D-63061E94A0B2}"/>
    <cellStyle name="Style 58 4 2 6" xfId="6467" xr:uid="{81664F2E-7D0C-4ECB-B7D8-9F64B5FAE0B3}"/>
    <cellStyle name="Style 58 4 2 6 2" xfId="27742" xr:uid="{50345202-D85F-487A-AD78-0410D7A83237}"/>
    <cellStyle name="Style 58 4 2 7" xfId="23723" xr:uid="{44E5C035-4B51-4DD3-AA78-E3E7CDDC4397}"/>
    <cellStyle name="Style 58 4 3" xfId="2907" xr:uid="{602D4B13-AD69-4254-8263-1B7145124914}"/>
    <cellStyle name="Style 58 4 3 2" xfId="6476" xr:uid="{3F7BC31B-CF08-4141-B27C-212F16804A94}"/>
    <cellStyle name="Style 58 4 3 2 2" xfId="27748" xr:uid="{16F16CAA-CF28-4DF7-9647-DC85CCDBE209}"/>
    <cellStyle name="Style 58 4 3 3" xfId="23730" xr:uid="{C8947AF5-AB35-445D-9F36-39ACF093B9D2}"/>
    <cellStyle name="Style 58 4 4" xfId="6477" xr:uid="{9A537904-0CFE-4AA1-BD02-48E26D55A46F}"/>
    <cellStyle name="Style 58 4 4 2" xfId="6478" xr:uid="{EDFFDF49-323C-433A-A7E3-8284FC0D6A94}"/>
    <cellStyle name="Style 58 4 4 2 2" xfId="24766" xr:uid="{FEAD0E60-5F41-443C-8915-0468D80506A0}"/>
    <cellStyle name="Style 58 4 4 3" xfId="23731" xr:uid="{3DF12B95-FA36-4144-B9AA-62B54AF1151E}"/>
    <cellStyle name="Style 58 4 5" xfId="6466" xr:uid="{5B16EA85-A84B-4134-81D0-C32AF2E4962D}"/>
    <cellStyle name="Style 58 4 5 2" xfId="25951" xr:uid="{EB7B0E66-A224-412D-BA25-341C181B36B0}"/>
    <cellStyle name="Style 58 4 6" xfId="4418" xr:uid="{784734F8-D67C-40BF-9F41-592FC9C4990F}"/>
    <cellStyle name="Style 58 4 6 2" xfId="26665" xr:uid="{5E0E33F5-96A2-4F1A-AE78-7F01ECC01F27}"/>
    <cellStyle name="Style 58 4 7" xfId="23722" xr:uid="{AD945EA7-F447-4E49-A261-DA0F3E2CB875}"/>
    <cellStyle name="Style 58 5" xfId="2908" xr:uid="{BFE0A2DF-BCA5-4A32-A618-005733808079}"/>
    <cellStyle name="Style 58 5 2" xfId="2909" xr:uid="{603799D6-4048-4B87-B309-31FE21127662}"/>
    <cellStyle name="Style 58 5 2 2" xfId="2910" xr:uid="{7EC5AE7F-B108-4352-8314-5BF615D48E92}"/>
    <cellStyle name="Style 58 5 2 2 2" xfId="6481" xr:uid="{C3E9AD18-746D-45A9-BAF9-3CD48893989D}"/>
    <cellStyle name="Style 58 5 2 2 2 2" xfId="27750" xr:uid="{5C51C414-5662-4675-B493-6EF873D67A4B}"/>
    <cellStyle name="Style 58 5 2 2 3" xfId="23734" xr:uid="{6E11AE33-CF2C-48CD-8D4C-CE3C5027E430}"/>
    <cellStyle name="Style 58 5 2 3" xfId="2911" xr:uid="{F04BF2B2-FF61-4189-903B-78565A592EEF}"/>
    <cellStyle name="Style 58 5 2 3 2" xfId="2912" xr:uid="{A05AEC83-AA8C-483F-AF1D-5B6AD2542360}"/>
    <cellStyle name="Style 58 5 2 3 2 2" xfId="6483" xr:uid="{2375E13A-83FF-4375-A563-F45BB50ED81A}"/>
    <cellStyle name="Style 58 5 2 3 2 2 2" xfId="27752" xr:uid="{DD5BA300-5AD7-466C-97D4-89F22D7B5F88}"/>
    <cellStyle name="Style 58 5 2 3 2 3" xfId="23736" xr:uid="{E8B9C607-C107-4202-901A-FDB5FB6E49CF}"/>
    <cellStyle name="Style 58 5 2 3 3" xfId="6484" xr:uid="{D3B58265-6F39-44A9-BB83-8BB407E73E61}"/>
    <cellStyle name="Style 58 5 2 3 3 2" xfId="23737" xr:uid="{782E7CA0-A4B5-40F7-9D8E-BCD44B22CA89}"/>
    <cellStyle name="Style 58 5 2 3 4" xfId="6485" xr:uid="{F8EA3AA5-3D77-4E4E-A432-0027EFAD17ED}"/>
    <cellStyle name="Style 58 5 2 3 4 2" xfId="24767" xr:uid="{DF124930-FBC1-4618-B691-98D480F56B6C}"/>
    <cellStyle name="Style 58 5 2 3 5" xfId="6482" xr:uid="{3E0C1E1F-12A6-4956-89E1-004FB7196956}"/>
    <cellStyle name="Style 58 5 2 3 5 2" xfId="27751" xr:uid="{2FDC6E2C-9E55-4C43-803B-1605F8E571CB}"/>
    <cellStyle name="Style 58 5 2 3 6" xfId="23735" xr:uid="{F50D67DD-60D7-4917-8EE3-FAA5523A74E2}"/>
    <cellStyle name="Style 58 5 2 4" xfId="2913" xr:uid="{EC07E539-4C05-471F-A92E-842C46228595}"/>
    <cellStyle name="Style 58 5 2 4 2" xfId="2914" xr:uid="{C6437D55-8020-4541-9170-04189DAC28A1}"/>
    <cellStyle name="Style 58 5 2 4 2 2" xfId="6487" xr:uid="{8839FD09-7E74-43D6-806D-10D9ED899641}"/>
    <cellStyle name="Style 58 5 2 4 2 2 2" xfId="27754" xr:uid="{BF72AB46-1B4C-44C7-AF84-54782C557426}"/>
    <cellStyle name="Style 58 5 2 4 2 3" xfId="23739" xr:uid="{07F5DB6B-818E-457E-BF6E-AEB787CF183E}"/>
    <cellStyle name="Style 58 5 2 4 3" xfId="6486" xr:uid="{94B09E62-8D1F-47A4-934F-9505F7B09934}"/>
    <cellStyle name="Style 58 5 2 4 3 2" xfId="27753" xr:uid="{A6231739-34EE-4F33-9283-989214E69D91}"/>
    <cellStyle name="Style 58 5 2 4 4" xfId="23738" xr:uid="{85B11EF2-99DF-48FF-B7C3-8BED67BD6169}"/>
    <cellStyle name="Style 58 5 2 5" xfId="6488" xr:uid="{C4EB104D-975A-417A-BAFE-DCB6A8BE4668}"/>
    <cellStyle name="Style 58 5 2 5 2" xfId="24768" xr:uid="{7FCE2CCC-FB0F-4B77-9B3E-C52FD301F7A3}"/>
    <cellStyle name="Style 58 5 2 6" xfId="6480" xr:uid="{7C760518-AD6D-405A-8747-A8F8DCB9E223}"/>
    <cellStyle name="Style 58 5 2 6 2" xfId="27749" xr:uid="{9E566CAC-8981-47FE-9686-5BA016A96CA3}"/>
    <cellStyle name="Style 58 5 2 7" xfId="23733" xr:uid="{113DA60F-DDA2-400D-864A-89F466E755A9}"/>
    <cellStyle name="Style 58 5 3" xfId="2915" xr:uid="{7777961F-A390-46CF-B0D9-82F3DA4B8984}"/>
    <cellStyle name="Style 58 5 3 2" xfId="6489" xr:uid="{62221008-A94A-4911-AFE0-7FA1FCA0D776}"/>
    <cellStyle name="Style 58 5 3 2 2" xfId="27755" xr:uid="{6C218283-F214-4E89-8EE7-E69EFE48E695}"/>
    <cellStyle name="Style 58 5 3 3" xfId="23740" xr:uid="{EEC824BD-67A8-46D1-A57F-FBA899364A5E}"/>
    <cellStyle name="Style 58 5 4" xfId="6490" xr:uid="{ABA3F122-5156-4267-8CA5-3B0CF255F967}"/>
    <cellStyle name="Style 58 5 4 2" xfId="6491" xr:uid="{531A23BE-0C60-4138-BD6C-97BB82B59DDA}"/>
    <cellStyle name="Style 58 5 4 2 2" xfId="24769" xr:uid="{407ED699-CC5F-420F-8A26-E6C9B8D129A6}"/>
    <cellStyle name="Style 58 5 4 3" xfId="23741" xr:uid="{B35C2731-D8A0-4D52-8AFC-E00AC1559CDF}"/>
    <cellStyle name="Style 58 5 5" xfId="6479" xr:uid="{B3E7091C-E351-4A02-B698-2CC8FAB7723E}"/>
    <cellStyle name="Style 58 5 5 2" xfId="25952" xr:uid="{F06FBCD7-48D6-4B02-8E2D-F274602E40C4}"/>
    <cellStyle name="Style 58 5 6" xfId="4419" xr:uid="{AD5A7F82-1AD0-479E-953F-66BAA7F4E276}"/>
    <cellStyle name="Style 58 5 6 2" xfId="26666" xr:uid="{7F981109-DE17-403E-9E43-5FB82B0BA3B0}"/>
    <cellStyle name="Style 58 5 7" xfId="23732" xr:uid="{DC82AAAF-CE67-41D9-9447-1ECFFA1E4994}"/>
    <cellStyle name="Style 58 6" xfId="2916" xr:uid="{832E94B4-65FB-4FBE-AD8D-3765DC08A011}"/>
    <cellStyle name="Style 58 6 2" xfId="2917" xr:uid="{3BF84531-1289-40DE-828D-A86899BFC5D4}"/>
    <cellStyle name="Style 58 6 2 2" xfId="6493" xr:uid="{3512D589-06FC-4FA6-9F44-F5AC400F0A90}"/>
    <cellStyle name="Style 58 6 2 2 2" xfId="27757" xr:uid="{525F959F-EECD-4ACD-A3A8-028126AAF9D3}"/>
    <cellStyle name="Style 58 6 2 3" xfId="23743" xr:uid="{8284DDBA-665A-49D1-91AD-A89A8312F3FE}"/>
    <cellStyle name="Style 58 6 3" xfId="2918" xr:uid="{B1FA93F9-1A7F-4000-863B-E54D1EB1FE9E}"/>
    <cellStyle name="Style 58 6 3 2" xfId="2919" xr:uid="{2635A885-614C-4157-A543-0D4787085256}"/>
    <cellStyle name="Style 58 6 3 2 2" xfId="6495" xr:uid="{65BE8E7F-3E15-4488-9856-55EE7ABBE49B}"/>
    <cellStyle name="Style 58 6 3 2 2 2" xfId="27759" xr:uid="{80C1451C-5BE1-4739-89B0-B8AD2E6C5CD7}"/>
    <cellStyle name="Style 58 6 3 2 3" xfId="23745" xr:uid="{A2BAF0E4-A473-4781-AC83-94F084517EBB}"/>
    <cellStyle name="Style 58 6 3 3" xfId="6496" xr:uid="{7F008119-9DF8-4590-944B-6A56BAC9C1DE}"/>
    <cellStyle name="Style 58 6 3 3 2" xfId="23746" xr:uid="{F360D43E-BF9B-468D-8107-3A5FBE685BE6}"/>
    <cellStyle name="Style 58 6 3 4" xfId="6497" xr:uid="{8D24DC35-47F0-402D-8ED6-1F815AC70341}"/>
    <cellStyle name="Style 58 6 3 4 2" xfId="24770" xr:uid="{FF968236-0210-4FAB-BF72-92C8BAC9A272}"/>
    <cellStyle name="Style 58 6 3 5" xfId="6494" xr:uid="{791E089E-570D-4500-BCB7-50500FDEB954}"/>
    <cellStyle name="Style 58 6 3 5 2" xfId="27758" xr:uid="{7CE652E2-4E55-46D0-BEFD-94F1B1D1F58B}"/>
    <cellStyle name="Style 58 6 3 6" xfId="23744" xr:uid="{7AB5E4AA-C1AC-40FE-B7AC-448340666FBF}"/>
    <cellStyle name="Style 58 6 4" xfId="2920" xr:uid="{8BF62252-57EE-4935-95EE-E57E5EA622EE}"/>
    <cellStyle name="Style 58 6 4 2" xfId="2921" xr:uid="{4515BD83-68F3-457C-A566-9580C171BE29}"/>
    <cellStyle name="Style 58 6 4 2 2" xfId="6499" xr:uid="{323A6252-CB93-4ABD-8FF0-1C7E6FA0C107}"/>
    <cellStyle name="Style 58 6 4 2 2 2" xfId="27761" xr:uid="{39B2F268-5A83-459C-A786-F5DA62094C78}"/>
    <cellStyle name="Style 58 6 4 2 3" xfId="23748" xr:uid="{80D285CC-13BA-4427-BF1B-DD72161B9424}"/>
    <cellStyle name="Style 58 6 4 3" xfId="6498" xr:uid="{D40F6D2E-5218-40E2-94E3-4F17BA6B1D27}"/>
    <cellStyle name="Style 58 6 4 3 2" xfId="27760" xr:uid="{AAFDF2BA-71F5-45D6-B34D-D83807727F7C}"/>
    <cellStyle name="Style 58 6 4 4" xfId="23747" xr:uid="{7B3E8C22-4FD5-43A7-A4F8-E82B15F4FC5F}"/>
    <cellStyle name="Style 58 6 5" xfId="6500" xr:uid="{C2204B9A-1012-4038-8872-CC74C8591EFD}"/>
    <cellStyle name="Style 58 6 5 2" xfId="24771" xr:uid="{CEB2B14E-2C69-4D07-A75E-E7C01A1968B3}"/>
    <cellStyle name="Style 58 6 6" xfId="6492" xr:uid="{6C50598C-040C-4CB0-88D0-D0670A8A9C43}"/>
    <cellStyle name="Style 58 6 6 2" xfId="27756" xr:uid="{30D9DF59-FA80-4E59-8921-5AF54A8583F4}"/>
    <cellStyle name="Style 58 6 7" xfId="23742" xr:uid="{D33A80F7-07CC-4542-8ECD-A85520671396}"/>
    <cellStyle name="Style 58 7" xfId="2922" xr:uid="{AC1CA321-4C40-4CBC-A86C-1004EA32CEAD}"/>
    <cellStyle name="Style 58 7 2" xfId="2923" xr:uid="{6E65EA71-50ED-43B3-B5E2-F96D0C7D5D30}"/>
    <cellStyle name="Style 58 7 2 2" xfId="6502" xr:uid="{5C570631-0A3C-4426-8A96-67F64A0DE73E}"/>
    <cellStyle name="Style 58 7 2 2 2" xfId="27763" xr:uid="{05316731-3A30-40C6-A498-AFAFC19B19E1}"/>
    <cellStyle name="Style 58 7 2 3" xfId="23750" xr:uid="{BDEDA5B9-2554-4474-BFD3-8A1E4D3F64C2}"/>
    <cellStyle name="Style 58 7 3" xfId="6503" xr:uid="{6DB4976F-1B87-4299-8050-1F810D904B8D}"/>
    <cellStyle name="Style 58 7 3 2" xfId="23751" xr:uid="{285503A5-4BA5-4301-A9C6-EFB9382330A7}"/>
    <cellStyle name="Style 58 7 4" xfId="6504" xr:uid="{FDB3AF7C-9577-40DC-B11F-16D41DB776BB}"/>
    <cellStyle name="Style 58 7 4 2" xfId="24772" xr:uid="{772B02FE-928F-4E0F-9236-8E8FE6AB5E42}"/>
    <cellStyle name="Style 58 7 5" xfId="6501" xr:uid="{57097B87-137A-4364-938C-C556035CEA40}"/>
    <cellStyle name="Style 58 7 5 2" xfId="27762" xr:uid="{22C7E741-E72A-4EF3-881D-006F0CA6999F}"/>
    <cellStyle name="Style 58 7 6" xfId="23749" xr:uid="{6F1D5E42-01A6-49D2-9D34-2C343C37A067}"/>
    <cellStyle name="Style 58 8" xfId="2924" xr:uid="{5AF880B2-39F2-4C83-B94A-0235A5546FFC}"/>
    <cellStyle name="Style 58 8 2" xfId="2925" xr:uid="{82A949CD-A428-4D72-B9E7-F368876E0E65}"/>
    <cellStyle name="Style 58 8 2 2" xfId="6506" xr:uid="{D6AE0901-C47D-4CAE-BFB7-EF8150B93487}"/>
    <cellStyle name="Style 58 8 2 2 2" xfId="27765" xr:uid="{E7F6CAD2-FF24-44D9-ABAD-9C21149CB44E}"/>
    <cellStyle name="Style 58 8 2 3" xfId="23753" xr:uid="{81ADB716-63D7-4E79-8E15-0FEE08E874B7}"/>
    <cellStyle name="Style 58 8 3" xfId="6507" xr:uid="{A9542807-19B2-4027-98CD-F613F4F8762B}"/>
    <cellStyle name="Style 58 8 3 2" xfId="23754" xr:uid="{77AE04E8-DA70-4EA7-96DD-D1AADF915AA7}"/>
    <cellStyle name="Style 58 8 4" xfId="6508" xr:uid="{83D90DA3-2FA8-4AD3-9067-3D37E6283087}"/>
    <cellStyle name="Style 58 8 4 2" xfId="24773" xr:uid="{38903CBC-BFD0-4C19-834A-EB60B523C909}"/>
    <cellStyle name="Style 58 8 5" xfId="6505" xr:uid="{11F3E6EB-0233-41E4-9672-8CC35E3E04F6}"/>
    <cellStyle name="Style 58 8 5 2" xfId="27764" xr:uid="{4512143B-3FC3-4CB9-93C2-C2C0D6D28E6D}"/>
    <cellStyle name="Style 58 8 6" xfId="23752" xr:uid="{59624578-0D16-40A8-8B78-18DE762E3390}"/>
    <cellStyle name="Style 58 9" xfId="2926" xr:uid="{1E6DEF94-EED6-497B-9908-DAABEDA23BA5}"/>
    <cellStyle name="Style 58 9 2" xfId="2927" xr:uid="{C91D356E-911D-464B-9730-ADE5A89D3A14}"/>
    <cellStyle name="Style 58 9 2 2" xfId="6509" xr:uid="{4D97A7DC-38CA-45AE-93F8-BC6297AF7262}"/>
    <cellStyle name="Style 58 9 2 2 2" xfId="27767" xr:uid="{B02CC34A-E01E-4109-961C-B34E71603672}"/>
    <cellStyle name="Style 58 9 2 3" xfId="24774" xr:uid="{D139DFA9-6C6F-46EF-9B77-C23AEA541DB3}"/>
    <cellStyle name="Style 58 9 3" xfId="4177" xr:uid="{6E5ECBFD-6A55-43AA-B41F-C6CD36EA933F}"/>
    <cellStyle name="Style 58 9 3 2" xfId="27766" xr:uid="{61B27ED1-9B83-40B6-9B59-CE9223387F1D}"/>
    <cellStyle name="Style 58 9 4" xfId="23755" xr:uid="{546F6BDC-BE1C-4562-9040-5F6CF787C45C}"/>
    <cellStyle name="Style 58_ADDON" xfId="25799" xr:uid="{76AD4F90-D737-4F12-8E31-FA7F6C24340D}"/>
    <cellStyle name="Style 59" xfId="2928" xr:uid="{E9887793-7C36-46A0-ADA5-CF8051153BD0}"/>
    <cellStyle name="Style 59 10" xfId="23756" xr:uid="{0880EF96-AF30-4DEB-9B9E-5C03CA7C6E25}"/>
    <cellStyle name="Style 59 2" xfId="2929" xr:uid="{09F9E9E0-0807-4077-B325-2D41B3CE668C}"/>
    <cellStyle name="Style 59 2 2" xfId="9915" xr:uid="{CBC31765-3BE7-4489-9791-ED203C806358}"/>
    <cellStyle name="Style 59 2 2 2" xfId="29010" xr:uid="{A6FE9017-E36C-4608-A5B5-5537215A6C2B}"/>
    <cellStyle name="Style 59 2 3" xfId="23757" xr:uid="{A63D32F0-0767-4420-AFF5-AABEB1768F45}"/>
    <cellStyle name="Style 59 3" xfId="2930" xr:uid="{40BC4FFE-9AB2-4287-9240-4FBF7BEDFA17}"/>
    <cellStyle name="Style 59 3 2" xfId="2931" xr:uid="{6D51B7DA-CC9F-4EB9-AE2D-46E00053B478}"/>
    <cellStyle name="Style 59 3 2 2" xfId="23759" xr:uid="{F8E2B5EB-B621-443A-AAE3-0E1EDBE76AF1}"/>
    <cellStyle name="Style 59 3 3" xfId="2932" xr:uid="{96CBD33D-CDCA-4CC4-9A02-4F992D2EAB97}"/>
    <cellStyle name="Style 59 3 3 2" xfId="2933" xr:uid="{9EF25808-FBCB-4B4C-A571-5E5E59E1DFE1}"/>
    <cellStyle name="Style 59 3 3 2 2" xfId="23761" xr:uid="{0B2A425B-DDA1-4D76-B090-DEB57B799AFA}"/>
    <cellStyle name="Style 59 3 3 3" xfId="6510" xr:uid="{23C4E66E-4D54-4B20-8CCE-D2846EAAF0CF}"/>
    <cellStyle name="Style 59 3 3 3 2" xfId="23762" xr:uid="{4C7E7E37-A688-4968-9D32-6C280F07BAF9}"/>
    <cellStyle name="Style 59 3 3 4" xfId="6511" xr:uid="{77C9D747-A840-4444-B47A-275CEBD7988C}"/>
    <cellStyle name="Style 59 3 3 4 2" xfId="24775" xr:uid="{B1BB66AA-B87B-4DAD-9C34-E097F18669BE}"/>
    <cellStyle name="Style 59 3 3 5" xfId="23760" xr:uid="{7335D9FE-A8B1-4F5A-9BEA-9B3042AB568F}"/>
    <cellStyle name="Style 59 3 4" xfId="2934" xr:uid="{021AE048-E0AE-4CFB-BD9D-F2CA48D2D07F}"/>
    <cellStyle name="Style 59 3 4 2" xfId="2935" xr:uid="{F877FD5F-93AE-4505-9AD0-99DEF94BA79E}"/>
    <cellStyle name="Style 59 3 4 2 2" xfId="23764" xr:uid="{EF062AFF-95AC-4DF1-A63B-62B1D2B8FAF9}"/>
    <cellStyle name="Style 59 3 4 3" xfId="23763" xr:uid="{3C657D53-B352-4B4C-8B69-194F8905C532}"/>
    <cellStyle name="Style 59 3 5" xfId="6512" xr:uid="{C0F16A6E-AADF-433C-9BC0-178572F88A7E}"/>
    <cellStyle name="Style 59 3 5 2" xfId="24776" xr:uid="{423AAB45-004E-453D-A708-FE8534B0C61A}"/>
    <cellStyle name="Style 59 3 6" xfId="23758" xr:uid="{CEB188E7-0429-4C7F-82D2-E8E7B8BE7E4F}"/>
    <cellStyle name="Style 59 4" xfId="2936" xr:uid="{A60F7513-0B3F-4C40-9C2B-11442B463C39}"/>
    <cellStyle name="Style 59 4 2" xfId="2937" xr:uid="{52998CA8-5F07-4DE3-8F0C-897D69D10BE8}"/>
    <cellStyle name="Style 59 4 2 2" xfId="23766" xr:uid="{9CEA8842-9532-479D-A7FB-2B870049A493}"/>
    <cellStyle name="Style 59 4 3" xfId="6513" xr:uid="{2474CE41-47DD-4164-AAFA-F6360F820F6F}"/>
    <cellStyle name="Style 59 4 3 2" xfId="23767" xr:uid="{C8BB0BB3-1FB0-4C71-8F3D-CFE4BB1E7BF0}"/>
    <cellStyle name="Style 59 4 4" xfId="6514" xr:uid="{F1BED47A-19C1-4204-AB39-B00F6CD9453D}"/>
    <cellStyle name="Style 59 4 4 2" xfId="24777" xr:uid="{FEEC2624-6C47-4A34-A8B3-E82B8F7BDDA5}"/>
    <cellStyle name="Style 59 4 5" xfId="23765" xr:uid="{20D59404-E47B-4B84-A518-4F75139F8219}"/>
    <cellStyle name="Style 59 5" xfId="2938" xr:uid="{19B27E3E-667C-4E1C-83C9-A7DB425AE30B}"/>
    <cellStyle name="Style 59 5 2" xfId="2939" xr:uid="{FB4A27EF-8C3A-4AB7-B5E9-579A40A84647}"/>
    <cellStyle name="Style 59 5 2 2" xfId="23769" xr:uid="{44F80D8B-7E3C-4162-B193-00DC1A42D94A}"/>
    <cellStyle name="Style 59 5 3" xfId="23768" xr:uid="{95181FBC-66AD-465E-AB6C-65F6F1D839A5}"/>
    <cellStyle name="Style 59 6" xfId="2940" xr:uid="{313B9209-5026-464A-ACB2-64176D308251}"/>
    <cellStyle name="Style 59 6 2" xfId="2941" xr:uid="{9FA19827-B376-42C9-A125-24A8030A4963}"/>
    <cellStyle name="Style 59 6 2 2" xfId="24778" xr:uid="{C68106C3-2C07-4FC8-A5A1-9D999EF3297D}"/>
    <cellStyle name="Style 59 6 3" xfId="4179" xr:uid="{CED5DA94-5CB6-48C5-8A84-8B8206DDC8B6}"/>
    <cellStyle name="Style 59 6 3 2" xfId="28329" xr:uid="{FB8C8FCC-D4D4-44D8-8669-C5A0A6654663}"/>
    <cellStyle name="Style 59 6 4" xfId="23770" xr:uid="{A10D0646-802E-4FBE-8289-C87DEAA89EB5}"/>
    <cellStyle name="Style 59 7" xfId="4178" xr:uid="{F26249AF-7C97-4CA8-87EE-FEF494896117}"/>
    <cellStyle name="Style 59 7 2" xfId="6516" xr:uid="{DB31AC74-5BFC-42EC-992F-975A93175BA1}"/>
    <cellStyle name="Style 59 7 2 2" xfId="24779" xr:uid="{6ECCA2A7-00DA-4FB8-B2EF-4CC3EBEC63CD}"/>
    <cellStyle name="Style 59 7 3" xfId="6515" xr:uid="{443501CB-9E43-4399-85C2-26745AC982B4}"/>
    <cellStyle name="Style 59 7 3 2" xfId="40726" xr:uid="{BD09EAF9-5A12-4DE0-9AA4-30149FDA7F91}"/>
    <cellStyle name="Style 59 7 4" xfId="23771" xr:uid="{712D5E4A-78F3-4936-9B37-A2DE59B0073C}"/>
    <cellStyle name="Style 59 8" xfId="6517" xr:uid="{64F70F4B-A1C6-4F42-A44F-B8E34E151012}"/>
    <cellStyle name="Style 59 8 2" xfId="24780" xr:uid="{24ED295C-BAAD-4193-856D-4812D4A946D0}"/>
    <cellStyle name="Style 59 9" xfId="9916" xr:uid="{28E582AB-254A-4413-83EC-66BDD5E0689D}"/>
    <cellStyle name="Style 59 9 2" xfId="26667" xr:uid="{A9ED69D2-EE9D-40B5-B3ED-26365C4E579A}"/>
    <cellStyle name="Style 59_ADDON" xfId="25748" xr:uid="{606D74C2-F29D-4018-9D26-298EF4547170}"/>
    <cellStyle name="Style 60" xfId="2942" xr:uid="{41E8C59E-6DF8-45F4-8132-53E58ABE8C85}"/>
    <cellStyle name="Style 60 2" xfId="2943" xr:uid="{07443CA2-EDB0-48D3-8B61-76F25C87B813}"/>
    <cellStyle name="Style 60 2 2" xfId="2944" xr:uid="{10764A3F-A9A3-4AAA-8F76-49DA1FBDC050}"/>
    <cellStyle name="Style 60 2 2 2" xfId="2945" xr:uid="{17844E39-603B-453E-9271-62A83562E9EB}"/>
    <cellStyle name="Style 60 2 2 2 2" xfId="2946" xr:uid="{B6C6A5A7-90CF-486E-A65C-D0A16CE232E9}"/>
    <cellStyle name="Style 60 2 2 2 2 2" xfId="2947" xr:uid="{8DBC1BD6-3FB0-48F3-A30A-65ED9533C7F0}"/>
    <cellStyle name="Style 60 2 2 2 2 2 2" xfId="9917" xr:uid="{63DF3873-095A-4BB3-A23E-0397897830D6}"/>
    <cellStyle name="Style 60 2 2 2 2 3" xfId="9918" xr:uid="{B091013D-C421-42F5-A90D-6BBF5A0812E8}"/>
    <cellStyle name="Style 60 2 2 2 3" xfId="2948" xr:uid="{703E6488-100B-40AA-BE89-2CE0FA61437F}"/>
    <cellStyle name="Style 60 2 2 2 3 2" xfId="9919" xr:uid="{EDE351C5-69EE-4B89-8B54-E4F36AE4ECED}"/>
    <cellStyle name="Style 60 2 2 2 4" xfId="9920" xr:uid="{7072501B-6EAA-4C81-B712-574DE0E6AE92}"/>
    <cellStyle name="Style 60 2 2 3" xfId="2949" xr:uid="{06D58A37-1D65-4EC5-BA88-7E30EB90971E}"/>
    <cellStyle name="Style 60 2 2 3 2" xfId="2950" xr:uid="{E41C9E0F-3B2E-42AA-A580-FB32D25340F1}"/>
    <cellStyle name="Style 60 2 2 3 2 2" xfId="9921" xr:uid="{7DC18F34-3163-4867-82A5-59B4D9551677}"/>
    <cellStyle name="Style 60 2 2 3 3" xfId="9922" xr:uid="{FF9E5D31-93DA-4DBB-914B-DEE8ACFA2A07}"/>
    <cellStyle name="Style 60 2 2 4" xfId="2951" xr:uid="{53DF1782-0D0B-4AF8-8753-7259DCBB8822}"/>
    <cellStyle name="Style 60 2 2 4 2" xfId="9923" xr:uid="{38A8C1DE-F3D3-4E0C-8430-552E4B5F641F}"/>
    <cellStyle name="Style 60 2 2 5" xfId="9924" xr:uid="{E05A585B-B7D9-4651-93F1-3B5E6052434F}"/>
    <cellStyle name="Style 60 2 3" xfId="2952" xr:uid="{EFCC9387-CDDB-4B7F-81CC-55B40E93D940}"/>
    <cellStyle name="Style 60 2 3 2" xfId="2953" xr:uid="{64CBA891-992F-41C3-864B-BCB87BD73811}"/>
    <cellStyle name="Style 60 2 3 2 2" xfId="2954" xr:uid="{2A24F2DE-A76E-4A8C-A2E7-6E5F772C1D3C}"/>
    <cellStyle name="Style 60 2 3 2 2 2" xfId="9925" xr:uid="{BAFA89F9-FF56-4555-8182-F7068F6AAF2D}"/>
    <cellStyle name="Style 60 2 3 2 3" xfId="9926" xr:uid="{1C33B82B-E1A9-4A94-BCB8-79A7F84E1BFE}"/>
    <cellStyle name="Style 60 2 3 3" xfId="2955" xr:uid="{CA431A6A-E88F-4D43-9D05-59F5B129AE1D}"/>
    <cellStyle name="Style 60 2 3 3 2" xfId="9927" xr:uid="{48C75E34-57A0-4B00-B081-1E03C23F2102}"/>
    <cellStyle name="Style 60 2 3 4" xfId="9928" xr:uid="{59FC09DA-DDE5-47F7-B070-33A302C98666}"/>
    <cellStyle name="Style 60 2 4" xfId="2956" xr:uid="{914D1E7C-46D0-4099-9769-EB8793E1780D}"/>
    <cellStyle name="Style 60 2 4 2" xfId="2957" xr:uid="{3CBBBE20-2901-4FF4-804C-5636EE9E39F6}"/>
    <cellStyle name="Style 60 2 4 2 2" xfId="9929" xr:uid="{74CD9427-F88D-471B-B723-ADC64D1EC202}"/>
    <cellStyle name="Style 60 2 4 3" xfId="9930" xr:uid="{16E2127F-1C49-49EB-A304-0F8C9A2597E6}"/>
    <cellStyle name="Style 60 2 5" xfId="2958" xr:uid="{BA8B4B18-A206-4F52-9FF3-A442A5CA0058}"/>
    <cellStyle name="Style 60 2 5 2" xfId="9931" xr:uid="{D5414EC3-24F4-4A54-B55C-8BCC82027546}"/>
    <cellStyle name="Style 60 2 6" xfId="9932" xr:uid="{A3A0F543-0B57-4B1E-A108-F213DAEE28E0}"/>
    <cellStyle name="Style 60 3" xfId="2959" xr:uid="{D2FE35C7-B2DA-4280-B5C1-4A1083D2E825}"/>
    <cellStyle name="Style 60 3 2" xfId="2960" xr:uid="{FD38502F-875E-41F0-8EBC-DC44A35C6C82}"/>
    <cellStyle name="Style 60 3 2 2" xfId="2961" xr:uid="{68F72E66-28AC-4B0E-8B14-9FA1E09C3C6F}"/>
    <cellStyle name="Style 60 3 2 2 2" xfId="2962" xr:uid="{E8E817C2-4D7E-48A3-999D-7549BBDD4AAD}"/>
    <cellStyle name="Style 60 3 2 2 2 2" xfId="2963" xr:uid="{E06F6D7E-9F01-4484-A220-5D3A27235D53}"/>
    <cellStyle name="Style 60 3 2 2 2 2 2" xfId="9933" xr:uid="{DE1BE00B-AA1E-4D67-8AD7-9D1831E1D684}"/>
    <cellStyle name="Style 60 3 2 2 2 3" xfId="9934" xr:uid="{FD41D438-BD6B-4583-8350-EAEB9CA47CBC}"/>
    <cellStyle name="Style 60 3 2 2 3" xfId="2964" xr:uid="{6478B123-9366-4062-ACBB-96BC7A0567E6}"/>
    <cellStyle name="Style 60 3 2 2 3 2" xfId="9935" xr:uid="{B98A8365-9087-4341-BEA7-B74C49C04B5D}"/>
    <cellStyle name="Style 60 3 2 2 4" xfId="9936" xr:uid="{D7307F79-8D60-43BA-BB95-A9FFB7B32EE6}"/>
    <cellStyle name="Style 60 3 2 3" xfId="2965" xr:uid="{F043BD2F-0542-4FE7-86A2-DBEEBCEE415F}"/>
    <cellStyle name="Style 60 3 2 3 2" xfId="2966" xr:uid="{8F9B13F0-8B74-4404-899B-1EF26F0BB3EA}"/>
    <cellStyle name="Style 60 3 2 3 2 2" xfId="9937" xr:uid="{5A149A35-91C9-4069-9D51-361831C009ED}"/>
    <cellStyle name="Style 60 3 2 3 3" xfId="9938" xr:uid="{7E4C4519-EE88-4C64-8EF3-9C72696AD2C7}"/>
    <cellStyle name="Style 60 3 2 4" xfId="2967" xr:uid="{74211D71-94DE-44A3-9D94-8716276FD454}"/>
    <cellStyle name="Style 60 3 2 4 2" xfId="9939" xr:uid="{6075B59F-D5EF-46EE-BECB-0BBD60E80461}"/>
    <cellStyle name="Style 60 3 2 5" xfId="9940" xr:uid="{B713E7B8-45D9-40BF-9D5B-70FFF1B1715B}"/>
    <cellStyle name="Style 60 3 3" xfId="2968" xr:uid="{0123BC65-5ADA-41C7-BB81-98F4C03EA711}"/>
    <cellStyle name="Style 60 3 3 2" xfId="2969" xr:uid="{DDF3413F-5CA8-490C-9FA3-AA6028555BA8}"/>
    <cellStyle name="Style 60 3 3 2 2" xfId="2970" xr:uid="{B08A8790-56DA-4339-A9A1-E1B9DB3FAB9D}"/>
    <cellStyle name="Style 60 3 3 2 2 2" xfId="2971" xr:uid="{AEED436F-6D5B-45CB-8BC7-1F399B551235}"/>
    <cellStyle name="Style 60 3 3 2 2 2 2" xfId="9941" xr:uid="{754E315F-5103-423D-A071-BB508E318446}"/>
    <cellStyle name="Style 60 3 3 2 2 3" xfId="9942" xr:uid="{19001EDA-79DB-4CD4-9010-072E048A79D5}"/>
    <cellStyle name="Style 60 3 3 2 3" xfId="2972" xr:uid="{04EA24C3-C074-46BD-9496-B7D1BBFED70F}"/>
    <cellStyle name="Style 60 3 3 2 3 2" xfId="9943" xr:uid="{9B901223-E82B-4C94-9E4E-2B82C664B1C1}"/>
    <cellStyle name="Style 60 3 3 2 4" xfId="9944" xr:uid="{DD41FBC3-7527-4A7E-A685-35017FDBB6D7}"/>
    <cellStyle name="Style 60 3 3 3" xfId="2973" xr:uid="{0B1B4678-6BB5-4BEE-A301-728EDCFEED2C}"/>
    <cellStyle name="Style 60 3 3 3 2" xfId="9945" xr:uid="{A241C643-3A6E-4789-9A85-F89405811A49}"/>
    <cellStyle name="Style 60 3 3 4" xfId="6518" xr:uid="{ECF02400-F2C9-47E5-BA1F-47941C87A6CF}"/>
    <cellStyle name="Style 60 3 3 5" xfId="9946" xr:uid="{6A8DB01C-16DA-4A39-AB4D-8C613581C6F6}"/>
    <cellStyle name="Style 60 3 4" xfId="2974" xr:uid="{02A543CB-8D76-4F56-87C5-A418DB4A7C91}"/>
    <cellStyle name="Style 60 3 4 2" xfId="2975" xr:uid="{6D207A64-2ED3-43AF-BD63-EC1085AC1993}"/>
    <cellStyle name="Style 60 3 4 2 2" xfId="9947" xr:uid="{1DF79A71-90FE-4462-B7D1-966DBFA251F0}"/>
    <cellStyle name="Style 60 3 4 3" xfId="9948" xr:uid="{B11E1892-C9D7-41C6-9DEF-DA3CFDD74D15}"/>
    <cellStyle name="Style 60 3 5" xfId="2976" xr:uid="{1B485DF6-B30D-4073-8986-F3ECDF6CA2F6}"/>
    <cellStyle name="Style 60 3 5 2" xfId="9949" xr:uid="{C19DC932-5282-4295-A479-D38E05540BC8}"/>
    <cellStyle name="Style 60 3 6" xfId="9950" xr:uid="{B561DF82-BC56-4B2E-AD30-3F4A149CFB0B}"/>
    <cellStyle name="Style 60 4" xfId="2977" xr:uid="{BA838D27-9E5F-4242-9851-8D7FDE99B180}"/>
    <cellStyle name="Style 60 4 2" xfId="2978" xr:uid="{86D2679E-2096-41E8-84A2-0FB436D29C15}"/>
    <cellStyle name="Style 60 4 2 2" xfId="2979" xr:uid="{6A72ADEE-6CAB-498E-A831-28612BEBEF80}"/>
    <cellStyle name="Style 60 4 2 2 2" xfId="2980" xr:uid="{9C391E79-E26F-4EE7-B6DC-4F7079935E31}"/>
    <cellStyle name="Style 60 4 2 2 2 2" xfId="9951" xr:uid="{21692510-C219-42C9-9B0E-80264380B84F}"/>
    <cellStyle name="Style 60 4 2 2 3" xfId="9952" xr:uid="{C4A01486-BE53-4D17-8460-32850746601A}"/>
    <cellStyle name="Style 60 4 2 3" xfId="2981" xr:uid="{DE79D366-B01B-4650-B081-F2995F1220BE}"/>
    <cellStyle name="Style 60 4 2 3 2" xfId="9953" xr:uid="{CFFA0DC3-5CB8-4B99-A4F7-EC0C4B4046F6}"/>
    <cellStyle name="Style 60 4 2 4" xfId="9954" xr:uid="{0521529F-342E-49DA-A827-0AA4C0B58B29}"/>
    <cellStyle name="Style 60 4 3" xfId="2982" xr:uid="{C1C15B90-45A2-436F-8FCC-C4E9FF08B069}"/>
    <cellStyle name="Style 60 4 3 2" xfId="9955" xr:uid="{8709907A-F126-4900-B206-B0B7E929884A}"/>
    <cellStyle name="Style 60 4 4" xfId="6519" xr:uid="{5E392756-8B3F-4C4F-BB71-AC0BED161C77}"/>
    <cellStyle name="Style 60 4 5" xfId="9956" xr:uid="{EB56E065-5D26-47CD-8A8E-82099D97C106}"/>
    <cellStyle name="Style 60 5" xfId="2983" xr:uid="{9D4A0BA8-4177-4011-9FFF-E418B65C4809}"/>
    <cellStyle name="Style 60 5 2" xfId="2984" xr:uid="{AFDE7F82-3559-4F7F-9714-65A7F3E7A563}"/>
    <cellStyle name="Style 60 5 2 2" xfId="9957" xr:uid="{6FB70041-CE10-43A9-A17E-9BCF2445F4AA}"/>
    <cellStyle name="Style 60 5 3" xfId="9958" xr:uid="{B8AE19D8-DC48-4A1E-89E6-7688867F4F48}"/>
    <cellStyle name="Style 60 6" xfId="2985" xr:uid="{E2E63C4C-89D2-41B1-95AC-91414BDFB094}"/>
    <cellStyle name="Style 60 6 2" xfId="4181" xr:uid="{C761229E-7CFF-43C4-B248-C56DFD7818F5}"/>
    <cellStyle name="Style 60 6 2 2" xfId="6520" xr:uid="{A30A82F1-43E9-4756-94EB-97D225B99CC1}"/>
    <cellStyle name="Style 60 6 3" xfId="9959" xr:uid="{4BA5641D-639E-465E-A2D4-A1D5D4D47C89}"/>
    <cellStyle name="Style 60 7" xfId="4180" xr:uid="{1C1D0003-5F1B-46C1-9F70-70FE431229CE}"/>
    <cellStyle name="Style 60 7 2" xfId="6522" xr:uid="{7180563B-5701-4D19-866A-E377147541D3}"/>
    <cellStyle name="Style 60 7 3" xfId="6521" xr:uid="{29488615-F193-4262-BEDE-D70E8091DACB}"/>
    <cellStyle name="Style 60 8" xfId="6523" xr:uid="{40057D68-AD28-4B2A-8340-669141DB1EE9}"/>
    <cellStyle name="Style 60 9" xfId="9960" xr:uid="{0D5BCCEF-9B0A-46C4-8AFB-D46B2F7EA7EE}"/>
    <cellStyle name="Style 60 9 2" xfId="26668" xr:uid="{D444516A-1078-4EDB-9712-5609AA158BAB}"/>
    <cellStyle name="Style 60_ADDON" xfId="25800" xr:uid="{5C2795FC-7128-49FE-B8E9-55A699FF07C5}"/>
    <cellStyle name="Style 61" xfId="2986" xr:uid="{CD344CBE-23FD-4A70-9751-6BE4CDA9B9D6}"/>
    <cellStyle name="Style 61 10" xfId="23772" xr:uid="{D2AE5543-1645-4B10-B2E1-179F2955E12D}"/>
    <cellStyle name="Style 61 2" xfId="2987" xr:uid="{13AA9697-775D-4946-9740-67F9429F49E9}"/>
    <cellStyle name="Style 61 2 2" xfId="9961" xr:uid="{B1B1EC17-1FEC-4E94-9330-56880DA3C882}"/>
    <cellStyle name="Style 61 2 2 2" xfId="29011" xr:uid="{47B552C3-42C8-4422-B1F3-CC2987BDA827}"/>
    <cellStyle name="Style 61 2 3" xfId="23773" xr:uid="{64140C20-41CE-4AB0-8269-9AF1415D87A1}"/>
    <cellStyle name="Style 61 3" xfId="2988" xr:uid="{C98B8559-5AE1-4B1C-B009-14FAAACF9D26}"/>
    <cellStyle name="Style 61 3 2" xfId="2989" xr:uid="{83462259-B9C0-4C69-B2A9-42AB2E80E1E3}"/>
    <cellStyle name="Style 61 3 2 2" xfId="23775" xr:uid="{403E6603-1DB6-4AD6-AEFD-CAC37B6FFBB6}"/>
    <cellStyle name="Style 61 3 3" xfId="2990" xr:uid="{F1E23489-AD59-4BFC-B49F-953967AE8E9F}"/>
    <cellStyle name="Style 61 3 3 2" xfId="2991" xr:uid="{2DA914F8-3818-4F6A-9237-7E3D59FA3D41}"/>
    <cellStyle name="Style 61 3 3 2 2" xfId="23777" xr:uid="{C201FFF5-1AA0-46F1-B1B3-19EC04B76BB7}"/>
    <cellStyle name="Style 61 3 3 3" xfId="6524" xr:uid="{E4DB942C-31D7-4F62-9643-20FE5B66BDE6}"/>
    <cellStyle name="Style 61 3 3 3 2" xfId="23778" xr:uid="{A6DE6660-6123-44FC-99AE-9E11EC4F052C}"/>
    <cellStyle name="Style 61 3 3 4" xfId="6525" xr:uid="{21235E96-2E3F-4664-9E4B-764A659CD3E3}"/>
    <cellStyle name="Style 61 3 3 4 2" xfId="24781" xr:uid="{319DB7CB-0BE3-49E2-A114-01B31D2B9BCF}"/>
    <cellStyle name="Style 61 3 3 5" xfId="23776" xr:uid="{2658D0B9-362D-41A0-BF69-29AC2937749C}"/>
    <cellStyle name="Style 61 3 4" xfId="2992" xr:uid="{9DE3F25A-69CD-4E39-A854-00D834CC4ABD}"/>
    <cellStyle name="Style 61 3 4 2" xfId="2993" xr:uid="{1EB70D07-D4FC-4E78-923A-736918AA2BC7}"/>
    <cellStyle name="Style 61 3 4 2 2" xfId="23780" xr:uid="{1F529A43-D1CD-4DA6-82C7-28DDBC507BC5}"/>
    <cellStyle name="Style 61 3 4 3" xfId="23779" xr:uid="{7DBC21B9-254F-4D29-9AF6-464D20FEB0C8}"/>
    <cellStyle name="Style 61 3 5" xfId="6526" xr:uid="{EC28A7E0-7CC6-4A20-9544-4C726C48CE2B}"/>
    <cellStyle name="Style 61 3 5 2" xfId="24782" xr:uid="{2DFF7542-3596-4072-AC98-38ED036CAF1E}"/>
    <cellStyle name="Style 61 3 6" xfId="23774" xr:uid="{ECBCA07A-7764-4563-89BB-3DD4A9FAE7C9}"/>
    <cellStyle name="Style 61 4" xfId="2994" xr:uid="{DF8116D4-EE00-41E0-B664-509F767DC1D8}"/>
    <cellStyle name="Style 61 4 2" xfId="2995" xr:uid="{BD3F09CC-3580-4DC7-B718-9D7CE4B26833}"/>
    <cellStyle name="Style 61 4 2 2" xfId="23782" xr:uid="{9732AD92-8331-4805-A84F-2D269F2E04C0}"/>
    <cellStyle name="Style 61 4 3" xfId="6527" xr:uid="{8CC33A9F-8857-49B3-B39D-007A25EA2CC7}"/>
    <cellStyle name="Style 61 4 3 2" xfId="23783" xr:uid="{802D0482-5D78-4ED2-AB19-8CFB55E66BA4}"/>
    <cellStyle name="Style 61 4 4" xfId="6528" xr:uid="{31BF5475-18EE-491F-AA84-B6FF6090ADBB}"/>
    <cellStyle name="Style 61 4 4 2" xfId="24783" xr:uid="{2A1F1DE1-83CB-4E5E-A54D-9E887C795B8D}"/>
    <cellStyle name="Style 61 4 5" xfId="23781" xr:uid="{A0F2E751-52C1-4204-8796-7DB4C1A6415F}"/>
    <cellStyle name="Style 61 5" xfId="2996" xr:uid="{A8868A25-DB2B-4C9E-92EE-C19F5E8B5358}"/>
    <cellStyle name="Style 61 5 2" xfId="2997" xr:uid="{163FDAC1-40BA-44E4-B5D5-40FEC8E54808}"/>
    <cellStyle name="Style 61 5 2 2" xfId="23785" xr:uid="{3D495BBC-8F95-4625-8718-294DA0D41266}"/>
    <cellStyle name="Style 61 5 3" xfId="23784" xr:uid="{0658DA0A-077E-41FE-B3FC-20561D8AA44B}"/>
    <cellStyle name="Style 61 6" xfId="2998" xr:uid="{1E9AC0E9-9129-40D5-9631-7EA3B993B090}"/>
    <cellStyle name="Style 61 6 2" xfId="2999" xr:uid="{4482222B-90A4-4267-9147-4F3CCE7F584A}"/>
    <cellStyle name="Style 61 6 2 2" xfId="24784" xr:uid="{9CD7A575-67C1-407D-B185-D0E79A23F39A}"/>
    <cellStyle name="Style 61 6 3" xfId="4183" xr:uid="{D9014046-1685-4C3F-8248-9012009AF1C2}"/>
    <cellStyle name="Style 61 6 3 2" xfId="28330" xr:uid="{342486BB-B867-41EE-B0EA-C3B922E64A4F}"/>
    <cellStyle name="Style 61 6 4" xfId="23786" xr:uid="{6E96477F-84BD-4BAD-A303-6E1591278E37}"/>
    <cellStyle name="Style 61 7" xfId="4182" xr:uid="{6A4EBB38-F163-4188-8318-8EE79AEACC75}"/>
    <cellStyle name="Style 61 7 2" xfId="6530" xr:uid="{C553D794-2A97-42C1-8C90-84F665694765}"/>
    <cellStyle name="Style 61 7 2 2" xfId="24785" xr:uid="{654FCCCB-E1C3-45F5-87FB-AD0254247FCC}"/>
    <cellStyle name="Style 61 7 3" xfId="6529" xr:uid="{EC0EFB90-6B46-4E3A-8101-4A3A79468738}"/>
    <cellStyle name="Style 61 7 3 2" xfId="40727" xr:uid="{8110F306-6476-4462-BDA1-49BDCFCBE2A4}"/>
    <cellStyle name="Style 61 7 4" xfId="23787" xr:uid="{16EDBAE9-C8AB-429B-B007-FDB6D258F900}"/>
    <cellStyle name="Style 61 8" xfId="6531" xr:uid="{28A69C25-7DE2-42DA-B4FE-B14E53FDD2A8}"/>
    <cellStyle name="Style 61 8 2" xfId="24786" xr:uid="{6F8796EB-5947-4D2A-AFCA-8A02C28B19EE}"/>
    <cellStyle name="Style 61 9" xfId="9962" xr:uid="{42F2F98F-EEFC-4E14-9F8B-AC8C9F093E40}"/>
    <cellStyle name="Style 61 9 2" xfId="26669" xr:uid="{F737A525-FCD4-4C53-B1C5-6E57617A3B03}"/>
    <cellStyle name="Style 61_ADDON" xfId="25749" xr:uid="{D3ABCFC9-45CE-4B05-B2E4-DACE9789308F}"/>
    <cellStyle name="Style 62" xfId="3000" xr:uid="{C9695C54-5F94-487F-9CC3-843AFE15643D}"/>
    <cellStyle name="Style 62 10" xfId="3001" xr:uid="{23537B94-CAFC-48CC-942D-C1C45A099708}"/>
    <cellStyle name="Style 62 10 2" xfId="3002" xr:uid="{C51311B9-AC5B-4C24-A5BE-2CC3739D01BD}"/>
    <cellStyle name="Style 62 10 2 2" xfId="6532" xr:uid="{701FABA4-88E0-4B83-A801-B18838426A72}"/>
    <cellStyle name="Style 62 10 2 2 2" xfId="27769" xr:uid="{22188E5B-DC78-4DB8-9EC1-7B493C1DBEB5}"/>
    <cellStyle name="Style 62 10 2 3" xfId="9963" xr:uid="{F112CC33-0E66-4877-8EBA-34F3D464CB89}"/>
    <cellStyle name="Style 62 10 2 3 2" xfId="29012" xr:uid="{6AF22976-8094-4E5F-9D54-F93CB7A1912E}"/>
    <cellStyle name="Style 62 10 2 4" xfId="24787" xr:uid="{F08D98A6-851F-49E8-975B-591E2CBFCD2F}"/>
    <cellStyle name="Style 62 10 3" xfId="4184" xr:uid="{068F4956-3C76-461E-9ACA-4E42F5C2515F}"/>
    <cellStyle name="Style 62 10 3 2" xfId="27768" xr:uid="{AEDE991E-0E81-48DA-A298-BD684948280A}"/>
    <cellStyle name="Style 62 10 4" xfId="9964" xr:uid="{3F7ECD3A-BCF0-4D06-BB1D-80E6436CD380}"/>
    <cellStyle name="Style 62 10 4 2" xfId="29013" xr:uid="{C1B438E3-AB4A-4612-AFD6-1FEC2306B37C}"/>
    <cellStyle name="Style 62 10 5" xfId="23789" xr:uid="{479618F5-C66D-4530-A053-58C18D23C550}"/>
    <cellStyle name="Style 62 11" xfId="3003" xr:uid="{FA6F2D51-02CB-4C67-9F13-83B8FF46ABD5}"/>
    <cellStyle name="Style 62 11 2" xfId="3004" xr:uid="{356B63F1-B5C7-4A45-922D-EDBCBF02FED7}"/>
    <cellStyle name="Style 62 11 2 2" xfId="6534" xr:uid="{2A3E1F75-4CD6-4F62-B995-79A0D279DAB4}"/>
    <cellStyle name="Style 62 11 2 2 2" xfId="27771" xr:uid="{09B5C9F3-7092-47E2-B3AD-870052F6CFB2}"/>
    <cellStyle name="Style 62 11 2 3" xfId="9965" xr:uid="{8EF35EB6-0C83-4A6F-BA12-E54E2DC40341}"/>
    <cellStyle name="Style 62 11 2 3 2" xfId="29014" xr:uid="{BB9944F1-8A2E-40E0-B089-0DC4B197601B}"/>
    <cellStyle name="Style 62 11 2 4" xfId="24788" xr:uid="{AFF921E9-B926-4974-853D-37E4D1C03DAF}"/>
    <cellStyle name="Style 62 11 3" xfId="6533" xr:uid="{0C070160-FE47-47EA-A80A-50346EA6E36A}"/>
    <cellStyle name="Style 62 11 3 2" xfId="27770" xr:uid="{AE4E8218-0E34-4A7A-BF3C-C244368CB55C}"/>
    <cellStyle name="Style 62 11 4" xfId="9966" xr:uid="{75671315-9275-4F71-86A8-6C34C737FC80}"/>
    <cellStyle name="Style 62 11 4 2" xfId="29015" xr:uid="{861C687F-146C-4453-AFA7-59AF56067237}"/>
    <cellStyle name="Style 62 11 5" xfId="23790" xr:uid="{E8BC0EB9-E384-4ABE-A009-344DCD7312CE}"/>
    <cellStyle name="Style 62 12" xfId="3005" xr:uid="{B61AC5B1-790A-4B76-98A9-0FD8FBDE7070}"/>
    <cellStyle name="Style 62 12 2" xfId="6535" xr:uid="{3EDE2E9F-067D-4953-9A65-4B17B92EECA9}"/>
    <cellStyle name="Style 62 12 2 2" xfId="9967" xr:uid="{E6CE39F1-2488-4CE6-B135-69B991A37326}"/>
    <cellStyle name="Style 62 12 2 2 2" xfId="29016" xr:uid="{5352F21E-2238-41D4-8D32-8311C296657F}"/>
    <cellStyle name="Style 62 12 2 3" xfId="27772" xr:uid="{3B72E5F5-4605-4581-8ECE-31C5979596CB}"/>
    <cellStyle name="Style 62 12 3" xfId="9968" xr:uid="{D344AF50-5356-4A42-8127-8600E56044C5}"/>
    <cellStyle name="Style 62 12 3 2" xfId="29017" xr:uid="{FC9CA10C-C031-4C84-ACB6-3FF329F0A29F}"/>
    <cellStyle name="Style 62 12 4" xfId="9969" xr:uid="{A11DD5B2-11BC-4CE4-8245-57C9F165DA77}"/>
    <cellStyle name="Style 62 12 4 2" xfId="29018" xr:uid="{B0FAA558-0BB8-4BF9-857F-B64065603439}"/>
    <cellStyle name="Style 62 12 5" xfId="9970" xr:uid="{3750A1B9-DA3D-4C27-876C-AD4822B7C60D}"/>
    <cellStyle name="Style 62 12 5 2" xfId="29019" xr:uid="{3E3ABCFC-E657-4910-B7C7-FFDE460DA70A}"/>
    <cellStyle name="Style 62 12 6" xfId="9971" xr:uid="{D95F144D-5A90-44B0-AF5C-542CA28402BD}"/>
    <cellStyle name="Style 62 12 6 2" xfId="29020" xr:uid="{7A816D4B-D591-40AF-92F2-489FE919BEF0}"/>
    <cellStyle name="Style 62 12 7" xfId="24789" xr:uid="{E12F457E-7175-4669-892F-EC7D7978940E}"/>
    <cellStyle name="Style 62 13" xfId="9972" xr:uid="{DF77B83A-2E6E-4228-A252-CAE243E5CEB8}"/>
    <cellStyle name="Style 62 13 2" xfId="9973" xr:uid="{A42C4309-AC15-47BB-8386-83FC7FFBF7FA}"/>
    <cellStyle name="Style 62 13 2 2" xfId="29021" xr:uid="{0925D8A2-6C54-4BEC-9154-EAE1279331B0}"/>
    <cellStyle name="Style 62 13 3" xfId="9974" xr:uid="{30B5976E-3D53-49D9-A19F-53D46FD10266}"/>
    <cellStyle name="Style 62 13 3 2" xfId="29022" xr:uid="{B4DC2D07-9445-44FA-8DC0-EF3C77012500}"/>
    <cellStyle name="Style 62 13 4" xfId="26670" xr:uid="{B17ED277-B4F2-45B6-AC07-552961B8AEDD}"/>
    <cellStyle name="Style 62 14" xfId="9975" xr:uid="{A4E60C28-2D55-4148-99CA-6AE335D64D49}"/>
    <cellStyle name="Style 62 14 2" xfId="9976" xr:uid="{6B6DCA06-DAD9-4ED5-9912-625CF1AEBD5E}"/>
    <cellStyle name="Style 62 14 2 2" xfId="29024" xr:uid="{AF11EC3A-00DE-429C-922D-216142B80BD1}"/>
    <cellStyle name="Style 62 14 3" xfId="29023" xr:uid="{CE5A76B1-8DBF-4F74-BD4C-C0B94CF5AFBA}"/>
    <cellStyle name="Style 62 15" xfId="9977" xr:uid="{E8E0977E-3C86-4900-9A81-EEB5C067E151}"/>
    <cellStyle name="Style 62 15 2" xfId="9978" xr:uid="{FEC2E6F5-DFBA-4C37-8D4F-B843E570C36A}"/>
    <cellStyle name="Style 62 15 2 2" xfId="29026" xr:uid="{A8A22317-1A99-484B-9D72-CDDF9723390D}"/>
    <cellStyle name="Style 62 15 3" xfId="29025" xr:uid="{4B48B1F6-2CED-411F-A5C3-E7DA24DDA620}"/>
    <cellStyle name="Style 62 16" xfId="9979" xr:uid="{D4DD842B-C005-40BD-8DF2-2906FFF310E6}"/>
    <cellStyle name="Style 62 16 2" xfId="29027" xr:uid="{8F09FB98-4B4D-47DD-8A52-17E469F74174}"/>
    <cellStyle name="Style 62 17" xfId="23788" xr:uid="{E3F3F753-7B40-444C-9292-0499431E9296}"/>
    <cellStyle name="Style 62 2" xfId="3006" xr:uid="{719CFD8F-4420-4A03-AD34-2FCFC50965D5}"/>
    <cellStyle name="Style 62 2 2" xfId="4420" xr:uid="{0EBF0349-E67F-4956-BEFE-C2F199048384}"/>
    <cellStyle name="Style 62 2 2 2" xfId="26671" xr:uid="{82C040A9-D55C-4959-AC47-FA088ABC3C6E}"/>
    <cellStyle name="Style 62 2 3" xfId="9980" xr:uid="{5DC82BE8-EA1B-48B3-9D57-A9A35DD401D9}"/>
    <cellStyle name="Style 62 2 3 2" xfId="29028" xr:uid="{E89A4F08-0056-47B0-A782-7CC99295B86B}"/>
    <cellStyle name="Style 62 2 4" xfId="23791" xr:uid="{B1E8F1F8-619D-4F83-9CD2-CBC62DA88F7B}"/>
    <cellStyle name="Style 62 3" xfId="3007" xr:uid="{CDF73703-3DCF-450B-8766-98A78CA2EF08}"/>
    <cellStyle name="Style 62 3 2" xfId="3008" xr:uid="{77090E55-4C99-48FC-847A-B5EB621D97B5}"/>
    <cellStyle name="Style 62 3 2 2" xfId="3009" xr:uid="{01F35B76-CFE1-4391-91BB-5CF76AB92850}"/>
    <cellStyle name="Style 62 3 2 2 2" xfId="6536" xr:uid="{0D2C08C5-C38B-4CB5-89FD-AC2196D4A0A6}"/>
    <cellStyle name="Style 62 3 2 2 2 2" xfId="27773" xr:uid="{63B5D9EC-00CF-4B46-A8B6-BE86AD41284E}"/>
    <cellStyle name="Style 62 3 2 2 3" xfId="9981" xr:uid="{57CE37AB-EE00-4E29-840A-0AA001007F8F}"/>
    <cellStyle name="Style 62 3 2 2 3 2" xfId="29029" xr:uid="{C7B3D955-34E2-44BC-875E-AA5CD415EB0B}"/>
    <cellStyle name="Style 62 3 2 2 4" xfId="23794" xr:uid="{BE189B4F-80AD-4EBC-8E53-8B1CF37D91A9}"/>
    <cellStyle name="Style 62 3 2 3" xfId="4422" xr:uid="{7625CBF6-97E1-4A23-8EAB-A8C812B586DF}"/>
    <cellStyle name="Style 62 3 2 3 2" xfId="26673" xr:uid="{EF4F1F5E-9DB5-4A28-BF70-2D6E370F68B1}"/>
    <cellStyle name="Style 62 3 2 4" xfId="9982" xr:uid="{FC4641F1-A146-4F6A-8D06-912DD87464FF}"/>
    <cellStyle name="Style 62 3 2 4 2" xfId="29030" xr:uid="{50560B82-8856-4C87-A43C-9CFEF65BDC63}"/>
    <cellStyle name="Style 62 3 2 5" xfId="23793" xr:uid="{980153FC-7912-4A6F-9675-DA09568F0AD1}"/>
    <cellStyle name="Style 62 3 3" xfId="3010" xr:uid="{64295B45-B5FD-4D8C-ABF7-513D1A88E728}"/>
    <cellStyle name="Style 62 3 3 2" xfId="3011" xr:uid="{EC2D686C-4647-4202-8F9E-F85F858F9A65}"/>
    <cellStyle name="Style 62 3 3 2 2" xfId="6538" xr:uid="{A69E3BAF-1C47-4DBF-B5DE-5019198C2917}"/>
    <cellStyle name="Style 62 3 3 2 2 2" xfId="27775" xr:uid="{B943327E-E7CE-4670-B2B6-990785806986}"/>
    <cellStyle name="Style 62 3 3 2 3" xfId="9983" xr:uid="{0837830A-63F9-4E96-9055-5707C42AD893}"/>
    <cellStyle name="Style 62 3 3 2 3 2" xfId="29031" xr:uid="{7641A6CB-E96C-469A-86F0-4896AA3D4018}"/>
    <cellStyle name="Style 62 3 3 2 4" xfId="23796" xr:uid="{6D17AE16-A61E-48FC-A90F-B971E76FD652}"/>
    <cellStyle name="Style 62 3 3 3" xfId="3012" xr:uid="{93BC605C-8B30-4125-BB0B-7D7D2E73738B}"/>
    <cellStyle name="Style 62 3 3 3 2" xfId="3013" xr:uid="{5BAE8820-1E7E-45F0-A509-60F0C08A41A5}"/>
    <cellStyle name="Style 62 3 3 3 2 2" xfId="6540" xr:uid="{8F9544BC-CE63-4402-8964-B353D709BED0}"/>
    <cellStyle name="Style 62 3 3 3 2 2 2" xfId="27777" xr:uid="{F5B8ADA1-32F5-4C7B-B33E-A690BD03C2A8}"/>
    <cellStyle name="Style 62 3 3 3 2 3" xfId="9984" xr:uid="{A99AFFB8-6AAB-409F-BCFD-DF40DCC57807}"/>
    <cellStyle name="Style 62 3 3 3 2 3 2" xfId="29032" xr:uid="{17188D0E-8EBA-49A0-9A1C-CFD0F4C9FA10}"/>
    <cellStyle name="Style 62 3 3 3 2 4" xfId="23798" xr:uid="{00160A51-942D-484E-ACB9-2ABB8B93C180}"/>
    <cellStyle name="Style 62 3 3 3 3" xfId="6541" xr:uid="{A956BA69-5BB5-4D13-BA66-49C963F85B6A}"/>
    <cellStyle name="Style 62 3 3 3 3 2" xfId="9985" xr:uid="{F17E6BD5-818D-4FB7-8AB1-9D4335C5DBD5}"/>
    <cellStyle name="Style 62 3 3 3 3 2 2" xfId="29033" xr:uid="{3C2811C9-ED1C-4981-AC4E-CCD00490EA4F}"/>
    <cellStyle name="Style 62 3 3 3 3 3" xfId="23799" xr:uid="{BD404B42-3624-478D-8512-E5D0E39C4C21}"/>
    <cellStyle name="Style 62 3 3 3 4" xfId="6542" xr:uid="{94D2F709-FD3F-4C9A-BC0D-DFEB12AD196A}"/>
    <cellStyle name="Style 62 3 3 3 4 2" xfId="24790" xr:uid="{91ACFC99-1F9C-45B9-9C2B-C9B498BE6C00}"/>
    <cellStyle name="Style 62 3 3 3 5" xfId="6539" xr:uid="{DD37ADED-9557-4442-BEDC-9275442A19E1}"/>
    <cellStyle name="Style 62 3 3 3 5 2" xfId="27776" xr:uid="{308E4550-8DF1-4729-96BA-AEAD841B3A92}"/>
    <cellStyle name="Style 62 3 3 3 6" xfId="9986" xr:uid="{22606052-A542-46C0-B72D-FE98AC8AE8BE}"/>
    <cellStyle name="Style 62 3 3 3 6 2" xfId="29034" xr:uid="{C7EE4933-F6E2-421E-82F7-7FBB0149D89F}"/>
    <cellStyle name="Style 62 3 3 3 7" xfId="23797" xr:uid="{E0F578C4-6FD1-4B4C-AC8B-C4C124DB06C7}"/>
    <cellStyle name="Style 62 3 3 4" xfId="3014" xr:uid="{83028495-9A77-4CAF-886B-AD8E3D8FBFED}"/>
    <cellStyle name="Style 62 3 3 4 2" xfId="3015" xr:uid="{317DAB9D-BD45-44A6-971F-CB745A72898C}"/>
    <cellStyle name="Style 62 3 3 4 2 2" xfId="6544" xr:uid="{27826443-78DE-4783-A692-0A016101B228}"/>
    <cellStyle name="Style 62 3 3 4 2 2 2" xfId="27779" xr:uid="{26E5D630-C2EA-4ED5-A15D-D3A178CB8D8A}"/>
    <cellStyle name="Style 62 3 3 4 2 3" xfId="9987" xr:uid="{22291D6C-C6B0-4B4E-9A63-97B460A27FFE}"/>
    <cellStyle name="Style 62 3 3 4 2 3 2" xfId="29035" xr:uid="{95DC57B4-E226-45C1-8C86-E953B669B2E4}"/>
    <cellStyle name="Style 62 3 3 4 2 4" xfId="23801" xr:uid="{3E05E69C-FB00-494C-B4D3-747110853D70}"/>
    <cellStyle name="Style 62 3 3 4 3" xfId="6543" xr:uid="{BB16B60C-B2C3-4768-B0DA-C35DF3242A18}"/>
    <cellStyle name="Style 62 3 3 4 3 2" xfId="27778" xr:uid="{1959D6A2-14C8-428E-BB4A-AA5496985991}"/>
    <cellStyle name="Style 62 3 3 4 4" xfId="9988" xr:uid="{029FC2BC-1929-4B5D-BAD5-0D8B4CD135D8}"/>
    <cellStyle name="Style 62 3 3 4 4 2" xfId="29036" xr:uid="{2A681AF6-78AB-4E5E-A2B6-D2F440CC4DAE}"/>
    <cellStyle name="Style 62 3 3 4 5" xfId="23800" xr:uid="{C8264AEF-AD6E-4740-8FCE-3740D3A63D8A}"/>
    <cellStyle name="Style 62 3 3 5" xfId="6545" xr:uid="{BF806848-516B-4ACE-A37C-D08E49795F59}"/>
    <cellStyle name="Style 62 3 3 5 2" xfId="9989" xr:uid="{5616DFBC-6D64-459C-95CB-A91E859162A4}"/>
    <cellStyle name="Style 62 3 3 5 2 2" xfId="29037" xr:uid="{87A091B2-8F7C-4A7D-AD86-A2D105144ED4}"/>
    <cellStyle name="Style 62 3 3 5 3" xfId="24791" xr:uid="{E72F3763-02BA-4B0D-AF1F-EB547FC9ABC4}"/>
    <cellStyle name="Style 62 3 3 6" xfId="6537" xr:uid="{2072946A-3818-43C2-A81B-6ABA5F457A53}"/>
    <cellStyle name="Style 62 3 3 6 2" xfId="27774" xr:uid="{6E90D777-D2D4-4B6A-982A-A387253E6B32}"/>
    <cellStyle name="Style 62 3 3 7" xfId="9990" xr:uid="{2FF0581A-D79A-4A92-BD6C-A8B8B5C00011}"/>
    <cellStyle name="Style 62 3 3 7 2" xfId="29038" xr:uid="{F3EEE037-3213-4998-A282-4D83E4AC6372}"/>
    <cellStyle name="Style 62 3 3 8" xfId="23795" xr:uid="{942A4DD4-FA36-4D38-ADB9-64DBFD80ABC7}"/>
    <cellStyle name="Style 62 3 4" xfId="3016" xr:uid="{858AE70D-746B-4920-82C1-F806DB3549F5}"/>
    <cellStyle name="Style 62 3 4 2" xfId="6547" xr:uid="{B591D312-EFEB-4252-B2C1-B75D533C6CA9}"/>
    <cellStyle name="Style 62 3 4 2 2" xfId="9991" xr:uid="{DAC45E47-DAEA-46A0-800C-0B17F4310C94}"/>
    <cellStyle name="Style 62 3 4 2 2 2" xfId="29039" xr:uid="{93BF5C51-C5E9-40C8-851B-1154A514F4CE}"/>
    <cellStyle name="Style 62 3 4 2 3" xfId="23803" xr:uid="{0067296B-E0F5-437D-BF5E-38E6FE2E2D60}"/>
    <cellStyle name="Style 62 3 4 3" xfId="6548" xr:uid="{8DF9CE7F-F63B-4CA8-A189-9B0686EB0F67}"/>
    <cellStyle name="Style 62 3 4 3 2" xfId="24792" xr:uid="{6FE6600B-CFAD-4B29-BAFD-7397F5775D6C}"/>
    <cellStyle name="Style 62 3 4 4" xfId="6546" xr:uid="{F4AEEE3E-D90D-48BD-92C7-95B8D8CAD98D}"/>
    <cellStyle name="Style 62 3 4 4 2" xfId="27780" xr:uid="{7DB23C22-B85C-421A-B2BA-B91CC050E8C5}"/>
    <cellStyle name="Style 62 3 4 5" xfId="9992" xr:uid="{68445902-C6F2-40EE-8E56-D87313A72D8D}"/>
    <cellStyle name="Style 62 3 4 5 2" xfId="29040" xr:uid="{1407D8D5-200E-4F34-B9E3-4E621DB090BB}"/>
    <cellStyle name="Style 62 3 4 6" xfId="23802" xr:uid="{FBF5F8A1-73D2-4E3B-8310-E16B8B322900}"/>
    <cellStyle name="Style 62 3 5" xfId="6549" xr:uid="{3E675C88-BEDC-41FA-9420-53DEBB19370D}"/>
    <cellStyle name="Style 62 3 5 2" xfId="9993" xr:uid="{CAC86A12-52AE-48D0-9A96-F7B4FD081F33}"/>
    <cellStyle name="Style 62 3 5 2 2" xfId="27781" xr:uid="{970BE7A4-871E-4BF5-969F-4B3369017166}"/>
    <cellStyle name="Style 62 3 5 3" xfId="23804" xr:uid="{D84DDF8D-81D1-48F3-BC31-D680846B0123}"/>
    <cellStyle name="Style 62 3 6" xfId="4421" xr:uid="{D4DEE675-9155-4C45-BE7C-43BD61087EE6}"/>
    <cellStyle name="Style 62 3 6 2" xfId="26672" xr:uid="{189AAE84-6EA4-4D97-A349-D4117F17A160}"/>
    <cellStyle name="Style 62 3 7" xfId="9994" xr:uid="{809A0113-ED84-4EC7-B953-110BFFE1079B}"/>
    <cellStyle name="Style 62 3 7 2" xfId="29041" xr:uid="{756512E8-9F55-4F77-8F69-9B49856467AD}"/>
    <cellStyle name="Style 62 3 8" xfId="23792" xr:uid="{389A6B8C-F2C6-4928-8F77-6DBF78B98884}"/>
    <cellStyle name="Style 62 4" xfId="3017" xr:uid="{39A2B1AC-E551-4CBA-8FE8-ED0F8C13A62C}"/>
    <cellStyle name="Style 62 4 2" xfId="3018" xr:uid="{E4D06828-0A56-4B42-8CC7-5635CD42D72C}"/>
    <cellStyle name="Style 62 4 2 2" xfId="3019" xr:uid="{EBF88B1D-FB40-4196-9D5C-CF0A5C6A0925}"/>
    <cellStyle name="Style 62 4 2 2 2" xfId="6552" xr:uid="{C7FE41FE-D484-483C-97FC-DBA088F30185}"/>
    <cellStyle name="Style 62 4 2 2 2 2" xfId="9995" xr:uid="{6A3443A5-09AF-4AC7-9744-7C713D0C4860}"/>
    <cellStyle name="Style 62 4 2 2 2 2 2" xfId="29042" xr:uid="{D93EA227-608F-4E18-82CD-9447170E7FDB}"/>
    <cellStyle name="Style 62 4 2 2 2 3" xfId="27783" xr:uid="{2AF552A9-4905-4128-A010-6B5B235A82C9}"/>
    <cellStyle name="Style 62 4 2 2 3" xfId="9996" xr:uid="{EAE46134-BC24-4420-829F-4E2EE40D6DCB}"/>
    <cellStyle name="Style 62 4 2 2 3 2" xfId="29043" xr:uid="{9FEC5B3E-E7FF-4934-97E7-FE84F144B14A}"/>
    <cellStyle name="Style 62 4 2 2 4" xfId="23807" xr:uid="{6E62C379-7E97-490E-A049-D4D030C599F3}"/>
    <cellStyle name="Style 62 4 2 3" xfId="3020" xr:uid="{3CCC0B2F-B6E7-4B5A-B2E6-5A3B0F719536}"/>
    <cellStyle name="Style 62 4 2 3 2" xfId="3021" xr:uid="{E703BEF4-851B-4AFB-9F36-9A586CA187BA}"/>
    <cellStyle name="Style 62 4 2 3 2 2" xfId="6554" xr:uid="{8BFC094F-59F8-4A6E-A5D8-01A2BEF550BE}"/>
    <cellStyle name="Style 62 4 2 3 2 2 2" xfId="9997" xr:uid="{A16A17E4-5B42-40A4-BF2A-887BBDA6DAD1}"/>
    <cellStyle name="Style 62 4 2 3 2 2 2 2" xfId="29044" xr:uid="{BC7BD5AC-5115-4296-A5C8-002B2480AC3C}"/>
    <cellStyle name="Style 62 4 2 3 2 2 3" xfId="27785" xr:uid="{6D625D0E-1377-438E-BBAD-8C00D6362829}"/>
    <cellStyle name="Style 62 4 2 3 2 3" xfId="9998" xr:uid="{DF4C30FF-0942-428C-868A-A04ED0389E8E}"/>
    <cellStyle name="Style 62 4 2 3 2 3 2" xfId="29045" xr:uid="{A66D0E08-493F-4433-A253-289EA2F0E7D3}"/>
    <cellStyle name="Style 62 4 2 3 2 4" xfId="23809" xr:uid="{D1603555-C281-494B-A538-A6B2C07E01CB}"/>
    <cellStyle name="Style 62 4 2 3 3" xfId="6555" xr:uid="{2BF0872E-A3E5-4D14-B1E4-7E4882EE75DA}"/>
    <cellStyle name="Style 62 4 2 3 3 2" xfId="9999" xr:uid="{03EF3384-A3BA-435E-BFB9-C3A4F2D30ACC}"/>
    <cellStyle name="Style 62 4 2 3 3 2 2" xfId="29046" xr:uid="{D68E5701-384E-4585-BE18-6FDD3FA986AC}"/>
    <cellStyle name="Style 62 4 2 3 3 3" xfId="23810" xr:uid="{1CE9C491-860D-476A-B04C-D1C441ED874C}"/>
    <cellStyle name="Style 62 4 2 3 4" xfId="6556" xr:uid="{12CB339C-3706-4D13-BA33-72E2AFD87F4F}"/>
    <cellStyle name="Style 62 4 2 3 4 2" xfId="10000" xr:uid="{E4C09C10-51BC-444A-B941-E3B3C62FDF10}"/>
    <cellStyle name="Style 62 4 2 3 4 2 2" xfId="29047" xr:uid="{9F3D9E6D-EDDD-4E62-94BA-6F389D9D8764}"/>
    <cellStyle name="Style 62 4 2 3 4 3" xfId="24793" xr:uid="{20837AB9-1CE9-4090-A0AC-13AA09F1C5A9}"/>
    <cellStyle name="Style 62 4 2 3 5" xfId="6553" xr:uid="{DF21D6FB-025E-4CBB-956D-B1CD11CF748B}"/>
    <cellStyle name="Style 62 4 2 3 5 2" xfId="27784" xr:uid="{0F4721B1-2220-4B84-9FF2-EE7AD82D4980}"/>
    <cellStyle name="Style 62 4 2 3 6" xfId="10001" xr:uid="{208DC556-FF76-4559-B1DB-ED2566750CBA}"/>
    <cellStyle name="Style 62 4 2 3 6 2" xfId="29048" xr:uid="{EC2FF702-F3CB-42AC-B469-BC01CFA600A8}"/>
    <cellStyle name="Style 62 4 2 3 7" xfId="23808" xr:uid="{A94BC6C3-C6FD-4606-B411-9B535F17D0E5}"/>
    <cellStyle name="Style 62 4 2 4" xfId="3022" xr:uid="{49A82985-AC34-4A83-96C3-68F6F2879227}"/>
    <cellStyle name="Style 62 4 2 4 2" xfId="3023" xr:uid="{8DC5F351-0CC3-48DE-83B9-73D166BEB96D}"/>
    <cellStyle name="Style 62 4 2 4 2 2" xfId="6558" xr:uid="{70BF7BD0-701A-4132-ABBF-21D9DB1B0EAD}"/>
    <cellStyle name="Style 62 4 2 4 2 2 2" xfId="10002" xr:uid="{A99E3C57-98BD-4CF2-A51C-418BD93D582D}"/>
    <cellStyle name="Style 62 4 2 4 2 2 2 2" xfId="29049" xr:uid="{EDBF76ED-4DC8-49A3-8E86-B18969A05123}"/>
    <cellStyle name="Style 62 4 2 4 2 2 3" xfId="27787" xr:uid="{8D508B24-AFB7-4C04-8656-CD1209A1AFF9}"/>
    <cellStyle name="Style 62 4 2 4 2 3" xfId="10003" xr:uid="{48AEE33F-72D4-4042-8440-F2A564F23C29}"/>
    <cellStyle name="Style 62 4 2 4 2 3 2" xfId="29050" xr:uid="{424844B2-DE80-4F93-8C1D-F1DFD609EF1F}"/>
    <cellStyle name="Style 62 4 2 4 2 4" xfId="23812" xr:uid="{7046772E-37D3-4C8C-91D4-B0C5F2BAE3F8}"/>
    <cellStyle name="Style 62 4 2 4 3" xfId="6557" xr:uid="{B52962E9-34EA-487E-B1A4-558426D53A64}"/>
    <cellStyle name="Style 62 4 2 4 3 2" xfId="10004" xr:uid="{086BF1D4-1D19-4DB1-A06A-65AF08310154}"/>
    <cellStyle name="Style 62 4 2 4 3 2 2" xfId="29051" xr:uid="{5EFD3532-2399-4343-8832-81E5162CABBB}"/>
    <cellStyle name="Style 62 4 2 4 3 3" xfId="27786" xr:uid="{492D8361-5E60-44D0-9B57-F09F95A24DBF}"/>
    <cellStyle name="Style 62 4 2 4 4" xfId="10005" xr:uid="{14ED8115-E5E2-4C77-8E96-47137F726DB8}"/>
    <cellStyle name="Style 62 4 2 4 4 2" xfId="29052" xr:uid="{60A12356-7D31-4569-8DAB-9965BBFB8C1B}"/>
    <cellStyle name="Style 62 4 2 4 5" xfId="23811" xr:uid="{4BE3C2FF-105B-4FD1-90B6-F42817B620A6}"/>
    <cellStyle name="Style 62 4 2 5" xfId="6559" xr:uid="{794B7965-8657-40D6-8C5B-C79A48937F36}"/>
    <cellStyle name="Style 62 4 2 5 2" xfId="10006" xr:uid="{891D7B3D-EFB4-41C5-8A5D-A39D1623D6E3}"/>
    <cellStyle name="Style 62 4 2 5 2 2" xfId="29053" xr:uid="{20861449-C830-477D-AE72-73EC706598D4}"/>
    <cellStyle name="Style 62 4 2 5 3" xfId="24794" xr:uid="{8B2C35FF-C181-4FC2-996A-0DF6514CB94C}"/>
    <cellStyle name="Style 62 4 2 6" xfId="6551" xr:uid="{E8B993D7-67A1-4BEB-9E0D-2CF7F12C8971}"/>
    <cellStyle name="Style 62 4 2 6 2" xfId="10007" xr:uid="{50EED8D2-6C3C-47E9-B2A4-B990E7019118}"/>
    <cellStyle name="Style 62 4 2 6 2 2" xfId="29054" xr:uid="{546ECD2D-73FE-4609-9CAC-B2BA72D47EAD}"/>
    <cellStyle name="Style 62 4 2 6 3" xfId="27782" xr:uid="{5393D42A-F970-4139-B9A2-F27F20AF8BB1}"/>
    <cellStyle name="Style 62 4 2 7" xfId="10008" xr:uid="{2EA313E9-1299-4058-9000-2C9968B2C6B8}"/>
    <cellStyle name="Style 62 4 2 7 2" xfId="29055" xr:uid="{A1327748-DB9C-4085-836B-C5EBCC9CF517}"/>
    <cellStyle name="Style 62 4 2 8" xfId="23806" xr:uid="{A613EC58-5EA0-4598-83C1-51D61C375F7A}"/>
    <cellStyle name="Style 62 4 3" xfId="3024" xr:uid="{717F66D4-5AC8-4554-A7F2-82A2CF33B9F1}"/>
    <cellStyle name="Style 62 4 3 2" xfId="6560" xr:uid="{5733FCFD-8568-4DD6-B24C-EB9C6FB417A2}"/>
    <cellStyle name="Style 62 4 3 2 2" xfId="10009" xr:uid="{1FAD11C4-A78D-4083-B391-D194499B0032}"/>
    <cellStyle name="Style 62 4 3 2 2 2" xfId="29056" xr:uid="{C2859EC3-517A-4E6D-95FC-8D73CB11CC67}"/>
    <cellStyle name="Style 62 4 3 2 3" xfId="27788" xr:uid="{A4A4DE61-8E5A-4E5A-B086-72FDB5EA1687}"/>
    <cellStyle name="Style 62 4 3 3" xfId="10010" xr:uid="{E4E4DC7F-26F3-489D-A470-427B7904A374}"/>
    <cellStyle name="Style 62 4 3 3 2" xfId="29057" xr:uid="{8AC2DB9D-059D-4F5A-8B23-25504B8A49E1}"/>
    <cellStyle name="Style 62 4 3 4" xfId="23813" xr:uid="{D0491D1D-FD7A-45A6-AB5C-CC94AF1D7433}"/>
    <cellStyle name="Style 62 4 4" xfId="6561" xr:uid="{6C7746A1-C8E0-4E98-8FBD-224CAB1BB775}"/>
    <cellStyle name="Style 62 4 4 2" xfId="6562" xr:uid="{A81A22CD-4C5F-42D7-9715-B0FE1B7E27DD}"/>
    <cellStyle name="Style 62 4 4 2 2" xfId="24795" xr:uid="{6BD2BFE1-BFEC-48E8-87FD-B6581059F8CC}"/>
    <cellStyle name="Style 62 4 4 3" xfId="10011" xr:uid="{18E65E35-4E89-4247-9654-A59D2D64EE69}"/>
    <cellStyle name="Style 62 4 4 3 2" xfId="29058" xr:uid="{2B6FC6DC-A933-4090-B38D-E76CDA21BCA4}"/>
    <cellStyle name="Style 62 4 4 4" xfId="23814" xr:uid="{ABE25F89-9BEE-4A2F-A6C0-11B5EB892A06}"/>
    <cellStyle name="Style 62 4 5" xfId="6550" xr:uid="{957B210C-E162-4E2F-85D6-4A14200D05B4}"/>
    <cellStyle name="Style 62 4 5 2" xfId="10012" xr:uid="{92A3B93E-5649-4A0B-99E2-3B759C4BCAA1}"/>
    <cellStyle name="Style 62 4 5 2 2" xfId="29059" xr:uid="{BDBF3D68-E6F3-406C-82AE-9236A46010DA}"/>
    <cellStyle name="Style 62 4 5 3" xfId="25953" xr:uid="{3FDED160-01AB-4C3A-9F9D-46F2186AEB88}"/>
    <cellStyle name="Style 62 4 6" xfId="4423" xr:uid="{11B62071-4EA7-454A-AF82-B76EAC2DD70A}"/>
    <cellStyle name="Style 62 4 6 2" xfId="26674" xr:uid="{ABF1F456-01D2-49B6-BC6B-C21A59F76459}"/>
    <cellStyle name="Style 62 4 7" xfId="10013" xr:uid="{6C345137-3EC9-4CD4-9EEC-9486538CCB9E}"/>
    <cellStyle name="Style 62 4 7 2" xfId="29060" xr:uid="{A662B5C6-AD58-44C7-9430-29FE36E0AA3F}"/>
    <cellStyle name="Style 62 4 8" xfId="23805" xr:uid="{4DCCE5A9-46A1-432F-85AB-AAC2A605E79D}"/>
    <cellStyle name="Style 62 5" xfId="3025" xr:uid="{3A33CA6B-ECC5-4341-9B18-E1F3666E1016}"/>
    <cellStyle name="Style 62 5 2" xfId="3026" xr:uid="{433436C6-26E0-4A9D-A88A-A773B19784CA}"/>
    <cellStyle name="Style 62 5 2 2" xfId="3027" xr:uid="{DEE084A6-D6DD-4074-A33C-0668C6D928BE}"/>
    <cellStyle name="Style 62 5 2 2 2" xfId="6565" xr:uid="{4134EA00-E71E-4895-9711-686C848F4B23}"/>
    <cellStyle name="Style 62 5 2 2 2 2" xfId="10014" xr:uid="{71C5BF6C-CFEA-46A1-BB71-49621EFB9DC0}"/>
    <cellStyle name="Style 62 5 2 2 2 2 2" xfId="29061" xr:uid="{49ACA38A-AD9F-4DE0-9E31-1A51AC12B961}"/>
    <cellStyle name="Style 62 5 2 2 2 3" xfId="27790" xr:uid="{5BDCA9AE-F736-4270-BD5B-37AC8031390F}"/>
    <cellStyle name="Style 62 5 2 2 3" xfId="10015" xr:uid="{9F87C52C-ED75-4874-B7DD-90885CAE531E}"/>
    <cellStyle name="Style 62 5 2 2 3 2" xfId="29062" xr:uid="{8338D4D3-386D-47BC-9CD5-0F011693DB07}"/>
    <cellStyle name="Style 62 5 2 2 4" xfId="23817" xr:uid="{786DB2CA-02C7-49BF-A6BD-BB9AEBC573C5}"/>
    <cellStyle name="Style 62 5 2 3" xfId="3028" xr:uid="{4F5F80F7-56C9-47F0-8F08-29AF61D7BD35}"/>
    <cellStyle name="Style 62 5 2 3 2" xfId="3029" xr:uid="{D6EBE6E4-8A59-4AD3-8B49-50B71D25594C}"/>
    <cellStyle name="Style 62 5 2 3 2 2" xfId="6567" xr:uid="{A138E80B-13FD-4FE8-8193-8F4ACBCC7501}"/>
    <cellStyle name="Style 62 5 2 3 2 2 2" xfId="10016" xr:uid="{B2847AA5-E31F-410D-806D-E4C0B05150BD}"/>
    <cellStyle name="Style 62 5 2 3 2 2 2 2" xfId="29063" xr:uid="{66451C12-B305-4037-A7B3-416A3E3804B4}"/>
    <cellStyle name="Style 62 5 2 3 2 2 3" xfId="27792" xr:uid="{AE431EB3-56B6-49D1-B6F8-D22CCA139B6D}"/>
    <cellStyle name="Style 62 5 2 3 2 3" xfId="10017" xr:uid="{D1DF68E3-9D23-4C3E-85CF-59D053F65415}"/>
    <cellStyle name="Style 62 5 2 3 2 3 2" xfId="29064" xr:uid="{6D183857-AC58-4DBD-9EC7-949B529FCD37}"/>
    <cellStyle name="Style 62 5 2 3 2 4" xfId="23819" xr:uid="{EE9C12E6-2EBA-4F92-9700-C70A17BC1595}"/>
    <cellStyle name="Style 62 5 2 3 3" xfId="6568" xr:uid="{10F4DBC6-0408-477C-88F4-BEA3BA6ADE21}"/>
    <cellStyle name="Style 62 5 2 3 3 2" xfId="10018" xr:uid="{FC170228-2FBD-4C5D-820C-11C6F361F0AE}"/>
    <cellStyle name="Style 62 5 2 3 3 2 2" xfId="29065" xr:uid="{A5D36D74-D497-4D86-ADD3-9D7B239B2BEF}"/>
    <cellStyle name="Style 62 5 2 3 3 3" xfId="23820" xr:uid="{58EF9CBF-2468-4701-9113-0F00B28A8931}"/>
    <cellStyle name="Style 62 5 2 3 4" xfId="6569" xr:uid="{B3AB13A3-0F9E-4CF3-BA32-48C07951DF8F}"/>
    <cellStyle name="Style 62 5 2 3 4 2" xfId="10019" xr:uid="{E64CD37F-120D-4E03-98A9-3FA00D7FA77A}"/>
    <cellStyle name="Style 62 5 2 3 4 2 2" xfId="29066" xr:uid="{27EE9F58-553A-4594-AE01-D88180731CE4}"/>
    <cellStyle name="Style 62 5 2 3 4 3" xfId="24796" xr:uid="{5F93149D-50A8-4DAA-9DF7-6C77213B70F8}"/>
    <cellStyle name="Style 62 5 2 3 5" xfId="6566" xr:uid="{8890D43A-804F-4D75-87AA-68B1566A974B}"/>
    <cellStyle name="Style 62 5 2 3 5 2" xfId="27791" xr:uid="{C1CA8684-910C-4F4F-B12A-9CD3A881DCAE}"/>
    <cellStyle name="Style 62 5 2 3 6" xfId="10020" xr:uid="{ADAE2D88-9B7D-4758-AADF-4CE8B80964CD}"/>
    <cellStyle name="Style 62 5 2 3 6 2" xfId="29067" xr:uid="{AA962F2E-EA06-47D5-A397-2BB901FD1B11}"/>
    <cellStyle name="Style 62 5 2 3 7" xfId="23818" xr:uid="{B8CE5665-56E5-4B02-952F-F311663E4696}"/>
    <cellStyle name="Style 62 5 2 4" xfId="3030" xr:uid="{1E85973D-EDB5-4AC9-B6E2-5130E2DF0EAF}"/>
    <cellStyle name="Style 62 5 2 4 2" xfId="3031" xr:uid="{35D48025-0774-4A0E-89BF-D9C255011727}"/>
    <cellStyle name="Style 62 5 2 4 2 2" xfId="6571" xr:uid="{AC4EDF08-2221-4950-B1D3-DB5C2F15CF73}"/>
    <cellStyle name="Style 62 5 2 4 2 2 2" xfId="10021" xr:uid="{6367F4AA-B587-47CB-9C89-5FD1EFDC3302}"/>
    <cellStyle name="Style 62 5 2 4 2 2 2 2" xfId="29068" xr:uid="{63276AA8-32B5-4D85-83FF-870A96FCEEC3}"/>
    <cellStyle name="Style 62 5 2 4 2 2 3" xfId="27794" xr:uid="{59C59761-D033-444C-BD5C-AE7BF27BD4BA}"/>
    <cellStyle name="Style 62 5 2 4 2 3" xfId="10022" xr:uid="{8DD7E50F-68EB-40C4-B301-C99E0C5F5F2B}"/>
    <cellStyle name="Style 62 5 2 4 2 3 2" xfId="29069" xr:uid="{15636A87-231F-41BB-8524-4034E0E1D605}"/>
    <cellStyle name="Style 62 5 2 4 2 4" xfId="23822" xr:uid="{775137C5-5DB2-4C69-978A-CBCD8DED86B1}"/>
    <cellStyle name="Style 62 5 2 4 3" xfId="6570" xr:uid="{D41F21EE-41DE-4285-A1D9-4634497C3816}"/>
    <cellStyle name="Style 62 5 2 4 3 2" xfId="10023" xr:uid="{6C70FCA5-0FC3-417F-967F-D8AE4E3C5742}"/>
    <cellStyle name="Style 62 5 2 4 3 2 2" xfId="29070" xr:uid="{14A1160C-E4BC-4743-8260-B646D09B5B36}"/>
    <cellStyle name="Style 62 5 2 4 3 3" xfId="27793" xr:uid="{14F45C37-6AAD-4814-8DBF-79884981363C}"/>
    <cellStyle name="Style 62 5 2 4 4" xfId="10024" xr:uid="{981CD87F-C76F-405D-92A8-FE7C41EAB2C1}"/>
    <cellStyle name="Style 62 5 2 4 4 2" xfId="29071" xr:uid="{40609495-0928-4989-8F8A-7A35BAA23E31}"/>
    <cellStyle name="Style 62 5 2 4 5" xfId="23821" xr:uid="{24F1695D-0B32-4D81-AF67-D41B15A7DB5F}"/>
    <cellStyle name="Style 62 5 2 5" xfId="6572" xr:uid="{DF9F1772-824B-43AD-AA80-E5DA4AC4ADB9}"/>
    <cellStyle name="Style 62 5 2 5 2" xfId="10025" xr:uid="{B03E00E1-1093-471A-A2C2-24F2C3FAEC20}"/>
    <cellStyle name="Style 62 5 2 5 2 2" xfId="29072" xr:uid="{3BE07FAC-B854-4773-BD99-C64117F1D8CD}"/>
    <cellStyle name="Style 62 5 2 5 3" xfId="24797" xr:uid="{989450A9-9248-46CA-94C8-0216DCFD5F62}"/>
    <cellStyle name="Style 62 5 2 6" xfId="6564" xr:uid="{677C22C0-68CC-452E-8B2B-132E7AD84156}"/>
    <cellStyle name="Style 62 5 2 6 2" xfId="27789" xr:uid="{B9C00483-4744-4E0F-9292-B4B3B0B70A03}"/>
    <cellStyle name="Style 62 5 2 7" xfId="10026" xr:uid="{1B87F05F-E1D6-46D6-9B25-5AB676DAAE00}"/>
    <cellStyle name="Style 62 5 2 7 2" xfId="29073" xr:uid="{ABDE1E08-C5E6-48D9-AAD7-AFA2841F8A58}"/>
    <cellStyle name="Style 62 5 2 8" xfId="23816" xr:uid="{628D8BD5-5B54-4548-878D-DC2650E4E334}"/>
    <cellStyle name="Style 62 5 3" xfId="3032" xr:uid="{79646D27-407C-40D1-B1CE-C7966CDCC1DB}"/>
    <cellStyle name="Style 62 5 3 2" xfId="6573" xr:uid="{12FAA8E1-E31F-4621-8B53-A72A29BC5998}"/>
    <cellStyle name="Style 62 5 3 2 2" xfId="10027" xr:uid="{CDCFD76A-3680-4B0B-AD38-490CFF63B22B}"/>
    <cellStyle name="Style 62 5 3 2 2 2" xfId="29074" xr:uid="{898A1563-53C7-463C-AF0A-6E8861447D51}"/>
    <cellStyle name="Style 62 5 3 2 3" xfId="27795" xr:uid="{0D5201A6-988A-4838-A93B-16EA3FDB0192}"/>
    <cellStyle name="Style 62 5 3 3" xfId="10028" xr:uid="{5167F896-1334-4B33-BB03-C03AC94341BA}"/>
    <cellStyle name="Style 62 5 3 3 2" xfId="29075" xr:uid="{60217234-8B20-47D0-8CB7-B0CB568D4340}"/>
    <cellStyle name="Style 62 5 3 4" xfId="23823" xr:uid="{F79ED06B-83F4-4BEC-A344-BE55DD1BC938}"/>
    <cellStyle name="Style 62 5 4" xfId="6574" xr:uid="{27D2906E-2ABA-437D-B192-234EB21FCE03}"/>
    <cellStyle name="Style 62 5 4 2" xfId="6575" xr:uid="{24D194D0-1E6F-4CC0-8567-94A2AF71027D}"/>
    <cellStyle name="Style 62 5 4 2 2" xfId="24798" xr:uid="{7B53C750-B0DF-4398-A7A5-07E4B7061976}"/>
    <cellStyle name="Style 62 5 4 3" xfId="10029" xr:uid="{8A762FC2-5E35-4A09-9490-E5AD08FC3AFF}"/>
    <cellStyle name="Style 62 5 4 3 2" xfId="29076" xr:uid="{C63E86BF-A8DC-4327-9353-9653CD3D92A8}"/>
    <cellStyle name="Style 62 5 4 4" xfId="23824" xr:uid="{890F95FA-A35D-41AF-985F-C4519624E744}"/>
    <cellStyle name="Style 62 5 5" xfId="6563" xr:uid="{0BF1653E-68DB-4FF8-8AE2-8AB9416F7C21}"/>
    <cellStyle name="Style 62 5 5 2" xfId="10030" xr:uid="{96CE5A24-B149-43B8-ABA3-FD29AABC24D4}"/>
    <cellStyle name="Style 62 5 5 2 2" xfId="29077" xr:uid="{E93D422A-00A2-49D9-995A-66E03720FBFD}"/>
    <cellStyle name="Style 62 5 5 3" xfId="25954" xr:uid="{791CFB19-91A5-472F-B114-14940D085147}"/>
    <cellStyle name="Style 62 5 6" xfId="4424" xr:uid="{29F3ABBE-DC33-4362-BCB1-587D9AE3D6F6}"/>
    <cellStyle name="Style 62 5 6 2" xfId="26675" xr:uid="{FB857095-B129-4EE3-8B08-0931BB7530D1}"/>
    <cellStyle name="Style 62 5 7" xfId="10031" xr:uid="{02744B90-926E-4ACB-9540-0BE61C715CC0}"/>
    <cellStyle name="Style 62 5 7 2" xfId="29078" xr:uid="{3237B78B-F3C5-4764-85EC-283655E89ED5}"/>
    <cellStyle name="Style 62 5 8" xfId="23815" xr:uid="{974E2B11-FCE7-4205-92E2-42A568039CAC}"/>
    <cellStyle name="Style 62 6" xfId="3033" xr:uid="{F17914A5-FAA8-444A-AD63-6FAF6B7A3AA5}"/>
    <cellStyle name="Style 62 6 2" xfId="3034" xr:uid="{EE9CEBBA-0DFE-4B64-A0C7-A071461E2F49}"/>
    <cellStyle name="Style 62 6 2 2" xfId="6577" xr:uid="{86452B0D-895C-42AA-8A4F-07C508CE3DA8}"/>
    <cellStyle name="Style 62 6 2 2 2" xfId="10032" xr:uid="{523CB5C3-B20C-40EF-AF13-0F026B3B4AAB}"/>
    <cellStyle name="Style 62 6 2 2 2 2" xfId="29079" xr:uid="{B9379E6D-D21A-43BD-8D0A-D07EBC21093A}"/>
    <cellStyle name="Style 62 6 2 2 3" xfId="27797" xr:uid="{992A1963-B958-4EB8-ADAF-55BB74CE91ED}"/>
    <cellStyle name="Style 62 6 2 3" xfId="10033" xr:uid="{AC6A918C-6404-4BD5-82F7-3875317FDDA7}"/>
    <cellStyle name="Style 62 6 2 3 2" xfId="29080" xr:uid="{67819DAB-3E85-4CAD-BB8B-186F795750D7}"/>
    <cellStyle name="Style 62 6 2 4" xfId="23826" xr:uid="{7800D37C-42FA-4062-A975-2AAD37EB866C}"/>
    <cellStyle name="Style 62 6 3" xfId="3035" xr:uid="{1B5C5199-2D83-4E6F-8F33-079001EBCBF4}"/>
    <cellStyle name="Style 62 6 3 2" xfId="3036" xr:uid="{19274359-CEC8-4580-BBFD-1E4144C79BD8}"/>
    <cellStyle name="Style 62 6 3 2 2" xfId="6579" xr:uid="{095321A9-3FBD-474E-A47B-54145141D894}"/>
    <cellStyle name="Style 62 6 3 2 2 2" xfId="10034" xr:uid="{949753C5-B0EF-48E6-BB6A-BE0C5DC3FB03}"/>
    <cellStyle name="Style 62 6 3 2 2 2 2" xfId="29081" xr:uid="{C72B209B-9B18-4601-9335-7AB568068B7C}"/>
    <cellStyle name="Style 62 6 3 2 2 3" xfId="27799" xr:uid="{58A37C39-1E49-4E9E-8DA7-F6454535F390}"/>
    <cellStyle name="Style 62 6 3 2 3" xfId="10035" xr:uid="{EF3FD99F-B03B-4EE9-A6CC-4E28621CB421}"/>
    <cellStyle name="Style 62 6 3 2 3 2" xfId="29082" xr:uid="{62B84ACC-3339-45B1-9F47-A44A30CAE477}"/>
    <cellStyle name="Style 62 6 3 2 4" xfId="23828" xr:uid="{E8CB3104-8FFC-4AB3-9E45-30224E0457CB}"/>
    <cellStyle name="Style 62 6 3 3" xfId="6580" xr:uid="{0F3AB6AE-2D46-42CA-97E9-62133DDB06F5}"/>
    <cellStyle name="Style 62 6 3 3 2" xfId="10036" xr:uid="{029A5C91-867E-4D5A-AB2B-742C61D146F5}"/>
    <cellStyle name="Style 62 6 3 3 2 2" xfId="29083" xr:uid="{0E12C700-B8EB-41C3-8B0B-FD7A33E0DA48}"/>
    <cellStyle name="Style 62 6 3 3 3" xfId="23829" xr:uid="{39DB226F-50D3-47D0-8176-E85E069C6DCA}"/>
    <cellStyle name="Style 62 6 3 4" xfId="6581" xr:uid="{5937B14B-EEF8-44F7-AF5E-8E93CDE34364}"/>
    <cellStyle name="Style 62 6 3 4 2" xfId="10037" xr:uid="{7A79E84F-9080-4261-81FE-3F8315D15DA0}"/>
    <cellStyle name="Style 62 6 3 4 2 2" xfId="29084" xr:uid="{F7600B5F-9485-4DEF-AAE8-4F479040F423}"/>
    <cellStyle name="Style 62 6 3 4 3" xfId="24799" xr:uid="{C4A59C0B-919D-49CD-96FA-C155A6224AC6}"/>
    <cellStyle name="Style 62 6 3 5" xfId="6578" xr:uid="{894CB3DE-A316-407C-9AC5-067A3A8761E2}"/>
    <cellStyle name="Style 62 6 3 5 2" xfId="27798" xr:uid="{19A71DA2-A9CE-49D0-9DBA-819359F6344C}"/>
    <cellStyle name="Style 62 6 3 6" xfId="10038" xr:uid="{7CCB3D20-E797-4AC3-BC12-E55418BFE820}"/>
    <cellStyle name="Style 62 6 3 6 2" xfId="29085" xr:uid="{DF2E3F25-45F2-4856-A849-2F51E22B2220}"/>
    <cellStyle name="Style 62 6 3 7" xfId="23827" xr:uid="{7A3E33FA-64F0-4BAA-864C-05CC8EEAD2DE}"/>
    <cellStyle name="Style 62 6 4" xfId="3037" xr:uid="{8036E4D4-5963-4309-9A7A-FC5EB4F91094}"/>
    <cellStyle name="Style 62 6 4 2" xfId="3038" xr:uid="{62C41F84-DA65-4D05-9CA5-5FC422E7F27F}"/>
    <cellStyle name="Style 62 6 4 2 2" xfId="6583" xr:uid="{626F8AB6-9797-4E21-8DAD-84CA01A07E22}"/>
    <cellStyle name="Style 62 6 4 2 2 2" xfId="10039" xr:uid="{3E671B40-AE04-48E4-90CC-71616813E1E5}"/>
    <cellStyle name="Style 62 6 4 2 2 2 2" xfId="29086" xr:uid="{D4E008AB-5A39-4DC6-9E7C-48B2FE13A05D}"/>
    <cellStyle name="Style 62 6 4 2 2 3" xfId="27801" xr:uid="{9E5A2B5A-E633-490A-B25D-892FAD0110FA}"/>
    <cellStyle name="Style 62 6 4 2 3" xfId="10040" xr:uid="{D9D88173-82E3-460A-88D4-E1FBFAB7BFF7}"/>
    <cellStyle name="Style 62 6 4 2 3 2" xfId="29087" xr:uid="{0E644F21-E2A5-4D7B-B635-37727D959C9C}"/>
    <cellStyle name="Style 62 6 4 2 4" xfId="23831" xr:uid="{B20D9D8E-0703-4DE2-AB8F-B2AC8475083B}"/>
    <cellStyle name="Style 62 6 4 3" xfId="6582" xr:uid="{0BD99623-83B9-44C8-A82C-55A07D2F112B}"/>
    <cellStyle name="Style 62 6 4 3 2" xfId="10041" xr:uid="{B4D01015-FF5F-4BA4-9B7F-B5B78090EED3}"/>
    <cellStyle name="Style 62 6 4 3 2 2" xfId="29088" xr:uid="{107364A6-512C-41D6-B191-6EDF7B4634E6}"/>
    <cellStyle name="Style 62 6 4 3 3" xfId="27800" xr:uid="{87BD3976-690C-4616-B0E9-362CB1FF0423}"/>
    <cellStyle name="Style 62 6 4 4" xfId="10042" xr:uid="{6B4B934B-7E92-49F4-9088-EC7A7C293B07}"/>
    <cellStyle name="Style 62 6 4 4 2" xfId="29089" xr:uid="{B4D4A765-DAA0-4AA5-BF8A-883A91F255B6}"/>
    <cellStyle name="Style 62 6 4 5" xfId="23830" xr:uid="{36B552F6-990A-4B2E-895E-3AB81CC0C72D}"/>
    <cellStyle name="Style 62 6 5" xfId="6584" xr:uid="{4E48A288-44E1-4A25-92D5-0C9623179B9C}"/>
    <cellStyle name="Style 62 6 5 2" xfId="10043" xr:uid="{62DCC28E-4AD6-4C30-B705-E2628EC6FD44}"/>
    <cellStyle name="Style 62 6 5 2 2" xfId="29090" xr:uid="{9EA37B47-5DCB-47B8-8232-388A5BD49664}"/>
    <cellStyle name="Style 62 6 5 3" xfId="24800" xr:uid="{EC5DA6EB-16B2-4C25-ADA3-989F4BB51335}"/>
    <cellStyle name="Style 62 6 6" xfId="6576" xr:uid="{15B76A67-E20D-4074-934E-1DE1DCEFBFD3}"/>
    <cellStyle name="Style 62 6 6 2" xfId="10044" xr:uid="{884E7165-0BF4-440C-A9FD-DE9A61BBC585}"/>
    <cellStyle name="Style 62 6 6 2 2" xfId="29091" xr:uid="{EB913B90-4741-47FC-A638-E9971D620262}"/>
    <cellStyle name="Style 62 6 6 3" xfId="27796" xr:uid="{FA9FCAD9-1E19-4928-93FD-6A264BE7F9FE}"/>
    <cellStyle name="Style 62 6 7" xfId="10045" xr:uid="{17C4D591-7E7D-484C-BBF5-2F64017D3E15}"/>
    <cellStyle name="Style 62 6 7 2" xfId="29092" xr:uid="{75A292C5-D8A5-4F09-A8A7-A6D7731EB7FA}"/>
    <cellStyle name="Style 62 6 8" xfId="23825" xr:uid="{6F4C152F-8F49-4DC6-BF29-DC482AC55216}"/>
    <cellStyle name="Style 62 7" xfId="3039" xr:uid="{3410C6F6-AF14-4571-A5D2-DE28CF958EC5}"/>
    <cellStyle name="Style 62 7 2" xfId="3040" xr:uid="{18DBAEB5-4D6A-42D1-AB4A-9205D58BEAE9}"/>
    <cellStyle name="Style 62 7 2 2" xfId="6586" xr:uid="{F1C3322E-A3C1-4D18-BC48-927EA3426D29}"/>
    <cellStyle name="Style 62 7 2 2 2" xfId="10046" xr:uid="{D7177A4A-DDCF-40E3-B6C3-F09A7D3CE3F2}"/>
    <cellStyle name="Style 62 7 2 2 2 2" xfId="29093" xr:uid="{A01EC223-E2C5-46C1-A575-31DC305D55C4}"/>
    <cellStyle name="Style 62 7 2 2 3" xfId="27803" xr:uid="{41231B9B-863B-40D9-925A-2F4E58B5ADAD}"/>
    <cellStyle name="Style 62 7 2 3" xfId="10047" xr:uid="{4712AA6F-D2E1-4E69-8305-CE458EC8D037}"/>
    <cellStyle name="Style 62 7 2 3 2" xfId="29094" xr:uid="{179CC5AB-AC18-49E4-8FE8-1DC82C91848E}"/>
    <cellStyle name="Style 62 7 2 4" xfId="10048" xr:uid="{4510DE1D-3E81-475D-BD7D-FBD751E9EED4}"/>
    <cellStyle name="Style 62 7 2 4 2" xfId="29095" xr:uid="{D100B57B-76B1-4A25-A25D-50D5E916FE99}"/>
    <cellStyle name="Style 62 7 2 5" xfId="23833" xr:uid="{BDA61C6F-869F-4F6C-9FCE-B3CAA4CF8E86}"/>
    <cellStyle name="Style 62 7 3" xfId="6587" xr:uid="{A993FF00-A4CA-4502-B429-5B60982AB1FB}"/>
    <cellStyle name="Style 62 7 3 2" xfId="10049" xr:uid="{59C76C4C-D302-474E-A038-278A34AA74AC}"/>
    <cellStyle name="Style 62 7 3 2 2" xfId="29096" xr:uid="{7A91264D-F230-4E21-9E54-7443288BF6E1}"/>
    <cellStyle name="Style 62 7 3 3" xfId="23834" xr:uid="{838C9DDD-823E-4994-9E11-BBDDEC90BA8A}"/>
    <cellStyle name="Style 62 7 4" xfId="6588" xr:uid="{538D01FC-7052-4FC4-9C70-A242B95DA3BE}"/>
    <cellStyle name="Style 62 7 4 2" xfId="10050" xr:uid="{501DD4E5-5503-4512-9617-23087AD6486A}"/>
    <cellStyle name="Style 62 7 4 2 2" xfId="29097" xr:uid="{D6626F81-6C66-45D6-900D-76E229DA9134}"/>
    <cellStyle name="Style 62 7 4 3" xfId="24801" xr:uid="{1B174742-7AA4-47F0-9578-8B61CE692456}"/>
    <cellStyle name="Style 62 7 5" xfId="6585" xr:uid="{710328CE-833F-48B0-95BC-D2C9DC371618}"/>
    <cellStyle name="Style 62 7 5 2" xfId="10051" xr:uid="{21574FD2-713B-4556-8E4B-1FB2A22DED57}"/>
    <cellStyle name="Style 62 7 5 2 2" xfId="29098" xr:uid="{044723B7-793B-42CC-9766-6AE49303D1D3}"/>
    <cellStyle name="Style 62 7 5 3" xfId="27802" xr:uid="{BDA7CE7D-C547-49AE-BAC6-E7BB67CE2FDA}"/>
    <cellStyle name="Style 62 7 6" xfId="10052" xr:uid="{0A4586EE-C57F-4DE0-AE79-EE6FD24C74BE}"/>
    <cellStyle name="Style 62 7 6 2" xfId="29099" xr:uid="{94844F57-D109-4BE0-AB90-9F160E18623A}"/>
    <cellStyle name="Style 62 7 7" xfId="23832" xr:uid="{7DCC9DAD-8654-4172-AA49-1BAA336E9A67}"/>
    <cellStyle name="Style 62 8" xfId="3041" xr:uid="{4B9475D9-AE0C-4F5A-95A3-9454F96B2557}"/>
    <cellStyle name="Style 62 8 2" xfId="3042" xr:uid="{82F088C3-4152-41A7-9E75-329A7684F63C}"/>
    <cellStyle name="Style 62 8 2 2" xfId="6590" xr:uid="{15C65D9A-10A6-496B-A439-B6039D9378E8}"/>
    <cellStyle name="Style 62 8 2 2 2" xfId="10053" xr:uid="{317F8752-44AF-4BF5-81A7-7990805AB053}"/>
    <cellStyle name="Style 62 8 2 2 2 2" xfId="29100" xr:uid="{726BC2C6-5FD4-41DC-A80F-07111B01BEEF}"/>
    <cellStyle name="Style 62 8 2 2 3" xfId="27805" xr:uid="{5060AE15-1544-41B6-95A7-49EECE3B1BD3}"/>
    <cellStyle name="Style 62 8 2 3" xfId="10054" xr:uid="{E7CA8A49-C344-4895-93BA-B799701C73F7}"/>
    <cellStyle name="Style 62 8 2 3 2" xfId="29101" xr:uid="{66D4D014-9FA9-4DF0-9066-EB875771C20F}"/>
    <cellStyle name="Style 62 8 2 4" xfId="10055" xr:uid="{7F7EBE9B-CCB1-4247-9525-D88969A10E5D}"/>
    <cellStyle name="Style 62 8 2 4 2" xfId="29102" xr:uid="{C58AC0F1-B377-4C58-B154-6810A00E47A4}"/>
    <cellStyle name="Style 62 8 2 5" xfId="23836" xr:uid="{6D158A2B-9B0C-4E5C-BF1A-21E93A2E520A}"/>
    <cellStyle name="Style 62 8 3" xfId="6591" xr:uid="{A7FDA803-9D76-4277-8DD9-BB217BD39B68}"/>
    <cellStyle name="Style 62 8 3 2" xfId="10056" xr:uid="{E04013FA-1F1A-44E6-A6CB-A45DE2E7673D}"/>
    <cellStyle name="Style 62 8 3 2 2" xfId="29103" xr:uid="{32889CFB-C71A-405B-AE53-9A493E3EE1FF}"/>
    <cellStyle name="Style 62 8 3 3" xfId="23837" xr:uid="{9D03A65A-4716-40C4-9420-527DD1769305}"/>
    <cellStyle name="Style 62 8 4" xfId="6592" xr:uid="{ACC7BE1A-AE04-4888-A42B-4D5961BA8652}"/>
    <cellStyle name="Style 62 8 4 2" xfId="10057" xr:uid="{A931FD22-2B85-405A-BCE6-38D6C75554F6}"/>
    <cellStyle name="Style 62 8 4 2 2" xfId="29104" xr:uid="{100D9DDE-6B0F-40C2-A59A-A2D290A07207}"/>
    <cellStyle name="Style 62 8 4 3" xfId="24802" xr:uid="{3DE6D7B5-03B2-462A-9376-75725603CD95}"/>
    <cellStyle name="Style 62 8 5" xfId="6589" xr:uid="{38BFE3ED-5F41-4E49-AA26-B772CD1F3291}"/>
    <cellStyle name="Style 62 8 5 2" xfId="27804" xr:uid="{2D860FB3-35CC-4DA7-86F0-D395B69D532A}"/>
    <cellStyle name="Style 62 8 6" xfId="10058" xr:uid="{54F657D8-96C2-4855-BC6D-3E8F16282F34}"/>
    <cellStyle name="Style 62 8 6 2" xfId="29105" xr:uid="{60FB1B55-089A-4790-990B-52FA6F354DDE}"/>
    <cellStyle name="Style 62 8 7" xfId="23835" xr:uid="{47F21ABA-430D-4BA1-98AB-D243B524828A}"/>
    <cellStyle name="Style 62 9" xfId="3043" xr:uid="{61FF6B0D-A99E-4F33-8207-93867F1B6AE3}"/>
    <cellStyle name="Style 62 9 2" xfId="3044" xr:uid="{8D382C77-AB38-427D-819D-B1AC76D04EE5}"/>
    <cellStyle name="Style 62 9 2 2" xfId="6593" xr:uid="{6831A21B-0C7A-435D-8CF1-C5EF8A092AD7}"/>
    <cellStyle name="Style 62 9 2 2 2" xfId="10059" xr:uid="{D358E81F-26A5-46CD-9465-256C0C8412F9}"/>
    <cellStyle name="Style 62 9 2 2 2 2" xfId="29106" xr:uid="{1F8C44DC-9BB7-4C28-96B6-3857899EC578}"/>
    <cellStyle name="Style 62 9 2 2 3" xfId="27807" xr:uid="{001562EA-7443-4516-95DC-E8D56CEA31C9}"/>
    <cellStyle name="Style 62 9 2 3" xfId="10060" xr:uid="{EC7B973F-9086-41C5-8DDA-78D6FE45876E}"/>
    <cellStyle name="Style 62 9 2 3 2" xfId="29107" xr:uid="{141914BE-C879-4694-B4A1-5DEE28F3C08A}"/>
    <cellStyle name="Style 62 9 2 4" xfId="10061" xr:uid="{D66D099F-B847-4E66-8EC9-371DB0D5D380}"/>
    <cellStyle name="Style 62 9 2 4 2" xfId="29108" xr:uid="{B241AF1F-78ED-4E6F-8830-0E87B600271E}"/>
    <cellStyle name="Style 62 9 2 5" xfId="24803" xr:uid="{C6356777-1943-49C3-9EDB-DD168D93BEF3}"/>
    <cellStyle name="Style 62 9 3" xfId="4185" xr:uid="{CF9E6262-04F9-40A4-9F95-D220410A1403}"/>
    <cellStyle name="Style 62 9 3 2" xfId="10062" xr:uid="{DA276507-47C5-480C-B160-1E90B7BEF2CA}"/>
    <cellStyle name="Style 62 9 3 2 2" xfId="29109" xr:uid="{2507D8EF-7EF3-4235-80F0-5B42375925E9}"/>
    <cellStyle name="Style 62 9 3 3" xfId="27806" xr:uid="{04485279-6811-4802-A37A-355DB73D23D1}"/>
    <cellStyle name="Style 62 9 4" xfId="10063" xr:uid="{8E86FA1B-C01C-4DDA-A7C0-36A50327F108}"/>
    <cellStyle name="Style 62 9 4 2" xfId="29110" xr:uid="{181EAFF4-22F6-4198-B14B-6ACBAADCBECC}"/>
    <cellStyle name="Style 62 9 5" xfId="10064" xr:uid="{CE9CB630-506C-4C95-B58B-9A811BC4D58F}"/>
    <cellStyle name="Style 62 9 5 2" xfId="29111" xr:uid="{56DCE969-0F1C-4BB5-A1EC-0A0107B44180}"/>
    <cellStyle name="Style 62 9 6" xfId="23838" xr:uid="{AA037CD4-F286-4765-809D-FAB3FBC56BFC}"/>
    <cellStyle name="Style 62_ADDON" xfId="25801" xr:uid="{98AA6E9E-CBDA-4644-BA0C-FAF43DFB7C07}"/>
    <cellStyle name="Style 63" xfId="3045" xr:uid="{BD07BC1D-1223-484A-BFC4-DBCC9BB599DD}"/>
    <cellStyle name="Style 63 10" xfId="10065" xr:uid="{41AD0888-1418-46A6-AB6C-D5F4DAE6C5EE}"/>
    <cellStyle name="Style 63 10 2" xfId="29112" xr:uid="{2CE5226C-D805-4668-8C41-6A83702D88A7}"/>
    <cellStyle name="Style 63 2" xfId="3046" xr:uid="{134A2690-C3EF-482C-86FF-C478A13A3B3D}"/>
    <cellStyle name="Style 63 2 2" xfId="3047" xr:uid="{83E7E834-7FA1-4704-95C8-DE28D002A53E}"/>
    <cellStyle name="Style 63 2 2 2" xfId="3048" xr:uid="{84C0E617-3E61-4D6C-AAFF-EEC1BDE0FFB3}"/>
    <cellStyle name="Style 63 2 2 2 2" xfId="3049" xr:uid="{BD69E948-9B63-449F-9D84-F3BBAA94E1B3}"/>
    <cellStyle name="Style 63 2 2 2 2 2" xfId="3050" xr:uid="{E2739283-B3D1-46FB-846B-D3475B4D89FF}"/>
    <cellStyle name="Style 63 2 2 2 2 2 2" xfId="10066" xr:uid="{73FA0A8E-8938-4DC2-8FBC-7429982FDA41}"/>
    <cellStyle name="Style 63 2 2 2 2 2 2 2" xfId="10067" xr:uid="{D552C8F9-CD89-4091-9FB0-4E97633A639A}"/>
    <cellStyle name="Style 63 2 2 2 2 2 2 2 2" xfId="29113" xr:uid="{5B141CE6-9877-4556-A077-FB2E5AD23099}"/>
    <cellStyle name="Style 63 2 2 2 2 2 3" xfId="10068" xr:uid="{E0BB3D31-27D1-4F26-910D-AEB2237050A6}"/>
    <cellStyle name="Style 63 2 2 2 2 2 3 2" xfId="29114" xr:uid="{CD827944-0F53-49A5-B956-751B28999F95}"/>
    <cellStyle name="Style 63 2 2 2 2 2 4" xfId="10069" xr:uid="{5178462A-9BA7-4B61-A39F-602F26A5C821}"/>
    <cellStyle name="Style 63 2 2 2 2 2 4 2" xfId="29115" xr:uid="{CF220CC7-7E53-40A7-8B03-847735189CF7}"/>
    <cellStyle name="Style 63 2 2 2 2 3" xfId="10070" xr:uid="{730F438E-4DA6-43A6-ACDE-97216B4ECB00}"/>
    <cellStyle name="Style 63 2 2 2 2 3 2" xfId="10071" xr:uid="{50C744B2-CF44-4573-A9D0-63C345A8E3BF}"/>
    <cellStyle name="Style 63 2 2 2 2 3 2 2" xfId="29116" xr:uid="{E5AF1AC1-A3D0-4B8B-A10F-BC0D3FA51637}"/>
    <cellStyle name="Style 63 2 2 2 2 4" xfId="10072" xr:uid="{E2177872-E252-4AA4-A696-984070282AE9}"/>
    <cellStyle name="Style 63 2 2 2 2 4 2" xfId="29117" xr:uid="{E3F20965-C1AA-4894-BA87-C270BA9672B5}"/>
    <cellStyle name="Style 63 2 2 2 2 5" xfId="10073" xr:uid="{78C24734-EEB2-4C94-A1D0-1C5A80E6D92B}"/>
    <cellStyle name="Style 63 2 2 2 2 5 2" xfId="29118" xr:uid="{B1A31944-C7AE-4504-B3D9-7A5B3546984C}"/>
    <cellStyle name="Style 63 2 2 2 3" xfId="3051" xr:uid="{6967B2CB-0C37-4826-8EF3-E8A455B26530}"/>
    <cellStyle name="Style 63 2 2 2 3 2" xfId="10074" xr:uid="{45B104E0-D98A-4EDD-89D0-6A70CB96AA60}"/>
    <cellStyle name="Style 63 2 2 2 3 2 2" xfId="10075" xr:uid="{936EC3AB-268A-4307-ADA4-D587928C48D7}"/>
    <cellStyle name="Style 63 2 2 2 3 2 2 2" xfId="29119" xr:uid="{12359FA7-19E4-405C-A0CB-4A04008E19B6}"/>
    <cellStyle name="Style 63 2 2 2 3 3" xfId="10076" xr:uid="{127EB323-A7FF-47D0-B463-AA9DC42E3679}"/>
    <cellStyle name="Style 63 2 2 2 3 3 2" xfId="29120" xr:uid="{EFA86DF5-9400-4D78-BDDF-8A9DCA5114DD}"/>
    <cellStyle name="Style 63 2 2 2 3 4" xfId="10077" xr:uid="{BE0B6EB7-B823-4A7C-B4AA-60E7C0EC99D3}"/>
    <cellStyle name="Style 63 2 2 2 3 4 2" xfId="29121" xr:uid="{9A6A4C65-AF38-417E-AFC4-5CB171513843}"/>
    <cellStyle name="Style 63 2 2 2 4" xfId="10078" xr:uid="{E8432CA6-00AC-4BA5-A17C-3D5FAFB900C7}"/>
    <cellStyle name="Style 63 2 2 2 4 2" xfId="10079" xr:uid="{51E0C7DA-6C3C-4141-83E7-95D9AB028150}"/>
    <cellStyle name="Style 63 2 2 2 4 2 2" xfId="29122" xr:uid="{9168E4F8-8946-46D5-9775-B9BB8949FBC9}"/>
    <cellStyle name="Style 63 2 2 2 5" xfId="10080" xr:uid="{1B3B2466-5151-41B0-BA5A-C1BC0F7C5AC1}"/>
    <cellStyle name="Style 63 2 2 2 5 2" xfId="29123" xr:uid="{63D50D87-F477-4E6C-A232-957B49D875B4}"/>
    <cellStyle name="Style 63 2 2 2 6" xfId="10081" xr:uid="{5857134B-73EC-460E-A563-128D16DCE6D4}"/>
    <cellStyle name="Style 63 2 2 2 6 2" xfId="29124" xr:uid="{A8188F57-A5E8-473D-BAFB-6A5939539548}"/>
    <cellStyle name="Style 63 2 2 3" xfId="3052" xr:uid="{F8DE70B0-5B67-458A-8F04-9ADA20C26F1B}"/>
    <cellStyle name="Style 63 2 2 3 2" xfId="3053" xr:uid="{1087912D-7996-4DF2-BD32-EA845BF604E2}"/>
    <cellStyle name="Style 63 2 2 3 2 2" xfId="10082" xr:uid="{DF2085BB-73FE-4590-BF55-A62318327036}"/>
    <cellStyle name="Style 63 2 2 3 2 2 2" xfId="10083" xr:uid="{052C897C-718B-4BA1-B101-160F44506AE3}"/>
    <cellStyle name="Style 63 2 2 3 2 2 2 2" xfId="29125" xr:uid="{ED845435-F4A3-481E-8118-75BE2335061C}"/>
    <cellStyle name="Style 63 2 2 3 2 3" xfId="10084" xr:uid="{158482C5-EF5E-46E8-B670-E0F10C377071}"/>
    <cellStyle name="Style 63 2 2 3 2 3 2" xfId="29126" xr:uid="{F35EF53E-0765-416B-8BA3-1A20C427FFF3}"/>
    <cellStyle name="Style 63 2 2 3 2 4" xfId="10085" xr:uid="{1756C02A-4595-4B75-9534-589048BFE465}"/>
    <cellStyle name="Style 63 2 2 3 2 4 2" xfId="29127" xr:uid="{C445885E-F17E-4421-846D-24C194186307}"/>
    <cellStyle name="Style 63 2 2 3 3" xfId="10086" xr:uid="{0DAB9CB6-9420-4780-9B14-1FC548A880F2}"/>
    <cellStyle name="Style 63 2 2 3 3 2" xfId="10087" xr:uid="{EE73FF48-4CE6-48FE-AC2B-10A2D3A0C132}"/>
    <cellStyle name="Style 63 2 2 3 3 2 2" xfId="29128" xr:uid="{EF5705B6-8A6F-4002-A451-65F83437A000}"/>
    <cellStyle name="Style 63 2 2 3 4" xfId="10088" xr:uid="{ED479C8A-E2F6-49A2-B064-B2AA24BB3BC7}"/>
    <cellStyle name="Style 63 2 2 3 4 2" xfId="29129" xr:uid="{AFAE6F52-3577-47D0-957C-E2E65EC88CDD}"/>
    <cellStyle name="Style 63 2 2 3 5" xfId="10089" xr:uid="{859C8BAD-90E0-4ED6-BA0A-C9AC04282BC6}"/>
    <cellStyle name="Style 63 2 2 3 5 2" xfId="29130" xr:uid="{7F4404DD-4947-4BD4-ABFF-DC04A052EAA7}"/>
    <cellStyle name="Style 63 2 2 4" xfId="3054" xr:uid="{C3088025-7E6D-4E83-A5A6-2BFA27CC970C}"/>
    <cellStyle name="Style 63 2 2 4 2" xfId="10090" xr:uid="{0726CF77-1612-4C79-B3FC-CDED6F29599A}"/>
    <cellStyle name="Style 63 2 2 4 2 2" xfId="10091" xr:uid="{6DE00033-C26B-4EF6-9D81-0024A9651B6C}"/>
    <cellStyle name="Style 63 2 2 4 2 2 2" xfId="29131" xr:uid="{385B7F0D-7352-40B7-AC45-9B91AC8132DF}"/>
    <cellStyle name="Style 63 2 2 4 3" xfId="10092" xr:uid="{ED8A22E2-D699-4AEB-9685-67199625B7E8}"/>
    <cellStyle name="Style 63 2 2 4 3 2" xfId="29132" xr:uid="{84A6788D-5F0F-4B52-92D5-AF96B2F94BD3}"/>
    <cellStyle name="Style 63 2 2 4 4" xfId="10093" xr:uid="{4ACC8B7E-B81B-4DC7-BC03-CD58742D68E4}"/>
    <cellStyle name="Style 63 2 2 4 4 2" xfId="29133" xr:uid="{C6955770-3291-410D-9BE2-AD5E2C4ADE34}"/>
    <cellStyle name="Style 63 2 2 5" xfId="10094" xr:uid="{002F2C4A-810C-4A43-94D1-B0FA38FF5BE9}"/>
    <cellStyle name="Style 63 2 2 5 2" xfId="10095" xr:uid="{BBFA97D0-FC1C-4EEF-81D6-7423ACD2BEA1}"/>
    <cellStyle name="Style 63 2 2 5 2 2" xfId="29134" xr:uid="{6F12BD14-F8FF-489D-8F82-B355892CD4AA}"/>
    <cellStyle name="Style 63 2 2 6" xfId="10096" xr:uid="{F9BBDF24-7578-46E0-A390-E26AB765754E}"/>
    <cellStyle name="Style 63 2 2 6 2" xfId="29135" xr:uid="{9EE8DD40-DFBF-4FDC-9DF0-CB8BAA69CC5D}"/>
    <cellStyle name="Style 63 2 2 7" xfId="10097" xr:uid="{A670B235-57F2-445F-A65B-FD2CCE4551A6}"/>
    <cellStyle name="Style 63 2 2 7 2" xfId="29136" xr:uid="{A9E69121-D13C-4BC7-804E-DB53B26A91F4}"/>
    <cellStyle name="Style 63 2 3" xfId="3055" xr:uid="{325F129E-B700-47F0-A887-11EEE19BB9F3}"/>
    <cellStyle name="Style 63 2 3 2" xfId="3056" xr:uid="{F21B8B23-EEAA-44E2-B2F2-D37444C1F0B6}"/>
    <cellStyle name="Style 63 2 3 2 2" xfId="3057" xr:uid="{E8F36C09-F890-42DD-9A29-06177F338BC2}"/>
    <cellStyle name="Style 63 2 3 2 2 2" xfId="10098" xr:uid="{5DD1A0AA-4F92-4692-B4B3-6BC3533093B4}"/>
    <cellStyle name="Style 63 2 3 2 2 2 2" xfId="10099" xr:uid="{996E6CDD-64D3-4A79-8159-9EE7FF765D11}"/>
    <cellStyle name="Style 63 2 3 2 2 2 2 2" xfId="29137" xr:uid="{B17E30A6-6299-4594-8B6F-C29E4920B903}"/>
    <cellStyle name="Style 63 2 3 2 2 3" xfId="10100" xr:uid="{EB4ADA8A-8E05-4CFC-8790-C4A1C82993D2}"/>
    <cellStyle name="Style 63 2 3 2 2 3 2" xfId="29138" xr:uid="{8E710FD0-8D6B-473E-B373-ABD1E44DE9F6}"/>
    <cellStyle name="Style 63 2 3 2 2 4" xfId="10101" xr:uid="{53DD9A1C-70E8-4D11-B0C7-642EB8F856C8}"/>
    <cellStyle name="Style 63 2 3 2 2 4 2" xfId="29139" xr:uid="{6E47B805-102F-4D04-BF70-08AC3FDC5FA2}"/>
    <cellStyle name="Style 63 2 3 2 3" xfId="10102" xr:uid="{03C6D1E7-CE26-4FC0-BF6F-34248593EB94}"/>
    <cellStyle name="Style 63 2 3 2 3 2" xfId="10103" xr:uid="{2055FCDF-D590-48F2-9F74-36F3A6FBF61A}"/>
    <cellStyle name="Style 63 2 3 2 3 2 2" xfId="29140" xr:uid="{DAB111E4-8230-45B2-8BC8-DC28334784FE}"/>
    <cellStyle name="Style 63 2 3 2 4" xfId="10104" xr:uid="{67F1DD3B-D9BC-4700-A521-D3A40EAD43BE}"/>
    <cellStyle name="Style 63 2 3 2 4 2" xfId="29141" xr:uid="{B95CB909-9C41-4B07-A3CF-77F9C806799A}"/>
    <cellStyle name="Style 63 2 3 2 5" xfId="10105" xr:uid="{274A7CB3-A06B-436A-911B-732F332F6280}"/>
    <cellStyle name="Style 63 2 3 2 5 2" xfId="29142" xr:uid="{14DD06DA-27D1-48EE-91B2-EFA01AE08E12}"/>
    <cellStyle name="Style 63 2 3 3" xfId="3058" xr:uid="{96CF5EAB-5E7D-483B-AACE-050E2020457F}"/>
    <cellStyle name="Style 63 2 3 3 2" xfId="10106" xr:uid="{EA6C170E-0E22-423B-A41B-1DC1BAC615D7}"/>
    <cellStyle name="Style 63 2 3 3 2 2" xfId="10107" xr:uid="{FE148D0E-41E6-4662-8244-9B7B0554D39C}"/>
    <cellStyle name="Style 63 2 3 3 2 2 2" xfId="29143" xr:uid="{A460F3B0-74A0-46EF-AE4F-B5FE25403074}"/>
    <cellStyle name="Style 63 2 3 3 3" xfId="10108" xr:uid="{50EA3564-958D-4ECB-B2D8-B95B3559EC8F}"/>
    <cellStyle name="Style 63 2 3 3 3 2" xfId="29144" xr:uid="{F9EA2BCD-A978-46AF-8F2E-CB46C6704C7E}"/>
    <cellStyle name="Style 63 2 3 3 4" xfId="10109" xr:uid="{AFDB8C91-4389-4D41-984C-3B1E96ACDC81}"/>
    <cellStyle name="Style 63 2 3 3 4 2" xfId="29145" xr:uid="{78172A9A-B593-4799-8160-678C48C77DE7}"/>
    <cellStyle name="Style 63 2 3 4" xfId="10110" xr:uid="{12ABFDAF-B514-4BCA-8624-04413AC4BDD3}"/>
    <cellStyle name="Style 63 2 3 4 2" xfId="10111" xr:uid="{0E0D1820-1C45-4CFA-925F-A65818329D83}"/>
    <cellStyle name="Style 63 2 3 4 2 2" xfId="29146" xr:uid="{20A98B1C-37A1-44A2-989B-0A780E3BF7A4}"/>
    <cellStyle name="Style 63 2 3 5" xfId="10112" xr:uid="{737B6F1D-0BDE-4867-8E27-36F8BD55CF3F}"/>
    <cellStyle name="Style 63 2 3 5 2" xfId="29147" xr:uid="{34BE7D04-9D06-4908-AE55-BE40EA381111}"/>
    <cellStyle name="Style 63 2 3 6" xfId="10113" xr:uid="{5CC32A14-9EE8-42D9-ACDB-392DF8390742}"/>
    <cellStyle name="Style 63 2 3 6 2" xfId="29148" xr:uid="{B64BCD35-FF02-4A88-94BA-9149E79A33ED}"/>
    <cellStyle name="Style 63 2 4" xfId="3059" xr:uid="{EA0F5B8E-87EA-4564-B117-E00A90708041}"/>
    <cellStyle name="Style 63 2 4 2" xfId="3060" xr:uid="{ED027BA9-DB3A-422D-AF9E-3154BE5A1E3B}"/>
    <cellStyle name="Style 63 2 4 2 2" xfId="10114" xr:uid="{FCFCDB56-2F01-4C0A-AE4A-7C809DD5AAEE}"/>
    <cellStyle name="Style 63 2 4 2 2 2" xfId="10115" xr:uid="{6E9579D8-2063-4C2A-BD2D-912CCBF18B92}"/>
    <cellStyle name="Style 63 2 4 2 2 2 2" xfId="29149" xr:uid="{05848DCF-DE7F-4BBA-B8F9-AEEB4C87985E}"/>
    <cellStyle name="Style 63 2 4 2 3" xfId="10116" xr:uid="{549E83A0-DA69-4435-92ED-8A85B70F5182}"/>
    <cellStyle name="Style 63 2 4 2 3 2" xfId="29150" xr:uid="{F0556F3A-5341-4619-9C28-982B95C96913}"/>
    <cellStyle name="Style 63 2 4 2 4" xfId="10117" xr:uid="{001655B0-21F3-48CC-98D7-C47BF89DF9F3}"/>
    <cellStyle name="Style 63 2 4 2 4 2" xfId="29151" xr:uid="{C09E0C66-7D8B-4964-8174-9745906E664B}"/>
    <cellStyle name="Style 63 2 4 3" xfId="10118" xr:uid="{C51D058C-BA69-49A9-9074-3BFAEE18E092}"/>
    <cellStyle name="Style 63 2 4 3 2" xfId="10119" xr:uid="{6E23F74E-E0F0-4BB1-9DD5-EBFC688553E3}"/>
    <cellStyle name="Style 63 2 4 3 2 2" xfId="29152" xr:uid="{FBDCD985-E6DE-4550-A6BD-B79A1113A670}"/>
    <cellStyle name="Style 63 2 4 4" xfId="10120" xr:uid="{133346B8-A6AC-4B6D-9F0C-BA8A0CEF7B8A}"/>
    <cellStyle name="Style 63 2 4 4 2" xfId="29153" xr:uid="{F37B20B2-9937-4D2E-9D43-E53EF48C32A4}"/>
    <cellStyle name="Style 63 2 4 5" xfId="10121" xr:uid="{61D896DF-7AF6-4559-9415-55180F5C9B3B}"/>
    <cellStyle name="Style 63 2 4 5 2" xfId="29154" xr:uid="{13A42C73-652C-418A-80EA-4DAEAB249DA2}"/>
    <cellStyle name="Style 63 2 5" xfId="3061" xr:uid="{5B5DB64F-69F9-4674-BE2B-FD501992D99D}"/>
    <cellStyle name="Style 63 2 5 2" xfId="10122" xr:uid="{35F2E634-2F20-466E-B91F-84A4A4352160}"/>
    <cellStyle name="Style 63 2 5 2 2" xfId="10123" xr:uid="{59DE7756-F344-4283-BC9C-F339EADC0154}"/>
    <cellStyle name="Style 63 2 5 2 2 2" xfId="29155" xr:uid="{077EB65E-D49F-41B3-88DD-E84CA744A5F4}"/>
    <cellStyle name="Style 63 2 5 3" xfId="10124" xr:uid="{A1F301A5-1D72-46D8-AE62-7DB8FFD2C9DF}"/>
    <cellStyle name="Style 63 2 5 3 2" xfId="29156" xr:uid="{CDBE53F3-DC07-4D2A-8BCC-F57AA63407FD}"/>
    <cellStyle name="Style 63 2 5 4" xfId="10125" xr:uid="{59CD5A0F-231A-4D6D-8F6C-34E60657CE19}"/>
    <cellStyle name="Style 63 2 5 4 2" xfId="29157" xr:uid="{CB39B9E7-BFB7-425D-9D1B-B9F87DD55C90}"/>
    <cellStyle name="Style 63 2 6" xfId="10126" xr:uid="{8ACCA2A6-C468-4E96-9E16-E4B67196B665}"/>
    <cellStyle name="Style 63 2 6 2" xfId="10127" xr:uid="{3AEE77D6-94AB-4D5F-962D-0B5A4FCA5AA5}"/>
    <cellStyle name="Style 63 2 6 2 2" xfId="29158" xr:uid="{F13BCAC9-92C4-4BD0-8083-A787ED47BFEA}"/>
    <cellStyle name="Style 63 2 7" xfId="10128" xr:uid="{DA3B34E9-198E-44ED-84B9-AFE2B6390CC9}"/>
    <cellStyle name="Style 63 2 7 2" xfId="29159" xr:uid="{72F0BB5D-18D0-45DF-8730-4ED0D8DA23F9}"/>
    <cellStyle name="Style 63 2 8" xfId="10129" xr:uid="{87DA116F-A727-464E-9A01-AD7EB18EBEE4}"/>
    <cellStyle name="Style 63 2 8 2" xfId="29160" xr:uid="{83835678-1039-4ECB-BF5A-63652E9794C3}"/>
    <cellStyle name="Style 63 3" xfId="3062" xr:uid="{AD9C8384-194B-449B-9397-6E050EB2385F}"/>
    <cellStyle name="Style 63 3 2" xfId="3063" xr:uid="{2A8F27A6-1306-4E9D-95CA-CB42381659E6}"/>
    <cellStyle name="Style 63 3 2 2" xfId="3064" xr:uid="{8749A6F0-3873-4C34-8A03-527188D03FF7}"/>
    <cellStyle name="Style 63 3 2 2 2" xfId="3065" xr:uid="{A17EA0F2-1256-40D0-B3E2-0A612BBD8B93}"/>
    <cellStyle name="Style 63 3 2 2 2 2" xfId="3066" xr:uid="{E4C822D5-B548-440C-BA64-905C5180BDDF}"/>
    <cellStyle name="Style 63 3 2 2 2 2 2" xfId="10130" xr:uid="{C02EC578-B5EB-47A0-B1BE-A1388AE2501A}"/>
    <cellStyle name="Style 63 3 2 2 2 2 2 2" xfId="10131" xr:uid="{58C39E8C-8D51-45D1-8556-020D8E919EAC}"/>
    <cellStyle name="Style 63 3 2 2 2 2 2 2 2" xfId="29161" xr:uid="{96CA6F11-4FBD-4892-A166-B5B1B2055227}"/>
    <cellStyle name="Style 63 3 2 2 2 2 3" xfId="10132" xr:uid="{2D91857A-072A-4CE8-B772-6D61C8599C89}"/>
    <cellStyle name="Style 63 3 2 2 2 2 3 2" xfId="29162" xr:uid="{DBF7C87B-5711-4C2E-A130-1E3DB83D0F0A}"/>
    <cellStyle name="Style 63 3 2 2 2 2 4" xfId="10133" xr:uid="{50441211-8D35-44DA-8644-80EFC2B58971}"/>
    <cellStyle name="Style 63 3 2 2 2 2 4 2" xfId="29163" xr:uid="{C19BED4C-29B8-4C8B-9247-B176A691C1B5}"/>
    <cellStyle name="Style 63 3 2 2 2 3" xfId="10134" xr:uid="{B02ED3BA-5665-40CA-8BEB-F4D108150D20}"/>
    <cellStyle name="Style 63 3 2 2 2 3 2" xfId="10135" xr:uid="{424E41DD-5945-4460-8BBB-620087DA0C75}"/>
    <cellStyle name="Style 63 3 2 2 2 3 2 2" xfId="29164" xr:uid="{80BC83BC-C10E-4347-A46E-25ED4C37A514}"/>
    <cellStyle name="Style 63 3 2 2 2 4" xfId="10136" xr:uid="{376EBC24-2FBD-4C7F-9BC0-1178ED05B400}"/>
    <cellStyle name="Style 63 3 2 2 2 4 2" xfId="29165" xr:uid="{576BFE79-239C-484A-BF4C-9B78811F69D6}"/>
    <cellStyle name="Style 63 3 2 2 2 5" xfId="10137" xr:uid="{35614857-55DA-4916-B5E0-69DA6694F785}"/>
    <cellStyle name="Style 63 3 2 2 2 5 2" xfId="29166" xr:uid="{82F1743F-17BD-46B0-A822-5CA9EC7B590D}"/>
    <cellStyle name="Style 63 3 2 2 3" xfId="3067" xr:uid="{B7F6421C-AC8B-48F7-A31A-482683037ED9}"/>
    <cellStyle name="Style 63 3 2 2 3 2" xfId="10138" xr:uid="{EDF2AA43-FDB4-481D-ABD0-801A9D0EBCEC}"/>
    <cellStyle name="Style 63 3 2 2 3 2 2" xfId="10139" xr:uid="{77A645D8-4C0C-4DE6-ABBC-5888CE8979A1}"/>
    <cellStyle name="Style 63 3 2 2 3 2 2 2" xfId="29167" xr:uid="{A975E3FD-7CD8-46DC-B677-076F6677A579}"/>
    <cellStyle name="Style 63 3 2 2 3 3" xfId="10140" xr:uid="{820CCB9E-F321-47C7-BAAF-A46DBD37DED8}"/>
    <cellStyle name="Style 63 3 2 2 3 3 2" xfId="29168" xr:uid="{965515DB-3360-4EDA-9998-D202DED24A54}"/>
    <cellStyle name="Style 63 3 2 2 3 4" xfId="10141" xr:uid="{8F0706CB-EFC1-469C-AB6F-D78EAF245121}"/>
    <cellStyle name="Style 63 3 2 2 3 4 2" xfId="29169" xr:uid="{3C2A8BCA-EB26-490A-BD89-44E1DA83288C}"/>
    <cellStyle name="Style 63 3 2 2 4" xfId="10142" xr:uid="{1362720A-418C-4A8A-BC1A-4099BBF50F6F}"/>
    <cellStyle name="Style 63 3 2 2 4 2" xfId="10143" xr:uid="{2EFE5638-D096-4A81-BC4E-C563E88F4740}"/>
    <cellStyle name="Style 63 3 2 2 4 2 2" xfId="29170" xr:uid="{ABD4C68D-370B-4B93-8465-4175374EC5B8}"/>
    <cellStyle name="Style 63 3 2 2 5" xfId="10144" xr:uid="{931A0F06-427E-44EA-966E-80B4F0D8ABD8}"/>
    <cellStyle name="Style 63 3 2 2 5 2" xfId="29171" xr:uid="{4C1446C2-7006-485D-92E3-E992C0834931}"/>
    <cellStyle name="Style 63 3 2 2 6" xfId="10145" xr:uid="{C257A722-4771-4970-B982-7B46FA26BEB4}"/>
    <cellStyle name="Style 63 3 2 2 6 2" xfId="29172" xr:uid="{AE785EA7-3EFA-43EC-A373-8F7D446BF674}"/>
    <cellStyle name="Style 63 3 2 3" xfId="3068" xr:uid="{D514713F-384D-4A39-966A-AA687C956FD0}"/>
    <cellStyle name="Style 63 3 2 3 2" xfId="3069" xr:uid="{C5FA1703-357A-4D49-A3EB-C306CDE3B35E}"/>
    <cellStyle name="Style 63 3 2 3 2 2" xfId="10146" xr:uid="{228F5427-56E5-4A06-BC4F-33485F227FB7}"/>
    <cellStyle name="Style 63 3 2 3 2 2 2" xfId="10147" xr:uid="{3D401AD9-4EA0-4FD4-8307-9A3529A8F06C}"/>
    <cellStyle name="Style 63 3 2 3 2 2 2 2" xfId="29173" xr:uid="{FFB62DD5-7EE7-469D-A573-F26123BDE4D4}"/>
    <cellStyle name="Style 63 3 2 3 2 3" xfId="10148" xr:uid="{DAD70BB0-DBE5-43C6-8510-869A23A2C72B}"/>
    <cellStyle name="Style 63 3 2 3 2 3 2" xfId="29174" xr:uid="{2D82C5C3-C26A-4924-9073-C6FC7889A5BC}"/>
    <cellStyle name="Style 63 3 2 3 2 4" xfId="10149" xr:uid="{7C18A88F-C899-4FE2-BF68-2F71BD90A68F}"/>
    <cellStyle name="Style 63 3 2 3 2 4 2" xfId="29175" xr:uid="{A0F0BA49-E9EC-4CE8-993F-60F9B65D94CC}"/>
    <cellStyle name="Style 63 3 2 3 3" xfId="10150" xr:uid="{978FFF78-402B-4075-B6BC-8A8A396361D2}"/>
    <cellStyle name="Style 63 3 2 3 3 2" xfId="10151" xr:uid="{58B6BF3F-D1FD-4F0E-B4E7-B0EEC150D333}"/>
    <cellStyle name="Style 63 3 2 3 3 2 2" xfId="29176" xr:uid="{3B5E9499-EC3E-448E-85FB-FCAD704E6E7E}"/>
    <cellStyle name="Style 63 3 2 3 4" xfId="10152" xr:uid="{5B7901CE-4308-4620-A2BB-27833A8B4530}"/>
    <cellStyle name="Style 63 3 2 3 4 2" xfId="29177" xr:uid="{2D49DFEF-23ED-4939-9BD0-DED494B36B92}"/>
    <cellStyle name="Style 63 3 2 3 5" xfId="10153" xr:uid="{BFBA464F-C4B2-4720-B7BE-197BFAA73709}"/>
    <cellStyle name="Style 63 3 2 3 5 2" xfId="29178" xr:uid="{47BFFD5E-9EB0-439E-95D0-2680F99D34E9}"/>
    <cellStyle name="Style 63 3 2 4" xfId="3070" xr:uid="{0DE22F7A-BBA2-40E2-84D9-B4BD0013F5DD}"/>
    <cellStyle name="Style 63 3 2 4 2" xfId="10154" xr:uid="{5FB20AAF-FDBE-4540-B3E9-9D78668D0939}"/>
    <cellStyle name="Style 63 3 2 4 2 2" xfId="10155" xr:uid="{2892026D-E163-4A25-8A07-EAFEAE41B2CD}"/>
    <cellStyle name="Style 63 3 2 4 2 2 2" xfId="29179" xr:uid="{C4435B5D-A63B-4D6B-B31C-FE16FC7EA3E4}"/>
    <cellStyle name="Style 63 3 2 4 3" xfId="10156" xr:uid="{8D0A494C-DAF8-45F3-A844-8029B343967B}"/>
    <cellStyle name="Style 63 3 2 4 3 2" xfId="29180" xr:uid="{7F24ABD9-5897-41A3-9952-FA996D27CA27}"/>
    <cellStyle name="Style 63 3 2 4 4" xfId="10157" xr:uid="{85CA3E8C-FBFC-4FA1-9AF4-B2F0C9097483}"/>
    <cellStyle name="Style 63 3 2 4 4 2" xfId="29181" xr:uid="{35641F9C-46BB-45AC-BBCD-75A9A0D85E45}"/>
    <cellStyle name="Style 63 3 2 5" xfId="10158" xr:uid="{894CC161-E8F1-4413-827B-84076FD6C173}"/>
    <cellStyle name="Style 63 3 2 5 2" xfId="10159" xr:uid="{549876D9-712C-4029-9775-D39AEAF7B251}"/>
    <cellStyle name="Style 63 3 2 5 2 2" xfId="29182" xr:uid="{A97CE47B-DE1F-4632-AA8F-76D0769C6FDE}"/>
    <cellStyle name="Style 63 3 2 6" xfId="10160" xr:uid="{45192898-30CB-47C6-942C-361F70B17AEF}"/>
    <cellStyle name="Style 63 3 2 6 2" xfId="29183" xr:uid="{5C00828A-9C0C-4827-A3B0-2E4B8A85B9CC}"/>
    <cellStyle name="Style 63 3 2 7" xfId="10161" xr:uid="{CF382DBE-F2B6-4A73-84F8-44E0E60A038B}"/>
    <cellStyle name="Style 63 3 2 7 2" xfId="29184" xr:uid="{A37DD52E-D0D8-4CA4-B6EF-0BDA0ACCDDB7}"/>
    <cellStyle name="Style 63 3 3" xfId="3071" xr:uid="{A8C50E2B-D852-4B08-86D2-3EA1B31D05B0}"/>
    <cellStyle name="Style 63 3 3 2" xfId="3072" xr:uid="{A8DB81D6-6D57-46E9-B49B-23E248D84EFD}"/>
    <cellStyle name="Style 63 3 3 2 2" xfId="3073" xr:uid="{1A03D9EA-085C-4094-8252-E879E4899A4D}"/>
    <cellStyle name="Style 63 3 3 2 2 2" xfId="3074" xr:uid="{B02FBE4D-5468-4D72-9079-054E115CF9C0}"/>
    <cellStyle name="Style 63 3 3 2 2 2 2" xfId="10162" xr:uid="{00BB5715-D1CE-49AE-9206-E1D86CBA0457}"/>
    <cellStyle name="Style 63 3 3 2 2 2 2 2" xfId="10163" xr:uid="{59784657-ECF2-4562-A129-2119F8596276}"/>
    <cellStyle name="Style 63 3 3 2 2 2 2 2 2" xfId="29185" xr:uid="{0C084EFD-66E5-4472-8325-B8E569A657CF}"/>
    <cellStyle name="Style 63 3 3 2 2 2 3" xfId="10164" xr:uid="{9DCF3EEC-16BB-47DD-A3AB-590C6E9ED844}"/>
    <cellStyle name="Style 63 3 3 2 2 2 3 2" xfId="29186" xr:uid="{6784A9E1-2046-4EFB-93CA-098D771891F1}"/>
    <cellStyle name="Style 63 3 3 2 2 2 4" xfId="10165" xr:uid="{3A8D10B2-B49C-4082-9C6B-27E0656E8A86}"/>
    <cellStyle name="Style 63 3 3 2 2 2 4 2" xfId="29187" xr:uid="{E996E43B-C0C8-4C5F-87F7-1E59CF2B3752}"/>
    <cellStyle name="Style 63 3 3 2 2 3" xfId="10166" xr:uid="{FFE57DF6-174E-4252-B187-76A940276886}"/>
    <cellStyle name="Style 63 3 3 2 2 3 2" xfId="10167" xr:uid="{EC389EC5-3BF8-4C22-992D-F86E32D1D064}"/>
    <cellStyle name="Style 63 3 3 2 2 3 2 2" xfId="29188" xr:uid="{CD2A4171-DD6E-4EC2-B8E4-52A8138757E4}"/>
    <cellStyle name="Style 63 3 3 2 2 4" xfId="10168" xr:uid="{2E6838CC-9949-45AD-87BA-BB300BF6E8A6}"/>
    <cellStyle name="Style 63 3 3 2 2 4 2" xfId="29189" xr:uid="{4CA13A07-FAF6-48C4-B067-E600915FC4F5}"/>
    <cellStyle name="Style 63 3 3 2 2 5" xfId="10169" xr:uid="{8505CD50-6723-4913-9233-8F6C8B06F727}"/>
    <cellStyle name="Style 63 3 3 2 2 5 2" xfId="29190" xr:uid="{F5E44248-AC84-4803-9FCB-526A87723C29}"/>
    <cellStyle name="Style 63 3 3 2 3" xfId="3075" xr:uid="{E8B6596B-4096-4B2C-AE80-16B7BC1D6D30}"/>
    <cellStyle name="Style 63 3 3 2 3 2" xfId="10170" xr:uid="{716110AD-2777-4FE1-B132-15BFFA23BECB}"/>
    <cellStyle name="Style 63 3 3 2 3 2 2" xfId="10171" xr:uid="{8F331409-042B-4E20-9C8D-92B0D6BAE685}"/>
    <cellStyle name="Style 63 3 3 2 3 2 2 2" xfId="29191" xr:uid="{CF756D2C-09B3-4C51-95B3-2995A597D796}"/>
    <cellStyle name="Style 63 3 3 2 3 3" xfId="10172" xr:uid="{D474D279-5F92-4B6A-AE30-A0085E71D284}"/>
    <cellStyle name="Style 63 3 3 2 3 3 2" xfId="29192" xr:uid="{4EC77679-AEDF-42D5-B6FF-340E054B5102}"/>
    <cellStyle name="Style 63 3 3 2 3 4" xfId="10173" xr:uid="{73B0D20F-2790-484F-84F8-8A1B2C43FD5D}"/>
    <cellStyle name="Style 63 3 3 2 3 4 2" xfId="29193" xr:uid="{8BD86550-290F-490B-B0EB-06CB33AFD7CB}"/>
    <cellStyle name="Style 63 3 3 2 4" xfId="10174" xr:uid="{99118D2A-3257-463F-A204-BC3F30C24C73}"/>
    <cellStyle name="Style 63 3 3 2 4 2" xfId="10175" xr:uid="{F6A4BF0C-1197-45DB-9494-A61C7C5F8CF7}"/>
    <cellStyle name="Style 63 3 3 2 4 2 2" xfId="29194" xr:uid="{E1CADA1A-ECE1-4A16-A71B-8239F0B3BA4A}"/>
    <cellStyle name="Style 63 3 3 2 5" xfId="10176" xr:uid="{01866CE9-068A-47DA-AA0F-ABD9F007905E}"/>
    <cellStyle name="Style 63 3 3 2 5 2" xfId="29195" xr:uid="{41806A99-7056-4974-881B-32C6B33666C8}"/>
    <cellStyle name="Style 63 3 3 2 6" xfId="10177" xr:uid="{8CBE4767-03A4-4A23-B720-6EE890C386C1}"/>
    <cellStyle name="Style 63 3 3 2 6 2" xfId="29196" xr:uid="{6767D098-C299-4034-87CE-309A111BA222}"/>
    <cellStyle name="Style 63 3 3 3" xfId="3076" xr:uid="{5F0D1609-AD75-4EC7-94D1-A4F50A8158BE}"/>
    <cellStyle name="Style 63 3 3 3 2" xfId="10178" xr:uid="{FE8F0716-D557-4097-9820-4742F584D87B}"/>
    <cellStyle name="Style 63 3 3 3 2 2" xfId="10179" xr:uid="{994CFBA2-5312-4A29-9E59-3F066010957E}"/>
    <cellStyle name="Style 63 3 3 3 2 2 2" xfId="29197" xr:uid="{A6ECF695-BBBF-4254-852A-CBAD2E0AF0CC}"/>
    <cellStyle name="Style 63 3 3 3 3" xfId="10180" xr:uid="{CCC343FF-EA93-4924-9F7B-A47DBAFB9B40}"/>
    <cellStyle name="Style 63 3 3 3 3 2" xfId="29198" xr:uid="{54830783-6DAF-4416-9B76-36FBC62B5E3D}"/>
    <cellStyle name="Style 63 3 3 3 4" xfId="10181" xr:uid="{48E039AD-F8A9-43C2-A8B8-41DA88C055DD}"/>
    <cellStyle name="Style 63 3 3 3 4 2" xfId="29199" xr:uid="{D8832E40-1F1C-49D1-87EE-B891F8D74375}"/>
    <cellStyle name="Style 63 3 3 4" xfId="6594" xr:uid="{CA468104-F9DE-41B6-8E5C-8134CF0E55BE}"/>
    <cellStyle name="Style 63 3 3 4 2" xfId="10182" xr:uid="{B247B69C-9187-4925-B689-CC143F3E6820}"/>
    <cellStyle name="Style 63 3 3 4 2 2" xfId="29200" xr:uid="{CC39F0A6-F6E9-40D3-9A97-0B08D96700C4}"/>
    <cellStyle name="Style 63 3 3 5" xfId="10183" xr:uid="{96509266-9F58-44DD-964C-A506C2A12191}"/>
    <cellStyle name="Style 63 3 3 5 2" xfId="10184" xr:uid="{6F7FF041-8CDD-4518-8E33-9D20CB65854B}"/>
    <cellStyle name="Style 63 3 3 5 2 2" xfId="29201" xr:uid="{6CA11509-8F79-4F00-B61A-4D2B26AED903}"/>
    <cellStyle name="Style 63 3 3 6" xfId="10185" xr:uid="{6556AFD5-7058-4618-8793-D3E52801EBE0}"/>
    <cellStyle name="Style 63 3 3 6 2" xfId="29202" xr:uid="{C3F1C1F1-6E0C-4280-AB3C-2D0447F3FA64}"/>
    <cellStyle name="Style 63 3 4" xfId="3077" xr:uid="{37804D2E-DA01-4EF4-B7BC-CF4D19AE5B48}"/>
    <cellStyle name="Style 63 3 4 2" xfId="3078" xr:uid="{7D814AB3-C470-4075-AA06-27F30CC12577}"/>
    <cellStyle name="Style 63 3 4 2 2" xfId="10186" xr:uid="{0FF8D00F-1B89-4547-AC07-87434F3708A8}"/>
    <cellStyle name="Style 63 3 4 2 2 2" xfId="10187" xr:uid="{F7983E6F-BCC1-475A-9CAF-F3C7E7A33BEC}"/>
    <cellStyle name="Style 63 3 4 2 2 2 2" xfId="29203" xr:uid="{6ECEF336-8086-4E76-A5BF-CDB632809AD6}"/>
    <cellStyle name="Style 63 3 4 2 3" xfId="10188" xr:uid="{3E0AF61B-C0ED-4C8D-A443-268DEC211FE5}"/>
    <cellStyle name="Style 63 3 4 2 3 2" xfId="29204" xr:uid="{0A87FAB3-0EB8-470C-A0AF-A1938F5EE022}"/>
    <cellStyle name="Style 63 3 4 2 4" xfId="10189" xr:uid="{712095D4-6272-4A0B-A6F7-C215BF1769E6}"/>
    <cellStyle name="Style 63 3 4 2 4 2" xfId="29205" xr:uid="{1DEE72F3-ACD6-4438-93E6-51DBACFF2600}"/>
    <cellStyle name="Style 63 3 4 3" xfId="10190" xr:uid="{570CDEFB-314C-4152-9D9B-5BE10C6B5FDB}"/>
    <cellStyle name="Style 63 3 4 3 2" xfId="10191" xr:uid="{E59FE882-9AAD-43A3-8293-03F965BEA383}"/>
    <cellStyle name="Style 63 3 4 3 2 2" xfId="29206" xr:uid="{9FB9175E-4876-4F25-BEDB-F073F48CED84}"/>
    <cellStyle name="Style 63 3 4 4" xfId="10192" xr:uid="{CC0D0415-C46A-4BC3-9E38-0FAB30989FDB}"/>
    <cellStyle name="Style 63 3 4 4 2" xfId="29207" xr:uid="{49005F02-ADF3-4384-9D47-D59A1204B92E}"/>
    <cellStyle name="Style 63 3 4 5" xfId="10193" xr:uid="{CC6C7BF0-78F6-4526-81B1-CD940349F914}"/>
    <cellStyle name="Style 63 3 4 5 2" xfId="29208" xr:uid="{11735C93-4B1B-4B2C-9DA5-960562B20D9B}"/>
    <cellStyle name="Style 63 3 5" xfId="3079" xr:uid="{6347F593-28C6-4E6E-814D-1223F1A94312}"/>
    <cellStyle name="Style 63 3 5 2" xfId="10194" xr:uid="{74E1BAD9-6555-4976-98B8-F3DE2F038736}"/>
    <cellStyle name="Style 63 3 5 2 2" xfId="10195" xr:uid="{2C4A84D0-8023-452E-AC1C-1BFFFE3B9B48}"/>
    <cellStyle name="Style 63 3 5 2 2 2" xfId="29209" xr:uid="{052CB9E6-E65E-4537-A016-6FAF4A8A673B}"/>
    <cellStyle name="Style 63 3 5 3" xfId="10196" xr:uid="{984DC0BE-30C3-425C-ADB8-E483F820C135}"/>
    <cellStyle name="Style 63 3 5 3 2" xfId="29210" xr:uid="{17F94999-C08A-4B67-88EF-98BA1F7A3EE7}"/>
    <cellStyle name="Style 63 3 5 4" xfId="10197" xr:uid="{A2C2FF02-1C7A-42CA-8CC7-D7359F0EB3E4}"/>
    <cellStyle name="Style 63 3 5 4 2" xfId="29211" xr:uid="{5A35EDAF-B9F3-4200-B1C2-ACF19430B693}"/>
    <cellStyle name="Style 63 3 6" xfId="10198" xr:uid="{656EDBEA-2E1E-47DA-B6AC-8412018F0C1A}"/>
    <cellStyle name="Style 63 3 6 2" xfId="10199" xr:uid="{E13A101F-63DC-40E4-AF20-3D584BC0CB57}"/>
    <cellStyle name="Style 63 3 6 2 2" xfId="29212" xr:uid="{762D7E3B-17D0-4A2C-964D-ACBD3D80E931}"/>
    <cellStyle name="Style 63 3 7" xfId="10200" xr:uid="{FD64B11D-CF15-4B2C-B2E9-8B0818B8ED20}"/>
    <cellStyle name="Style 63 3 7 2" xfId="29213" xr:uid="{354D1E7A-0046-48AE-A004-307011A51E0A}"/>
    <cellStyle name="Style 63 3 8" xfId="10201" xr:uid="{EBDB42EF-F6AB-4BB0-BC6C-FD6824D907F1}"/>
    <cellStyle name="Style 63 3 8 2" xfId="29214" xr:uid="{075BA7B2-C4EC-4C78-BCB2-6C60EC9DCE6D}"/>
    <cellStyle name="Style 63 4" xfId="3080" xr:uid="{C2578117-CC3E-4077-8F8F-08F2874D2585}"/>
    <cellStyle name="Style 63 4 2" xfId="3081" xr:uid="{6C960121-686F-42B1-A0C5-075D190534AB}"/>
    <cellStyle name="Style 63 4 2 2" xfId="3082" xr:uid="{4D122EC5-8F02-40FC-9291-46DF9D852B0C}"/>
    <cellStyle name="Style 63 4 2 2 2" xfId="3083" xr:uid="{FB0B831E-0319-4062-9617-DA6067270EA6}"/>
    <cellStyle name="Style 63 4 2 2 2 2" xfId="10202" xr:uid="{EA2B2A95-8CF0-4CE6-B116-C1AF64FFD5EA}"/>
    <cellStyle name="Style 63 4 2 2 2 2 2" xfId="10203" xr:uid="{B07B5DD4-79E5-4E0F-8802-6567A3DB9490}"/>
    <cellStyle name="Style 63 4 2 2 2 2 2 2" xfId="29215" xr:uid="{3BFA724D-FAB1-49E8-A10C-5502CFCAB912}"/>
    <cellStyle name="Style 63 4 2 2 2 3" xfId="10204" xr:uid="{2A97E354-A47C-485A-9AE1-6904B7BC27D7}"/>
    <cellStyle name="Style 63 4 2 2 2 3 2" xfId="29216" xr:uid="{644111EA-039E-4AD9-A8FC-45D01D46B27D}"/>
    <cellStyle name="Style 63 4 2 2 2 4" xfId="10205" xr:uid="{8BEDDE7B-5061-4CC0-A1F2-7EC286EBB114}"/>
    <cellStyle name="Style 63 4 2 2 2 4 2" xfId="29217" xr:uid="{2EA9ECEE-2C30-435F-97A5-98FD5717C446}"/>
    <cellStyle name="Style 63 4 2 2 3" xfId="10206" xr:uid="{94073F25-8C99-49E2-948A-75A09A8346DB}"/>
    <cellStyle name="Style 63 4 2 2 3 2" xfId="10207" xr:uid="{7526F3D5-3C54-47C8-BD87-DD7B6C996D7F}"/>
    <cellStyle name="Style 63 4 2 2 3 2 2" xfId="29218" xr:uid="{BCC94E0F-CC1A-44E3-AA23-9BCC43587C26}"/>
    <cellStyle name="Style 63 4 2 2 4" xfId="10208" xr:uid="{2A226E96-D04E-4576-84BD-A8A7BA473B72}"/>
    <cellStyle name="Style 63 4 2 2 4 2" xfId="29219" xr:uid="{4892653C-FD06-40EC-80CD-39C81967F8B3}"/>
    <cellStyle name="Style 63 4 2 2 5" xfId="10209" xr:uid="{1853CE22-1196-4BB4-929E-497F61AEBAA5}"/>
    <cellStyle name="Style 63 4 2 2 5 2" xfId="29220" xr:uid="{0ECA16A4-1A33-4187-9A8B-25F20C4682D2}"/>
    <cellStyle name="Style 63 4 2 3" xfId="3084" xr:uid="{C0586AB1-AC73-4FC1-8246-9F7D448B8DF0}"/>
    <cellStyle name="Style 63 4 2 3 2" xfId="10210" xr:uid="{F1544F3C-DDD6-41CA-8E18-5025F285A308}"/>
    <cellStyle name="Style 63 4 2 3 2 2" xfId="10211" xr:uid="{18532217-879F-4FF9-B48C-7E4A351F832A}"/>
    <cellStyle name="Style 63 4 2 3 2 2 2" xfId="29221" xr:uid="{D03C158B-FB63-45A7-BF29-A0F8F68B3F94}"/>
    <cellStyle name="Style 63 4 2 3 3" xfId="10212" xr:uid="{D34BC41E-5598-4822-A0F2-AB87825D388A}"/>
    <cellStyle name="Style 63 4 2 3 3 2" xfId="29222" xr:uid="{1ED68161-772D-409E-8171-D7ABF7B23D2D}"/>
    <cellStyle name="Style 63 4 2 3 4" xfId="10213" xr:uid="{4D9DFC2D-F6DD-40A7-ADCF-2069874F0E51}"/>
    <cellStyle name="Style 63 4 2 3 4 2" xfId="29223" xr:uid="{92BF2492-27A4-4B5A-B611-07E22EC18046}"/>
    <cellStyle name="Style 63 4 2 4" xfId="10214" xr:uid="{69A1EC4C-EA4D-45A8-A414-3CFAA93F8BB0}"/>
    <cellStyle name="Style 63 4 2 4 2" xfId="10215" xr:uid="{9A310423-D8CC-439B-A34E-3B39AD6F3F6A}"/>
    <cellStyle name="Style 63 4 2 4 2 2" xfId="29224" xr:uid="{88C1AC9A-CAEF-4E60-9379-7D5C196AB4F6}"/>
    <cellStyle name="Style 63 4 2 5" xfId="10216" xr:uid="{C09712A0-28CE-43C8-B19E-2C52AE29520F}"/>
    <cellStyle name="Style 63 4 2 5 2" xfId="29225" xr:uid="{4F5B52F1-7C1B-4BCE-97F3-593F3500CEE3}"/>
    <cellStyle name="Style 63 4 2 6" xfId="10217" xr:uid="{82AC87AE-68A9-4EB6-BA47-48D9FA16A96D}"/>
    <cellStyle name="Style 63 4 2 6 2" xfId="29226" xr:uid="{BD86BD54-D28C-4BDD-BECC-285F72CF8E4D}"/>
    <cellStyle name="Style 63 4 3" xfId="3085" xr:uid="{1F7D7108-4CA5-43DC-B471-693B85B646C9}"/>
    <cellStyle name="Style 63 4 3 2" xfId="10218" xr:uid="{6BAA7C54-EDCD-479D-B836-B96CA48C6300}"/>
    <cellStyle name="Style 63 4 3 2 2" xfId="10219" xr:uid="{8BAC06BD-5DFA-4BBE-A9BC-4C810EA4C494}"/>
    <cellStyle name="Style 63 4 3 2 2 2" xfId="29227" xr:uid="{F7B302A0-CD4F-4B3C-883C-995DCEEB6496}"/>
    <cellStyle name="Style 63 4 3 3" xfId="10220" xr:uid="{3007B726-1E2D-499F-8821-9C3641E362EF}"/>
    <cellStyle name="Style 63 4 3 3 2" xfId="29228" xr:uid="{E5926AD9-F6BE-4B43-871A-BE9B89B8DCE7}"/>
    <cellStyle name="Style 63 4 3 4" xfId="10221" xr:uid="{3370B055-2868-4C0D-8860-04886069A235}"/>
    <cellStyle name="Style 63 4 3 4 2" xfId="29229" xr:uid="{4DE2DB67-8EBD-4345-8AE7-27333CDF967B}"/>
    <cellStyle name="Style 63 4 4" xfId="6595" xr:uid="{C192A4E9-6C3F-4BEB-8E30-CD14EAAA8459}"/>
    <cellStyle name="Style 63 4 4 2" xfId="10222" xr:uid="{180D8BF6-4089-482B-BF3A-25E68EE0EB36}"/>
    <cellStyle name="Style 63 4 4 2 2" xfId="29230" xr:uid="{73093628-BEE4-426D-868B-B55A1CF618A5}"/>
    <cellStyle name="Style 63 4 5" xfId="10223" xr:uid="{0B81D50B-A28E-4EDE-8834-F928647C635E}"/>
    <cellStyle name="Style 63 4 5 2" xfId="10224" xr:uid="{BEDE03A8-6817-49CF-B544-60CBD9F2925B}"/>
    <cellStyle name="Style 63 4 5 2 2" xfId="29231" xr:uid="{F0DBE4DE-863E-43A5-8C6D-1164E19BE9C0}"/>
    <cellStyle name="Style 63 4 6" xfId="10225" xr:uid="{26732F4C-B19A-47E9-AA78-A5645CDB1E92}"/>
    <cellStyle name="Style 63 4 6 2" xfId="29232" xr:uid="{AFF8B309-E8AB-454C-83D3-B19D0489071A}"/>
    <cellStyle name="Style 63 5" xfId="3086" xr:uid="{68452140-99F3-4617-A265-28BB2C1490CF}"/>
    <cellStyle name="Style 63 5 2" xfId="3087" xr:uid="{5D761293-9EF8-483D-8CEF-BE1B56121FDC}"/>
    <cellStyle name="Style 63 5 2 2" xfId="10226" xr:uid="{EBDB1552-5212-4738-AC5E-CEE4BE48EB78}"/>
    <cellStyle name="Style 63 5 2 2 2" xfId="10227" xr:uid="{AC6DA16F-53AF-491C-8E2B-6B63792E8F0D}"/>
    <cellStyle name="Style 63 5 2 2 2 2" xfId="29233" xr:uid="{0EC90706-7259-4EC9-B254-37D19D4297E7}"/>
    <cellStyle name="Style 63 5 2 3" xfId="10228" xr:uid="{9734EC29-5040-4418-B4B8-0C3A0E3FE303}"/>
    <cellStyle name="Style 63 5 2 3 2" xfId="29234" xr:uid="{C8F03EC7-67E5-486C-B56F-ADB98FA3CDC2}"/>
    <cellStyle name="Style 63 5 2 4" xfId="10229" xr:uid="{076611B3-441A-47F7-98B6-6EE99DBC3D76}"/>
    <cellStyle name="Style 63 5 2 4 2" xfId="29235" xr:uid="{5063CD3F-28F7-4C72-BB1D-C337A383F4C1}"/>
    <cellStyle name="Style 63 5 3" xfId="10230" xr:uid="{53284A34-2B0A-4B40-AA91-34470D93C704}"/>
    <cellStyle name="Style 63 5 3 2" xfId="10231" xr:uid="{61474382-E9CD-4A22-A092-38BDBE195D9C}"/>
    <cellStyle name="Style 63 5 3 2 2" xfId="29236" xr:uid="{64D7E65A-5B3E-42B9-8EA6-80A54A083062}"/>
    <cellStyle name="Style 63 5 4" xfId="10232" xr:uid="{0858ACF7-816E-4B5D-A882-4C7C2A16EE79}"/>
    <cellStyle name="Style 63 5 4 2" xfId="29237" xr:uid="{0A13E4E7-1FCA-4E95-B8E4-38202017E8A1}"/>
    <cellStyle name="Style 63 5 5" xfId="10233" xr:uid="{A94D3423-F0EE-46BC-AEA7-0E826C624B2C}"/>
    <cellStyle name="Style 63 5 5 2" xfId="29238" xr:uid="{128B5DAF-1ABB-4384-95C6-363BAF7F45F1}"/>
    <cellStyle name="Style 63 6" xfId="3088" xr:uid="{20BDF4B8-5468-4DD9-83DD-B396340E9A4D}"/>
    <cellStyle name="Style 63 6 2" xfId="4187" xr:uid="{AC7825F3-E4E8-4BC8-8D96-DCBD001B758B}"/>
    <cellStyle name="Style 63 6 2 2" xfId="6596" xr:uid="{C93231D1-B05B-4E72-BED8-E6FAE8D2E1BE}"/>
    <cellStyle name="Style 63 6 2 2 2" xfId="29239" xr:uid="{B924D08F-0B83-46DD-8A72-6F78324D7999}"/>
    <cellStyle name="Style 63 6 3" xfId="10234" xr:uid="{5005C08A-1B3D-40BA-B84C-C96A76D648F0}"/>
    <cellStyle name="Style 63 6 3 2" xfId="10235" xr:uid="{6697026B-2585-4E84-9395-522F59096A62}"/>
    <cellStyle name="Style 63 6 3 2 2" xfId="29240" xr:uid="{EA3133DF-CBA8-4D66-8B91-2B7D9F971DBC}"/>
    <cellStyle name="Style 63 6 4" xfId="10236" xr:uid="{1608C103-3DEA-48A5-855A-4A13B25EC310}"/>
    <cellStyle name="Style 63 6 4 2" xfId="29241" xr:uid="{BD0515DE-3376-462D-B009-40858AD0E2DF}"/>
    <cellStyle name="Style 63 7" xfId="4186" xr:uid="{789052B6-4E9B-4DCA-A7CC-E08F7FCB4A40}"/>
    <cellStyle name="Style 63 7 2" xfId="6598" xr:uid="{3F71C068-021A-4BDE-94BF-F1853DA240D5}"/>
    <cellStyle name="Style 63 7 3" xfId="6597" xr:uid="{D19A83B8-86B3-421B-B477-1A7937CCDDF5}"/>
    <cellStyle name="Style 63 7 3 2" xfId="29242" xr:uid="{684C262A-9A4D-4580-B7A6-7DE272322980}"/>
    <cellStyle name="Style 63 8" xfId="6599" xr:uid="{6721B1A2-94B3-48EE-ADA8-C49BD29374AB}"/>
    <cellStyle name="Style 63 8 2" xfId="10237" xr:uid="{E98726E1-D082-45D1-8D9C-7B3D36F8318E}"/>
    <cellStyle name="Style 63 8 2 2" xfId="29243" xr:uid="{BA1C3BE8-9CF2-4F58-AE8A-B29F7F34C2B0}"/>
    <cellStyle name="Style 63 9" xfId="10238" xr:uid="{F7DF77D0-816C-4AAB-922A-46A2B3502CC7}"/>
    <cellStyle name="Style 63 9 2" xfId="26676" xr:uid="{B48DDAC2-6D48-48E9-BB98-A6BBD3129797}"/>
    <cellStyle name="Style 63_ADDON" xfId="25802" xr:uid="{17CD613A-C6F6-490E-8204-ABD1A5C3BD0E}"/>
    <cellStyle name="Style 64" xfId="3089" xr:uid="{E398B1E0-DBC2-4F91-8229-F52066114B22}"/>
    <cellStyle name="Style 64 10" xfId="10239" xr:uid="{36F9C103-F316-4234-8442-FE1C032FAD36}"/>
    <cellStyle name="Style 64 10 2" xfId="29244" xr:uid="{DA3CC0B8-8518-41EA-9C78-034F91A1C85B}"/>
    <cellStyle name="Style 64 2" xfId="3090" xr:uid="{09B7E6A0-4034-4F28-97A6-3018ABB54A1D}"/>
    <cellStyle name="Style 64 2 2" xfId="3091" xr:uid="{F9B16235-E61C-4B8C-8133-E71DF9FB2ECE}"/>
    <cellStyle name="Style 64 2 2 2" xfId="3092" xr:uid="{2FBD8F19-A345-4B8F-9B60-1D9DAE0451AA}"/>
    <cellStyle name="Style 64 2 2 2 2" xfId="3093" xr:uid="{4A181954-7A33-4372-8CB0-7C310B08FA7A}"/>
    <cellStyle name="Style 64 2 2 2 2 2" xfId="3094" xr:uid="{0B3A47E5-BA54-4CE9-8153-84CEDB7C2D6F}"/>
    <cellStyle name="Style 64 2 2 2 2 2 2" xfId="10240" xr:uid="{A9A3851A-EB7E-4BDD-ACBF-77350315EA10}"/>
    <cellStyle name="Style 64 2 2 2 2 2 2 2" xfId="10241" xr:uid="{C5176F69-CD3C-46D9-B96E-16DF8595A176}"/>
    <cellStyle name="Style 64 2 2 2 2 2 2 2 2" xfId="29245" xr:uid="{7D0A71DD-5689-4AE1-9CEB-3499295879D3}"/>
    <cellStyle name="Style 64 2 2 2 2 2 3" xfId="10242" xr:uid="{F4A69FF7-A11B-4ACE-A5FC-66E0C92AFB55}"/>
    <cellStyle name="Style 64 2 2 2 2 2 3 2" xfId="29246" xr:uid="{A784E90C-DE3F-4C7A-B55A-4F97A54989DF}"/>
    <cellStyle name="Style 64 2 2 2 2 2 4" xfId="10243" xr:uid="{644B76AC-C8CD-49E4-9A02-7B401CD49DDB}"/>
    <cellStyle name="Style 64 2 2 2 2 2 4 2" xfId="29247" xr:uid="{75A49DC2-027F-498A-89A9-CDBDDC4BD0BF}"/>
    <cellStyle name="Style 64 2 2 2 2 2 5" xfId="10244" xr:uid="{206347C3-2B88-413E-9745-09A213C128A2}"/>
    <cellStyle name="Style 64 2 2 2 2 2 5 2" xfId="29248" xr:uid="{6CCA7D32-4FE4-4C7D-8976-6290515E1061}"/>
    <cellStyle name="Style 64 2 2 2 2 3" xfId="10245" xr:uid="{DC999EF7-8961-4687-8925-8022A0B8E8AF}"/>
    <cellStyle name="Style 64 2 2 2 2 3 2" xfId="10246" xr:uid="{BBE29DFF-F56E-4AC9-9C52-9ABAB9FE1E3A}"/>
    <cellStyle name="Style 64 2 2 2 2 3 2 2" xfId="29249" xr:uid="{F7D4E5AA-B223-4242-89C3-4E1507C113DD}"/>
    <cellStyle name="Style 64 2 2 2 2 4" xfId="10247" xr:uid="{BED97D4E-30E2-4B2B-83A7-961C9818B304}"/>
    <cellStyle name="Style 64 2 2 2 2 4 2" xfId="29250" xr:uid="{483779D8-A02E-4D57-BE4F-CA9845C9AA0A}"/>
    <cellStyle name="Style 64 2 2 2 2 5" xfId="10248" xr:uid="{A8BEBAAD-5CF2-4EA2-821D-C41AE2129F21}"/>
    <cellStyle name="Style 64 2 2 2 2 5 2" xfId="29251" xr:uid="{88867D31-4670-4949-8B0F-E9DE522A1FFC}"/>
    <cellStyle name="Style 64 2 2 2 2 6" xfId="10249" xr:uid="{1806A470-F4A9-4CC5-A4C5-80D8CFCEB56E}"/>
    <cellStyle name="Style 64 2 2 2 2 6 2" xfId="29252" xr:uid="{B53C506B-C347-4AA9-9F35-D814668B8969}"/>
    <cellStyle name="Style 64 2 2 2 3" xfId="3095" xr:uid="{C276D77F-BB92-4BA4-90A5-6D1C278CB5A3}"/>
    <cellStyle name="Style 64 2 2 2 3 2" xfId="10250" xr:uid="{83DB251A-C061-4B47-BD2A-E146A8D91220}"/>
    <cellStyle name="Style 64 2 2 2 3 2 2" xfId="10251" xr:uid="{18207E30-0D5E-4A03-BF2F-BCE441E2457D}"/>
    <cellStyle name="Style 64 2 2 2 3 2 2 2" xfId="29253" xr:uid="{1FF2DED0-E881-424F-A92E-BB2CAD222854}"/>
    <cellStyle name="Style 64 2 2 2 3 3" xfId="10252" xr:uid="{D23BA25D-7874-4FB9-A10C-140B142A4E23}"/>
    <cellStyle name="Style 64 2 2 2 3 3 2" xfId="29254" xr:uid="{4604D55B-CD87-4DC9-AAEE-2672B8A087CF}"/>
    <cellStyle name="Style 64 2 2 2 3 4" xfId="10253" xr:uid="{A400F761-FE19-4AE6-81CF-B1EBB9D22576}"/>
    <cellStyle name="Style 64 2 2 2 3 4 2" xfId="29255" xr:uid="{7D9C2463-40A9-4B17-B215-897B7225FB90}"/>
    <cellStyle name="Style 64 2 2 2 3 5" xfId="10254" xr:uid="{67BE74C6-D12E-43CC-8D29-84915BE5732D}"/>
    <cellStyle name="Style 64 2 2 2 3 5 2" xfId="29256" xr:uid="{660AF446-9A12-4BAE-ACDD-54A7BCD41612}"/>
    <cellStyle name="Style 64 2 2 2 4" xfId="10255" xr:uid="{9124A8CB-00C3-4025-ADB7-332461BFE74A}"/>
    <cellStyle name="Style 64 2 2 2 4 2" xfId="10256" xr:uid="{6C419549-B6BB-4672-9B72-6D1BC291CF3C}"/>
    <cellStyle name="Style 64 2 2 2 4 2 2" xfId="29257" xr:uid="{85F6760B-7EAF-4536-B8DC-882DF7C67A79}"/>
    <cellStyle name="Style 64 2 2 2 5" xfId="10257" xr:uid="{9ABE291B-3233-4D78-807A-15E31CCF25E5}"/>
    <cellStyle name="Style 64 2 2 2 5 2" xfId="29258" xr:uid="{ADFF3EBC-3A23-46A8-A241-D019939FA497}"/>
    <cellStyle name="Style 64 2 2 2 6" xfId="10258" xr:uid="{CC84D060-FABC-437B-ADAF-C5971B0B7F07}"/>
    <cellStyle name="Style 64 2 2 2 6 2" xfId="29259" xr:uid="{1348E032-DC81-4EFA-A961-7BBC475BE5D6}"/>
    <cellStyle name="Style 64 2 2 2 7" xfId="10259" xr:uid="{334285B0-CA3A-477A-A9D5-8C1D12BAD8A9}"/>
    <cellStyle name="Style 64 2 2 2 7 2" xfId="29260" xr:uid="{DFBFD8BA-D861-410D-B98C-78EB69660B36}"/>
    <cellStyle name="Style 64 2 2 3" xfId="3096" xr:uid="{5657E8B5-9EE2-47CF-928E-F68100A161B2}"/>
    <cellStyle name="Style 64 2 2 3 2" xfId="3097" xr:uid="{6C1D09EB-76DC-4F8E-B2D2-50A7CAE93C56}"/>
    <cellStyle name="Style 64 2 2 3 2 2" xfId="10260" xr:uid="{D03AD30A-31D4-48A1-8803-47FEE1385E2D}"/>
    <cellStyle name="Style 64 2 2 3 2 2 2" xfId="10261" xr:uid="{274BFA46-9E4E-47B6-8A83-9A5F3892B2D8}"/>
    <cellStyle name="Style 64 2 2 3 2 2 2 2" xfId="29261" xr:uid="{9499C10A-20EA-46FA-B2D3-2C5ED5790B5A}"/>
    <cellStyle name="Style 64 2 2 3 2 3" xfId="10262" xr:uid="{3DAA0597-4AC9-46C1-894C-A2AEE0900AC1}"/>
    <cellStyle name="Style 64 2 2 3 2 3 2" xfId="29262" xr:uid="{0B6E216A-E103-4142-A31E-B53AC4CD72B6}"/>
    <cellStyle name="Style 64 2 2 3 2 4" xfId="10263" xr:uid="{88354888-62DE-49BA-984A-2FA9B42CAFB6}"/>
    <cellStyle name="Style 64 2 2 3 2 4 2" xfId="29263" xr:uid="{F2658192-0376-4E5B-8AD4-9B12E84F6A85}"/>
    <cellStyle name="Style 64 2 2 3 2 5" xfId="10264" xr:uid="{DE0CCAA0-65A6-401E-BBD8-5DD44CE1A47E}"/>
    <cellStyle name="Style 64 2 2 3 2 5 2" xfId="29264" xr:uid="{96E0C445-7D1B-4488-9718-6DA4119C2B7F}"/>
    <cellStyle name="Style 64 2 2 3 3" xfId="10265" xr:uid="{1F828088-B13D-4058-AD26-2C6909ED0B3E}"/>
    <cellStyle name="Style 64 2 2 3 3 2" xfId="10266" xr:uid="{354760AE-D2A9-4541-9D34-08038E1EF123}"/>
    <cellStyle name="Style 64 2 2 3 3 2 2" xfId="29265" xr:uid="{4496C8FE-42EC-4F76-9872-53B31A275DA2}"/>
    <cellStyle name="Style 64 2 2 3 4" xfId="10267" xr:uid="{0351B7E8-9EDC-459C-864C-F2CD6E70B05F}"/>
    <cellStyle name="Style 64 2 2 3 4 2" xfId="29266" xr:uid="{6F5EB5DA-9E44-4C0A-A5FF-1AB54502A19F}"/>
    <cellStyle name="Style 64 2 2 3 5" xfId="10268" xr:uid="{EC0AD62D-258C-4BCD-9DDF-161E0ECB45CC}"/>
    <cellStyle name="Style 64 2 2 3 5 2" xfId="29267" xr:uid="{E6E78370-7785-4A73-BC61-91BA0DEA1B32}"/>
    <cellStyle name="Style 64 2 2 3 6" xfId="10269" xr:uid="{871CB706-B68E-4B38-954C-C9936318756F}"/>
    <cellStyle name="Style 64 2 2 3 6 2" xfId="29268" xr:uid="{68AB2288-EA99-40BB-AD5B-246EFD9C7EC9}"/>
    <cellStyle name="Style 64 2 2 4" xfId="3098" xr:uid="{85C28D94-46DF-4320-B330-695D84483667}"/>
    <cellStyle name="Style 64 2 2 4 2" xfId="10270" xr:uid="{D4C5751C-46FC-4B65-8E92-ACC20E3C493A}"/>
    <cellStyle name="Style 64 2 2 4 2 2" xfId="10271" xr:uid="{AD5D47E5-CB8B-40A1-81F9-857175D7EBA0}"/>
    <cellStyle name="Style 64 2 2 4 2 2 2" xfId="29269" xr:uid="{D884F298-E237-4894-B343-3B9196EB6844}"/>
    <cellStyle name="Style 64 2 2 4 3" xfId="10272" xr:uid="{D8779BA7-2E7A-4AB8-BD52-C367267842ED}"/>
    <cellStyle name="Style 64 2 2 4 3 2" xfId="29270" xr:uid="{2AFC8C94-60C4-4D91-BE06-E9E3BC497FFE}"/>
    <cellStyle name="Style 64 2 2 4 4" xfId="10273" xr:uid="{C4BF6FF9-2DBB-423F-AAD8-25B4A7B11C0A}"/>
    <cellStyle name="Style 64 2 2 4 4 2" xfId="29271" xr:uid="{D07D2330-011E-4077-8CF5-6C10E56B0F51}"/>
    <cellStyle name="Style 64 2 2 4 5" xfId="10274" xr:uid="{DD501F30-1449-4239-A9A5-C512D6D26B3F}"/>
    <cellStyle name="Style 64 2 2 4 5 2" xfId="29272" xr:uid="{29D181D3-4899-4D12-88AC-96F926BF45A2}"/>
    <cellStyle name="Style 64 2 2 5" xfId="10275" xr:uid="{84BE9823-E23C-4247-9E2B-1F2F39A24CEA}"/>
    <cellStyle name="Style 64 2 2 5 2" xfId="10276" xr:uid="{747B029D-87BA-478F-B831-D484E7AA3C33}"/>
    <cellStyle name="Style 64 2 2 5 2 2" xfId="29273" xr:uid="{41F26322-1779-43F5-9ED9-1D0E2E235BE1}"/>
    <cellStyle name="Style 64 2 2 6" xfId="10277" xr:uid="{A82483CF-E789-4039-896B-9D3402AD2A82}"/>
    <cellStyle name="Style 64 2 2 6 2" xfId="29274" xr:uid="{DE12DF2C-4012-4516-90D3-9D5BD5D9B697}"/>
    <cellStyle name="Style 64 2 2 7" xfId="10278" xr:uid="{F1A52667-9730-4756-ACF3-23A4CCFF5697}"/>
    <cellStyle name="Style 64 2 2 7 2" xfId="29275" xr:uid="{9EC1585C-C689-4D49-98E2-8171F462113D}"/>
    <cellStyle name="Style 64 2 3" xfId="3099" xr:uid="{E5FEBB5C-4C07-43FF-A288-AE8199943262}"/>
    <cellStyle name="Style 64 2 3 2" xfId="3100" xr:uid="{8CB02152-185B-4D03-A4BC-7BA21DFEAA44}"/>
    <cellStyle name="Style 64 2 3 2 2" xfId="3101" xr:uid="{C0FF6C4A-F434-4359-BA06-548F66A9F5E0}"/>
    <cellStyle name="Style 64 2 3 2 2 2" xfId="10279" xr:uid="{DB8F1BDE-BDE4-45C5-9FEA-D9741A014E51}"/>
    <cellStyle name="Style 64 2 3 2 2 2 2" xfId="10280" xr:uid="{4F5C2681-4F5C-4B76-B8CD-17A7060130BA}"/>
    <cellStyle name="Style 64 2 3 2 2 2 2 2" xfId="29276" xr:uid="{9CDFDB07-1FDC-4E4F-8ECB-558377428AE8}"/>
    <cellStyle name="Style 64 2 3 2 2 3" xfId="10281" xr:uid="{FCC33793-9154-490C-A69C-463C364E7F13}"/>
    <cellStyle name="Style 64 2 3 2 2 3 2" xfId="29277" xr:uid="{64789461-3CE2-42A3-9703-3AC4D2B81224}"/>
    <cellStyle name="Style 64 2 3 2 2 4" xfId="10282" xr:uid="{1215DD70-151F-40F0-B80F-E62747A9E6DA}"/>
    <cellStyle name="Style 64 2 3 2 2 4 2" xfId="29278" xr:uid="{611FEB27-F140-4C88-90AE-85393830E1E1}"/>
    <cellStyle name="Style 64 2 3 2 2 5" xfId="10283" xr:uid="{98D7247E-BA0C-4352-9C07-CBEC5461057C}"/>
    <cellStyle name="Style 64 2 3 2 2 5 2" xfId="29279" xr:uid="{32B36E93-C1C5-4A64-A30E-20D7EAEDD649}"/>
    <cellStyle name="Style 64 2 3 2 3" xfId="10284" xr:uid="{5F32A50C-F371-423D-A020-6437762F79CC}"/>
    <cellStyle name="Style 64 2 3 2 3 2" xfId="10285" xr:uid="{17E7220E-3241-46BB-AD0B-29B65EDBE11F}"/>
    <cellStyle name="Style 64 2 3 2 3 2 2" xfId="29280" xr:uid="{46EEE423-4FA0-4B7D-9617-818675F4DB09}"/>
    <cellStyle name="Style 64 2 3 2 4" xfId="10286" xr:uid="{916F46C1-3312-4831-AE2A-FFC085F5EB76}"/>
    <cellStyle name="Style 64 2 3 2 4 2" xfId="29281" xr:uid="{204C25BF-0398-494C-938B-465C122DF70F}"/>
    <cellStyle name="Style 64 2 3 2 5" xfId="10287" xr:uid="{472200B9-1AF5-440A-9624-742219741352}"/>
    <cellStyle name="Style 64 2 3 2 5 2" xfId="29282" xr:uid="{F42336B8-FD44-4C2C-AD28-4A9F5F063910}"/>
    <cellStyle name="Style 64 2 3 2 6" xfId="10288" xr:uid="{C964357E-7E9C-4C5E-8755-F80853DC8A8B}"/>
    <cellStyle name="Style 64 2 3 2 6 2" xfId="29283" xr:uid="{5B07708D-D4ED-418D-8368-14FA5F5F1A77}"/>
    <cellStyle name="Style 64 2 3 3" xfId="3102" xr:uid="{F0038A02-AC7B-4A23-9BAA-FF9EA4E2546C}"/>
    <cellStyle name="Style 64 2 3 3 2" xfId="10289" xr:uid="{5F834DA8-C223-4697-8F6A-3B697292A70A}"/>
    <cellStyle name="Style 64 2 3 3 2 2" xfId="10290" xr:uid="{24407442-E679-477A-9A32-A1A9607A5C21}"/>
    <cellStyle name="Style 64 2 3 3 2 2 2" xfId="29284" xr:uid="{0286629A-CA17-4D7F-856E-F0ABE1623D66}"/>
    <cellStyle name="Style 64 2 3 3 3" xfId="10291" xr:uid="{9C2FAA97-DF3B-4EBB-A419-14C7FBC12600}"/>
    <cellStyle name="Style 64 2 3 3 3 2" xfId="29285" xr:uid="{910BBF78-6F20-48EF-9531-4420BD1BBBC4}"/>
    <cellStyle name="Style 64 2 3 3 4" xfId="10292" xr:uid="{65D6F231-55AE-4310-B13D-35AE9701D33A}"/>
    <cellStyle name="Style 64 2 3 3 4 2" xfId="29286" xr:uid="{D8D3960B-1799-47A4-BF2B-5DD5F05187C4}"/>
    <cellStyle name="Style 64 2 3 3 5" xfId="10293" xr:uid="{531F7F7D-8A78-43A2-85CD-EAD916338742}"/>
    <cellStyle name="Style 64 2 3 3 5 2" xfId="29287" xr:uid="{FCB871C1-7AFE-4978-A7E8-AD17840E45BE}"/>
    <cellStyle name="Style 64 2 3 4" xfId="10294" xr:uid="{4205D92F-C326-4A7C-AA96-EA8393AAC956}"/>
    <cellStyle name="Style 64 2 3 4 2" xfId="10295" xr:uid="{FA9E4E3B-D33F-4FDE-84E0-F99FB7D073B7}"/>
    <cellStyle name="Style 64 2 3 4 2 2" xfId="29288" xr:uid="{52E501A7-10D2-4623-8B6F-543028596EED}"/>
    <cellStyle name="Style 64 2 3 5" xfId="10296" xr:uid="{86F4D227-A787-4419-8861-DBD88EF68B41}"/>
    <cellStyle name="Style 64 2 3 5 2" xfId="29289" xr:uid="{C40DDAEF-BBE5-4CF5-ABE0-6EDAF3DD5C3C}"/>
    <cellStyle name="Style 64 2 3 6" xfId="10297" xr:uid="{F3D0F6E3-8436-43A9-B7DE-F7D0E33EB314}"/>
    <cellStyle name="Style 64 2 3 6 2" xfId="29290" xr:uid="{29F16F73-C6BD-4BAE-8376-0D35898DA83E}"/>
    <cellStyle name="Style 64 2 3 7" xfId="10298" xr:uid="{451709E1-EA97-4E36-8D9E-C703BED676B7}"/>
    <cellStyle name="Style 64 2 3 7 2" xfId="29291" xr:uid="{DD12606E-3919-4DAF-A488-0DF747DB311A}"/>
    <cellStyle name="Style 64 2 4" xfId="3103" xr:uid="{F0BDADB4-28AA-4D5B-A8D6-A379FC345CA6}"/>
    <cellStyle name="Style 64 2 4 2" xfId="3104" xr:uid="{7FC56AD0-F9B1-4FCA-AE0C-1754E4EF6566}"/>
    <cellStyle name="Style 64 2 4 2 2" xfId="10299" xr:uid="{8A164CBD-EAF9-43EB-914E-16AC3EED0C62}"/>
    <cellStyle name="Style 64 2 4 2 2 2" xfId="10300" xr:uid="{2F2376A3-8FDF-4C44-B473-4BAE55080240}"/>
    <cellStyle name="Style 64 2 4 2 2 2 2" xfId="29292" xr:uid="{43A4ED4A-0C49-4AEE-84CC-1FBBCC85E630}"/>
    <cellStyle name="Style 64 2 4 2 3" xfId="10301" xr:uid="{BD15B685-2612-4083-94E7-126225615FBF}"/>
    <cellStyle name="Style 64 2 4 2 3 2" xfId="29293" xr:uid="{D2C3F159-013B-4CF2-B422-F59917BA9A8B}"/>
    <cellStyle name="Style 64 2 4 2 4" xfId="10302" xr:uid="{90C5FB16-7BB2-4049-949E-96BB026ECD55}"/>
    <cellStyle name="Style 64 2 4 2 4 2" xfId="29294" xr:uid="{98E3C648-DD06-4F73-A2F6-598ECB400635}"/>
    <cellStyle name="Style 64 2 4 2 5" xfId="10303" xr:uid="{A6C0757A-584A-4AF7-91DB-6D869DD92778}"/>
    <cellStyle name="Style 64 2 4 2 5 2" xfId="29295" xr:uid="{D372D225-5BB0-4CD3-ACA5-0CE4D5ABCDF9}"/>
    <cellStyle name="Style 64 2 4 3" xfId="10304" xr:uid="{96173A9C-6C4E-4BD4-B44E-15C28F90A53E}"/>
    <cellStyle name="Style 64 2 4 3 2" xfId="10305" xr:uid="{AF8AC346-3B58-4AD0-82AB-68D20353E1A4}"/>
    <cellStyle name="Style 64 2 4 3 2 2" xfId="29296" xr:uid="{E6FA9363-963A-42F6-9862-816BCAF7DDAA}"/>
    <cellStyle name="Style 64 2 4 4" xfId="10306" xr:uid="{F847D98B-571F-4706-9B8E-7D3F1F2F2157}"/>
    <cellStyle name="Style 64 2 4 4 2" xfId="29297" xr:uid="{93511B0B-5BF7-4FCD-A646-2EEC478830C2}"/>
    <cellStyle name="Style 64 2 4 5" xfId="10307" xr:uid="{FA08760A-2BB4-4FC7-9528-4D132897F5F4}"/>
    <cellStyle name="Style 64 2 4 5 2" xfId="29298" xr:uid="{EC1D3D04-E3BF-45C7-B31D-C331FF694D43}"/>
    <cellStyle name="Style 64 2 4 6" xfId="10308" xr:uid="{6D368617-A7A1-419F-8672-EE2AC4AC87BE}"/>
    <cellStyle name="Style 64 2 4 6 2" xfId="29299" xr:uid="{EC49E86B-FC0A-4435-8267-DF59F7E913B3}"/>
    <cellStyle name="Style 64 2 5" xfId="3105" xr:uid="{3F80243A-884A-4EC4-BEC7-79EC6EC52444}"/>
    <cellStyle name="Style 64 2 5 2" xfId="10309" xr:uid="{7BBC2518-9D79-4292-868B-2FE643B34787}"/>
    <cellStyle name="Style 64 2 5 2 2" xfId="10310" xr:uid="{7CCD8756-D911-4CF9-A3D6-78AB395BB5B8}"/>
    <cellStyle name="Style 64 2 5 2 2 2" xfId="29300" xr:uid="{270CA99A-7BD8-4E2A-B4E8-E7117C95A8CA}"/>
    <cellStyle name="Style 64 2 5 3" xfId="10311" xr:uid="{8C95256A-7FF5-4C8D-90A5-4ABD3330CF07}"/>
    <cellStyle name="Style 64 2 5 3 2" xfId="29301" xr:uid="{903758F9-5633-4FC9-B545-F58814E089F7}"/>
    <cellStyle name="Style 64 2 5 4" xfId="10312" xr:uid="{4A89F265-B767-417F-93FD-A3417238D6EA}"/>
    <cellStyle name="Style 64 2 5 4 2" xfId="29302" xr:uid="{8BE27664-F3A0-49BC-8385-555B489D06C0}"/>
    <cellStyle name="Style 64 2 5 5" xfId="10313" xr:uid="{6BBF606B-4FCD-4E04-9491-77C508F92F08}"/>
    <cellStyle name="Style 64 2 5 5 2" xfId="29303" xr:uid="{9E139986-C738-4BD4-A373-8D4536873B77}"/>
    <cellStyle name="Style 64 2 6" xfId="10314" xr:uid="{82025180-DFAD-42F4-8183-84E990ABF856}"/>
    <cellStyle name="Style 64 2 6 2" xfId="10315" xr:uid="{1EA23A0B-CC7F-412E-AA99-AA2F86940340}"/>
    <cellStyle name="Style 64 2 6 2 2" xfId="29304" xr:uid="{CF43135F-EA3A-4E84-BC61-DB79D42670BA}"/>
    <cellStyle name="Style 64 2 7" xfId="10316" xr:uid="{B01D6E06-DFEE-41EC-A36D-6E5B6FAB29B7}"/>
    <cellStyle name="Style 64 2 7 2" xfId="29305" xr:uid="{AF26CF20-88A1-4742-BC37-F90180D8E80A}"/>
    <cellStyle name="Style 64 2 8" xfId="10317" xr:uid="{02861316-44B8-4B21-84DD-963355108618}"/>
    <cellStyle name="Style 64 2 8 2" xfId="29306" xr:uid="{E14339B7-D080-41B9-A93F-75056A31F511}"/>
    <cellStyle name="Style 64 3" xfId="3106" xr:uid="{A0D977A2-8261-437D-BD7C-42D086CC02CC}"/>
    <cellStyle name="Style 64 3 2" xfId="3107" xr:uid="{EFF7706E-6065-410B-9627-F5428333B259}"/>
    <cellStyle name="Style 64 3 2 2" xfId="3108" xr:uid="{D661CC7C-9241-4B8A-A21F-A1B9DB5D2F1E}"/>
    <cellStyle name="Style 64 3 2 2 2" xfId="3109" xr:uid="{2A302C91-F279-4D07-B75F-48F2D8C70BC7}"/>
    <cellStyle name="Style 64 3 2 2 2 2" xfId="3110" xr:uid="{6EAA0A49-A82F-456B-8A4E-F10E51256447}"/>
    <cellStyle name="Style 64 3 2 2 2 2 2" xfId="10318" xr:uid="{A4175822-9365-47A6-A5D1-85A50B830CC0}"/>
    <cellStyle name="Style 64 3 2 2 2 2 2 2" xfId="10319" xr:uid="{3A3F09FD-4088-4B3C-A7D4-DFC64F22B388}"/>
    <cellStyle name="Style 64 3 2 2 2 2 2 2 2" xfId="29307" xr:uid="{BE77F176-7AC3-466C-AE67-04C0EEBCF9F5}"/>
    <cellStyle name="Style 64 3 2 2 2 2 3" xfId="10320" xr:uid="{1D476449-EE90-4274-949A-B33FF375D430}"/>
    <cellStyle name="Style 64 3 2 2 2 2 3 2" xfId="29308" xr:uid="{5CDF039B-FC0A-4845-B0FC-DD410E84C073}"/>
    <cellStyle name="Style 64 3 2 2 2 2 4" xfId="10321" xr:uid="{2F1B38BA-A8EB-47E6-9F30-E3748B815B20}"/>
    <cellStyle name="Style 64 3 2 2 2 2 4 2" xfId="29309" xr:uid="{A37B445C-7BA2-4BBA-9E4D-26AF9EDFCBDC}"/>
    <cellStyle name="Style 64 3 2 2 2 2 5" xfId="10322" xr:uid="{5C4C7985-0918-4E29-843E-0644080B0134}"/>
    <cellStyle name="Style 64 3 2 2 2 2 5 2" xfId="29310" xr:uid="{60060649-FCF8-443D-B437-CA5BD4D50FA4}"/>
    <cellStyle name="Style 64 3 2 2 2 3" xfId="10323" xr:uid="{878E2DB5-8D10-4706-8179-C1E42D1F9B7D}"/>
    <cellStyle name="Style 64 3 2 2 2 3 2" xfId="10324" xr:uid="{11C3CD88-4336-4A95-B453-BD4226DE1758}"/>
    <cellStyle name="Style 64 3 2 2 2 3 2 2" xfId="29311" xr:uid="{6C8328B6-28B5-41E7-B277-DF42D621B36A}"/>
    <cellStyle name="Style 64 3 2 2 2 4" xfId="10325" xr:uid="{E652DA24-A096-432D-AA7D-A086AB629CDC}"/>
    <cellStyle name="Style 64 3 2 2 2 4 2" xfId="29312" xr:uid="{7A41DFAE-1C76-479F-8968-21F42F548267}"/>
    <cellStyle name="Style 64 3 2 2 2 5" xfId="10326" xr:uid="{0089A2B5-50C4-4CE4-9DB0-B3DA9DD29252}"/>
    <cellStyle name="Style 64 3 2 2 2 5 2" xfId="29313" xr:uid="{1CB68C41-7A69-42B1-A8FD-D35CBB52409E}"/>
    <cellStyle name="Style 64 3 2 2 2 6" xfId="10327" xr:uid="{04EE9158-A8E5-4256-9405-C0F145F69E68}"/>
    <cellStyle name="Style 64 3 2 2 2 6 2" xfId="29314" xr:uid="{11E62D7B-2E37-45D0-BEF4-4C1517C5ED35}"/>
    <cellStyle name="Style 64 3 2 2 3" xfId="3111" xr:uid="{5AE873AC-EBED-4E22-ADEC-CF5B1010B4C7}"/>
    <cellStyle name="Style 64 3 2 2 3 2" xfId="10328" xr:uid="{4FEC1E1A-C7F4-4E06-82D8-AFB0B5CAE3E8}"/>
    <cellStyle name="Style 64 3 2 2 3 2 2" xfId="10329" xr:uid="{4B46AA50-C4B3-4F31-8C6D-64D660041164}"/>
    <cellStyle name="Style 64 3 2 2 3 2 2 2" xfId="29315" xr:uid="{2C79768B-C2D7-4D88-A918-B56279B30D9A}"/>
    <cellStyle name="Style 64 3 2 2 3 3" xfId="10330" xr:uid="{FC8E2B74-A2C5-4B15-980F-76133C8B6A7D}"/>
    <cellStyle name="Style 64 3 2 2 3 3 2" xfId="29316" xr:uid="{D281AA6D-1FAB-4B54-B0FD-BAD4315D9ACD}"/>
    <cellStyle name="Style 64 3 2 2 3 4" xfId="10331" xr:uid="{10BDB9C8-C129-4F5C-9826-72A1500EB674}"/>
    <cellStyle name="Style 64 3 2 2 3 4 2" xfId="29317" xr:uid="{988CE55E-6761-4CCD-9024-803F81F44016}"/>
    <cellStyle name="Style 64 3 2 2 3 5" xfId="10332" xr:uid="{1409C539-7DDA-4095-9A2B-066746572590}"/>
    <cellStyle name="Style 64 3 2 2 3 5 2" xfId="29318" xr:uid="{DFD8BDBF-FFA9-491D-BF0E-9AA4FA8A953C}"/>
    <cellStyle name="Style 64 3 2 2 4" xfId="10333" xr:uid="{1AC1D8EA-4B90-4922-951E-431916F8732F}"/>
    <cellStyle name="Style 64 3 2 2 4 2" xfId="10334" xr:uid="{F1FB49D1-EBC8-46B9-B552-1B96B3CCB6DD}"/>
    <cellStyle name="Style 64 3 2 2 4 2 2" xfId="29319" xr:uid="{B1C0D56D-40BA-436B-A54F-E0CC54D110F0}"/>
    <cellStyle name="Style 64 3 2 2 5" xfId="10335" xr:uid="{E51840CF-3B51-47C5-AAA7-ECDAEA44B160}"/>
    <cellStyle name="Style 64 3 2 2 5 2" xfId="29320" xr:uid="{711382E4-DFA0-4CC6-9340-B965977C0109}"/>
    <cellStyle name="Style 64 3 2 2 6" xfId="10336" xr:uid="{A2E8B80D-34D7-4BFF-9DF1-4F065C61740B}"/>
    <cellStyle name="Style 64 3 2 2 6 2" xfId="29321" xr:uid="{E3CDA596-3730-44AF-AF4E-5CFE7061371E}"/>
    <cellStyle name="Style 64 3 2 2 7" xfId="10337" xr:uid="{9EAE8D6C-D749-4447-86F0-5E34AED4F746}"/>
    <cellStyle name="Style 64 3 2 2 7 2" xfId="29322" xr:uid="{D4FC7254-2D77-471A-8CBA-7F6284373745}"/>
    <cellStyle name="Style 64 3 2 3" xfId="3112" xr:uid="{2197BD5B-75D7-46DB-B34C-BA28733AEE48}"/>
    <cellStyle name="Style 64 3 2 3 2" xfId="3113" xr:uid="{673E1A1D-5C4C-44B4-A981-20DB04BCD662}"/>
    <cellStyle name="Style 64 3 2 3 2 2" xfId="10338" xr:uid="{747EE3C5-05C9-4ADC-9C05-79AD87EF425D}"/>
    <cellStyle name="Style 64 3 2 3 2 2 2" xfId="10339" xr:uid="{BB9DF661-1FC3-4A2A-BA1B-092C8D9BD7E7}"/>
    <cellStyle name="Style 64 3 2 3 2 2 2 2" xfId="29323" xr:uid="{A4C53DF7-413E-430A-833C-6F479333A89F}"/>
    <cellStyle name="Style 64 3 2 3 2 3" xfId="10340" xr:uid="{A51C9301-BFF5-407A-8682-40D2752562A7}"/>
    <cellStyle name="Style 64 3 2 3 2 3 2" xfId="29324" xr:uid="{A3E354FC-9BE9-4DDE-859D-DCFA0D758E81}"/>
    <cellStyle name="Style 64 3 2 3 2 4" xfId="10341" xr:uid="{DD49CA57-C9B9-4BB9-B2EE-CD67A249A6B7}"/>
    <cellStyle name="Style 64 3 2 3 2 4 2" xfId="29325" xr:uid="{0B268AED-27CC-451E-AB0D-CBDDAF35E235}"/>
    <cellStyle name="Style 64 3 2 3 2 5" xfId="10342" xr:uid="{DC326481-F854-48C4-B6D0-80221189A251}"/>
    <cellStyle name="Style 64 3 2 3 2 5 2" xfId="29326" xr:uid="{1863DA3A-8B9A-47C2-AE7B-5A92F936F8A9}"/>
    <cellStyle name="Style 64 3 2 3 3" xfId="10343" xr:uid="{2D859FF7-8013-4FF2-AFDA-FF0D6EE1C0F6}"/>
    <cellStyle name="Style 64 3 2 3 3 2" xfId="10344" xr:uid="{1A68023F-4984-4FD8-A47C-73C13E00E5B6}"/>
    <cellStyle name="Style 64 3 2 3 3 2 2" xfId="29327" xr:uid="{1BFD7ED0-82A2-4A5B-B587-357704E009C6}"/>
    <cellStyle name="Style 64 3 2 3 4" xfId="10345" xr:uid="{75CA5163-B8CB-4A84-974B-833728E37740}"/>
    <cellStyle name="Style 64 3 2 3 4 2" xfId="29328" xr:uid="{A6068B6D-6CFF-49FA-92A7-5128A7155B81}"/>
    <cellStyle name="Style 64 3 2 3 5" xfId="10346" xr:uid="{0E1A4993-4A0E-48C9-9AFB-69832AE5ABDC}"/>
    <cellStyle name="Style 64 3 2 3 5 2" xfId="29329" xr:uid="{2A52824E-2F99-447B-89D3-0BC7DB46F4E1}"/>
    <cellStyle name="Style 64 3 2 3 6" xfId="10347" xr:uid="{C108F101-5A86-47F5-A109-1782CC40DDD0}"/>
    <cellStyle name="Style 64 3 2 3 6 2" xfId="29330" xr:uid="{8357B9DD-612E-4AE7-8AB9-57C5BD597DAF}"/>
    <cellStyle name="Style 64 3 2 4" xfId="3114" xr:uid="{FAB02039-E638-48DC-BEE8-B31FD4818529}"/>
    <cellStyle name="Style 64 3 2 4 2" xfId="10348" xr:uid="{E9703DAD-6206-4301-9DF4-E792ABFF5C4D}"/>
    <cellStyle name="Style 64 3 2 4 2 2" xfId="10349" xr:uid="{2DCF800A-757A-4754-A80B-83E813D712ED}"/>
    <cellStyle name="Style 64 3 2 4 2 2 2" xfId="29331" xr:uid="{AAE2610E-B98C-4E19-B2C6-253EBEF9DFBF}"/>
    <cellStyle name="Style 64 3 2 4 3" xfId="10350" xr:uid="{8CD55363-C37C-4DF2-A131-7A76EE5A1182}"/>
    <cellStyle name="Style 64 3 2 4 3 2" xfId="29332" xr:uid="{55F3F98E-B940-40F3-B0E4-3800A3F8FB2A}"/>
    <cellStyle name="Style 64 3 2 4 4" xfId="10351" xr:uid="{86DEDE57-0017-46F6-9935-8F0A2F78BFC3}"/>
    <cellStyle name="Style 64 3 2 4 4 2" xfId="29333" xr:uid="{BF3CCE47-921B-4725-96E0-5341B8A18E85}"/>
    <cellStyle name="Style 64 3 2 4 5" xfId="10352" xr:uid="{7B401D24-3FEE-496F-A7DE-732DA9273511}"/>
    <cellStyle name="Style 64 3 2 4 5 2" xfId="29334" xr:uid="{4547B87D-7EDC-4146-891C-C2BEA14BCE23}"/>
    <cellStyle name="Style 64 3 2 5" xfId="10353" xr:uid="{C36052B0-D5A7-4E96-BD2D-266C31B9C3F3}"/>
    <cellStyle name="Style 64 3 2 5 2" xfId="10354" xr:uid="{34A58860-0536-4AFD-9E22-878D23F0C6D5}"/>
    <cellStyle name="Style 64 3 2 5 2 2" xfId="29335" xr:uid="{DF5CC592-58A1-4797-BCAD-490F909F2739}"/>
    <cellStyle name="Style 64 3 2 6" xfId="10355" xr:uid="{8283EB16-FF20-4E51-873D-604453B8D213}"/>
    <cellStyle name="Style 64 3 2 6 2" xfId="29336" xr:uid="{8F43CBBE-01EC-488A-8996-73927B1AAE89}"/>
    <cellStyle name="Style 64 3 2 7" xfId="10356" xr:uid="{1054DDC8-B493-429F-B901-35EB42835417}"/>
    <cellStyle name="Style 64 3 2 7 2" xfId="29337" xr:uid="{4EB8AE98-E33D-404E-BD85-79C5FC52CCA4}"/>
    <cellStyle name="Style 64 3 2 8" xfId="10357" xr:uid="{94CD88AD-3572-4226-BD5F-272BD6AC59C5}"/>
    <cellStyle name="Style 64 3 2 8 2" xfId="29338" xr:uid="{184DB8E2-03B1-4831-A2C5-A44CC91DE1EF}"/>
    <cellStyle name="Style 64 3 3" xfId="3115" xr:uid="{E760A38F-93DA-4198-BD2C-084388DE23BB}"/>
    <cellStyle name="Style 64 3 3 2" xfId="3116" xr:uid="{1C07488B-D9D7-4F92-AB9C-F6A05419D655}"/>
    <cellStyle name="Style 64 3 3 2 2" xfId="3117" xr:uid="{27A5E385-B8E0-4034-B47C-E08D0C7D3A3B}"/>
    <cellStyle name="Style 64 3 3 2 2 2" xfId="3118" xr:uid="{A7477E82-6C4F-4663-A96E-9FDC46EC683F}"/>
    <cellStyle name="Style 64 3 3 2 2 2 2" xfId="10358" xr:uid="{3D19E45F-3FEF-4133-B57E-71EB213B3EAB}"/>
    <cellStyle name="Style 64 3 3 2 2 2 2 2" xfId="10359" xr:uid="{E1BD3371-B115-4EA0-A1B9-CE2644D003F1}"/>
    <cellStyle name="Style 64 3 3 2 2 2 2 2 2" xfId="29339" xr:uid="{B80AD877-07CF-4384-A7BC-D35AAE6C3A86}"/>
    <cellStyle name="Style 64 3 3 2 2 2 3" xfId="10360" xr:uid="{5B09B0DF-CF35-4C7A-BA53-17C390AF5E98}"/>
    <cellStyle name="Style 64 3 3 2 2 2 3 2" xfId="29340" xr:uid="{DB1E220B-C1CD-4EDA-B85C-DABC8049238E}"/>
    <cellStyle name="Style 64 3 3 2 2 2 4" xfId="10361" xr:uid="{AF99A0C2-9E30-4FCE-8D16-296B7EE53FF8}"/>
    <cellStyle name="Style 64 3 3 2 2 2 4 2" xfId="29341" xr:uid="{A438DAD4-DDEA-46AE-B7F2-CF5CADB0B1D9}"/>
    <cellStyle name="Style 64 3 3 2 2 2 5" xfId="10362" xr:uid="{32514BE7-21B4-46D7-8D9A-620BA4F960F1}"/>
    <cellStyle name="Style 64 3 3 2 2 2 5 2" xfId="29342" xr:uid="{772CCC35-9F60-4DBA-96A6-D184354E3FB4}"/>
    <cellStyle name="Style 64 3 3 2 2 3" xfId="10363" xr:uid="{EAB711B3-4A9F-4886-91E0-9BF295A7FB10}"/>
    <cellStyle name="Style 64 3 3 2 2 3 2" xfId="10364" xr:uid="{3BC709D6-E158-4561-9520-F7BDD48D9C83}"/>
    <cellStyle name="Style 64 3 3 2 2 3 2 2" xfId="29343" xr:uid="{6939D67C-09B6-4D92-B339-A78FC9032C00}"/>
    <cellStyle name="Style 64 3 3 2 2 4" xfId="10365" xr:uid="{3998BC80-3D5E-467D-BC83-1A922724E627}"/>
    <cellStyle name="Style 64 3 3 2 2 4 2" xfId="29344" xr:uid="{F2024395-7477-4BCB-93E5-85DE54E6042C}"/>
    <cellStyle name="Style 64 3 3 2 2 5" xfId="10366" xr:uid="{ADA69063-34FA-436E-84E1-1B9FBF1AD68C}"/>
    <cellStyle name="Style 64 3 3 2 2 5 2" xfId="29345" xr:uid="{92CCBE4B-DFE9-4CF4-9E25-65E748A7827D}"/>
    <cellStyle name="Style 64 3 3 2 2 6" xfId="10367" xr:uid="{BF3A9639-2469-4E7D-86C1-D5131853D114}"/>
    <cellStyle name="Style 64 3 3 2 2 6 2" xfId="29346" xr:uid="{1431EDEE-D445-451E-84EE-2A5F74C341CA}"/>
    <cellStyle name="Style 64 3 3 2 3" xfId="3119" xr:uid="{54402B69-33F3-43FF-9AF0-CB2103A3337B}"/>
    <cellStyle name="Style 64 3 3 2 3 2" xfId="10368" xr:uid="{37CF2471-2BC3-4CA8-9F77-055D1B477E67}"/>
    <cellStyle name="Style 64 3 3 2 3 2 2" xfId="10369" xr:uid="{DE896A40-C91B-4C6B-B18F-BF8D6FF30473}"/>
    <cellStyle name="Style 64 3 3 2 3 2 2 2" xfId="29347" xr:uid="{73B470FC-AA2F-4393-861F-1E73C602B751}"/>
    <cellStyle name="Style 64 3 3 2 3 3" xfId="10370" xr:uid="{0D2177B2-D44E-4216-9A10-60B41B9359E4}"/>
    <cellStyle name="Style 64 3 3 2 3 3 2" xfId="29348" xr:uid="{4A12D7F8-74BC-4A87-9550-D6305DF5BA52}"/>
    <cellStyle name="Style 64 3 3 2 3 4" xfId="10371" xr:uid="{99F499F9-D52C-4329-9543-0CBD9E174E36}"/>
    <cellStyle name="Style 64 3 3 2 3 4 2" xfId="29349" xr:uid="{5FD36ECB-F5B1-4F92-A0B0-9797C4811AE2}"/>
    <cellStyle name="Style 64 3 3 2 3 5" xfId="10372" xr:uid="{CA11DDC4-6A05-4C2C-BAE1-7AD0C216CECE}"/>
    <cellStyle name="Style 64 3 3 2 3 5 2" xfId="29350" xr:uid="{2DDB85FB-0A58-4A66-9F5B-5FC80E6F5ADE}"/>
    <cellStyle name="Style 64 3 3 2 3 6" xfId="10373" xr:uid="{6F815C86-F172-43CD-9CC6-5AD0ADAA37E1}"/>
    <cellStyle name="Style 64 3 3 2 3 6 2" xfId="29351" xr:uid="{51731121-991D-4837-89E4-9AA953E519AE}"/>
    <cellStyle name="Style 64 3 3 2 4" xfId="10374" xr:uid="{FE693F80-4024-4BD5-9709-FD77B836FDAA}"/>
    <cellStyle name="Style 64 3 3 2 4 2" xfId="10375" xr:uid="{42167C95-2C28-4896-B091-46171DE215B1}"/>
    <cellStyle name="Style 64 3 3 2 4 2 2" xfId="29352" xr:uid="{B6993D5A-B007-4BF3-8FE1-D5A66509E8A3}"/>
    <cellStyle name="Style 64 3 3 2 5" xfId="10376" xr:uid="{E8FF7E67-50A1-4C58-88A3-62BAE9AD2905}"/>
    <cellStyle name="Style 64 3 3 2 5 2" xfId="29353" xr:uid="{A9F3392A-4989-437A-84E4-8E3B257C6168}"/>
    <cellStyle name="Style 64 3 3 2 6" xfId="10377" xr:uid="{AF43191E-DE31-4035-8922-75A82873E844}"/>
    <cellStyle name="Style 64 3 3 2 6 2" xfId="29354" xr:uid="{FAB87B32-AD5E-4642-A294-2DD8C24F0636}"/>
    <cellStyle name="Style 64 3 3 2 7" xfId="10378" xr:uid="{049F44E5-4E2E-427B-92A1-200AD605F471}"/>
    <cellStyle name="Style 64 3 3 2 7 2" xfId="29355" xr:uid="{6CA4F748-ECA8-4D30-96AE-D10D93034247}"/>
    <cellStyle name="Style 64 3 3 3" xfId="3120" xr:uid="{15B9356E-7DE9-4965-90BA-E1D28FD14CE7}"/>
    <cellStyle name="Style 64 3 3 3 2" xfId="10379" xr:uid="{1AE563BA-C626-4384-8616-3F38ED7971D1}"/>
    <cellStyle name="Style 64 3 3 3 2 2" xfId="10380" xr:uid="{419C3723-C02B-4FEA-AE82-588E33DC5692}"/>
    <cellStyle name="Style 64 3 3 3 2 2 2" xfId="29356" xr:uid="{201355A9-2C41-4C89-8CCA-27FD39872E45}"/>
    <cellStyle name="Style 64 3 3 3 3" xfId="10381" xr:uid="{8476BF27-FF9C-4874-B75E-3FBA726AAA92}"/>
    <cellStyle name="Style 64 3 3 3 3 2" xfId="29357" xr:uid="{D354779C-FEED-4B86-BD01-FE250897FE62}"/>
    <cellStyle name="Style 64 3 3 3 4" xfId="10382" xr:uid="{438CDEEE-8EA2-40A8-85B1-95C7383622B8}"/>
    <cellStyle name="Style 64 3 3 3 4 2" xfId="29358" xr:uid="{263CFE05-77F7-4F2B-922B-98882025C826}"/>
    <cellStyle name="Style 64 3 3 3 5" xfId="10383" xr:uid="{B816981D-5E7D-4A46-A716-80C14B5DCCF7}"/>
    <cellStyle name="Style 64 3 3 3 5 2" xfId="29359" xr:uid="{183883F2-A474-4B99-8991-59EF5FB0651C}"/>
    <cellStyle name="Style 64 3 3 3 6" xfId="10384" xr:uid="{87020022-FB12-47DD-8995-ED31573D9772}"/>
    <cellStyle name="Style 64 3 3 3 6 2" xfId="29360" xr:uid="{3CBBEC09-C2B8-4718-8D0C-2153CFAA1D8E}"/>
    <cellStyle name="Style 64 3 3 4" xfId="6600" xr:uid="{1E844247-39A4-4A31-9DE1-56ACF0097F2E}"/>
    <cellStyle name="Style 64 3 3 4 2" xfId="10385" xr:uid="{78913F52-5007-4FC1-B094-08262DAD197A}"/>
    <cellStyle name="Style 64 3 3 4 2 2" xfId="29361" xr:uid="{E67CABCC-349D-4BA7-BE92-3E4A3CB826F3}"/>
    <cellStyle name="Style 64 3 3 5" xfId="10386" xr:uid="{E4D1469A-E628-4DBA-8677-66C598D1DB90}"/>
    <cellStyle name="Style 64 3 3 5 2" xfId="10387" xr:uid="{6CAFB50A-F4DC-416B-86EB-5EB0D5F14147}"/>
    <cellStyle name="Style 64 3 3 5 2 2" xfId="29362" xr:uid="{AB8C36AE-FB3D-48FB-90F5-ABA3778E167F}"/>
    <cellStyle name="Style 64 3 3 6" xfId="10388" xr:uid="{B29ADCC0-0E1E-4D8D-AD79-139CDF38687C}"/>
    <cellStyle name="Style 64 3 3 6 2" xfId="29363" xr:uid="{F4007EF0-FE02-4BB8-9C68-FAA06FFBB08B}"/>
    <cellStyle name="Style 64 3 3 7" xfId="10389" xr:uid="{84DFF31F-92C1-4A63-94B9-CB01ED4C7B05}"/>
    <cellStyle name="Style 64 3 3 7 2" xfId="29364" xr:uid="{E8CCD7B6-E10E-4022-8BC9-13FB8513E34C}"/>
    <cellStyle name="Style 64 3 4" xfId="3121" xr:uid="{8DD9860D-284E-40C6-8250-0BFAED8F81A9}"/>
    <cellStyle name="Style 64 3 4 2" xfId="3122" xr:uid="{6DBC1C4E-1818-4F28-B866-38B8BFF5C418}"/>
    <cellStyle name="Style 64 3 4 2 2" xfId="10390" xr:uid="{447A0264-7CB9-4628-BD5E-98F5C7BF25AB}"/>
    <cellStyle name="Style 64 3 4 2 2 2" xfId="10391" xr:uid="{9F89B33F-EA32-450B-9111-6D1A067BE7D2}"/>
    <cellStyle name="Style 64 3 4 2 2 2 2" xfId="29365" xr:uid="{D14493C5-E7E9-4169-BB31-EB69AC265EB6}"/>
    <cellStyle name="Style 64 3 4 2 3" xfId="10392" xr:uid="{A251CF2E-DABB-4A0D-9A8B-503E25C2C4BF}"/>
    <cellStyle name="Style 64 3 4 2 3 2" xfId="29366" xr:uid="{FC56B5C4-95BE-4F2C-AE60-957E428B9CBD}"/>
    <cellStyle name="Style 64 3 4 2 4" xfId="10393" xr:uid="{DD367D94-19A0-469F-AADF-C5CA8FFBE394}"/>
    <cellStyle name="Style 64 3 4 2 4 2" xfId="29367" xr:uid="{7F45691E-FFCE-403D-ABB9-ADE4CBBB0C84}"/>
    <cellStyle name="Style 64 3 4 2 5" xfId="10394" xr:uid="{21EBB6DD-82BA-48D6-90A6-2E41ED79B157}"/>
    <cellStyle name="Style 64 3 4 2 5 2" xfId="29368" xr:uid="{1221604D-74E5-4E7F-9E50-884AF27CC0F6}"/>
    <cellStyle name="Style 64 3 4 2 6" xfId="10395" xr:uid="{A4BB6BF9-7FB9-443B-B378-285199208837}"/>
    <cellStyle name="Style 64 3 4 2 6 2" xfId="29369" xr:uid="{E3131B54-095F-4F50-AE51-471ED7420355}"/>
    <cellStyle name="Style 64 3 4 3" xfId="10396" xr:uid="{263E202C-D5D6-4680-B5FA-66BFE2ABAFAF}"/>
    <cellStyle name="Style 64 3 4 3 2" xfId="10397" xr:uid="{8540990F-A65D-4229-88DA-B8AC17B23EB8}"/>
    <cellStyle name="Style 64 3 4 3 2 2" xfId="29370" xr:uid="{D5848BA8-BE51-44D5-8370-56F7FB1E6B05}"/>
    <cellStyle name="Style 64 3 4 4" xfId="10398" xr:uid="{F20DC6E2-FBEC-411F-A234-3CD999C16244}"/>
    <cellStyle name="Style 64 3 4 4 2" xfId="29371" xr:uid="{38E33505-A56E-4E1B-AA20-2E9D5EE2AD44}"/>
    <cellStyle name="Style 64 3 4 5" xfId="10399" xr:uid="{AA16D4ED-D3DF-4EB7-8959-931D3FE6A025}"/>
    <cellStyle name="Style 64 3 4 5 2" xfId="29372" xr:uid="{01443969-B1A9-483F-8AD7-8AC4F4B65925}"/>
    <cellStyle name="Style 64 3 4 6" xfId="10400" xr:uid="{BA546C7D-D9E4-4669-B309-8FCF1047362E}"/>
    <cellStyle name="Style 64 3 4 6 2" xfId="29373" xr:uid="{2BD291FB-9358-44B0-AE0B-5120F64DEB9E}"/>
    <cellStyle name="Style 64 3 4 7" xfId="10401" xr:uid="{7CE887B5-1805-4E24-A028-CCF0E19023BB}"/>
    <cellStyle name="Style 64 3 4 7 2" xfId="29374" xr:uid="{B35A48C7-8EEF-45BD-819F-AE6202AF98D7}"/>
    <cellStyle name="Style 64 3 5" xfId="3123" xr:uid="{F2897324-BBD5-4679-AD2D-F1E6FE54C8DC}"/>
    <cellStyle name="Style 64 3 5 2" xfId="10402" xr:uid="{51ECEA34-B836-4190-BC24-0F62C56936B0}"/>
    <cellStyle name="Style 64 3 5 2 2" xfId="10403" xr:uid="{BD66A3AA-42E3-4196-97B6-B3C2E492C494}"/>
    <cellStyle name="Style 64 3 5 2 2 2" xfId="29375" xr:uid="{F98F861C-F29D-46F6-A48B-0D46F996B244}"/>
    <cellStyle name="Style 64 3 5 3" xfId="10404" xr:uid="{58D5F239-1BD2-4FF4-87B9-2A522C7F6584}"/>
    <cellStyle name="Style 64 3 5 3 2" xfId="29376" xr:uid="{9F0CA22C-4718-46A5-BE35-72F400782F6E}"/>
    <cellStyle name="Style 64 3 5 4" xfId="10405" xr:uid="{EC659B3A-72CB-44CB-9E22-1EFF8510FD7B}"/>
    <cellStyle name="Style 64 3 5 4 2" xfId="29377" xr:uid="{C853E700-020D-447C-8C5A-29400367AF6D}"/>
    <cellStyle name="Style 64 3 5 5" xfId="10406" xr:uid="{0AB575B4-6567-434D-A361-8DB31E8A32CC}"/>
    <cellStyle name="Style 64 3 5 5 2" xfId="29378" xr:uid="{E545ABB5-52E7-4D73-8F1C-EC9DC63648DE}"/>
    <cellStyle name="Style 64 3 5 6" xfId="10407" xr:uid="{EA4FFB04-98B0-4A0C-86E3-BA946A8640BC}"/>
    <cellStyle name="Style 64 3 5 6 2" xfId="29379" xr:uid="{B1DB2682-7B7C-4482-96D1-1117657D192E}"/>
    <cellStyle name="Style 64 3 6" xfId="10408" xr:uid="{F7866046-A87C-47EE-B679-B7AB45A2A4A8}"/>
    <cellStyle name="Style 64 3 6 2" xfId="10409" xr:uid="{B4C07C62-2CC2-42B1-9AEB-B548A76EE674}"/>
    <cellStyle name="Style 64 3 6 2 2" xfId="29380" xr:uid="{80D67B6E-0980-4968-B529-B6B4653E45A6}"/>
    <cellStyle name="Style 64 3 7" xfId="10410" xr:uid="{91CDFE1E-9254-4F48-8942-E46E0EB1B9C6}"/>
    <cellStyle name="Style 64 3 7 2" xfId="29381" xr:uid="{F423E666-3AA2-420B-91E1-DCB775192302}"/>
    <cellStyle name="Style 64 3 8" xfId="10411" xr:uid="{3CE1302D-582B-4C9B-A623-EF99F0ACCD44}"/>
    <cellStyle name="Style 64 3 8 2" xfId="29382" xr:uid="{3C20294D-9AFE-48B9-B7E6-B2C57F4D890A}"/>
    <cellStyle name="Style 64 3 9" xfId="10412" xr:uid="{66597C5B-1B0B-4FB2-99E1-FC0164A49D62}"/>
    <cellStyle name="Style 64 3 9 2" xfId="29383" xr:uid="{80BAD64A-9157-4184-96FE-FA18A871743D}"/>
    <cellStyle name="Style 64 4" xfId="3124" xr:uid="{D54B617D-A4AC-41F4-B324-5DF22DDE044C}"/>
    <cellStyle name="Style 64 4 2" xfId="3125" xr:uid="{6D8C8C33-C107-4D7C-9FC4-D77EB8760ABD}"/>
    <cellStyle name="Style 64 4 2 2" xfId="3126" xr:uid="{8B83206F-825F-42E4-A9D9-2FB08351B86E}"/>
    <cellStyle name="Style 64 4 2 2 2" xfId="3127" xr:uid="{B6CD66DD-87F5-4077-8D29-5629ECC8A44B}"/>
    <cellStyle name="Style 64 4 2 2 2 2" xfId="10413" xr:uid="{91979614-DDDA-405D-80BD-EA65A3AA74AF}"/>
    <cellStyle name="Style 64 4 2 2 2 2 2" xfId="10414" xr:uid="{7CE5EDE7-9182-421D-AB62-B3375BD2AE09}"/>
    <cellStyle name="Style 64 4 2 2 2 2 2 2" xfId="29384" xr:uid="{CE9E9474-1E9B-454D-9390-270AD52BC2CA}"/>
    <cellStyle name="Style 64 4 2 2 2 3" xfId="10415" xr:uid="{E1A67189-1D39-47BA-98C9-D48287DC4B7B}"/>
    <cellStyle name="Style 64 4 2 2 2 3 2" xfId="29385" xr:uid="{3465A305-BAAB-4FA2-B26B-9967F4360C40}"/>
    <cellStyle name="Style 64 4 2 2 2 4" xfId="10416" xr:uid="{2D16DCA7-B9C2-492C-A9E3-316C1463970E}"/>
    <cellStyle name="Style 64 4 2 2 2 4 2" xfId="29386" xr:uid="{F09D9C77-0499-4842-8697-BDF8E7DE6044}"/>
    <cellStyle name="Style 64 4 2 2 2 5" xfId="10417" xr:uid="{5601B198-2934-4409-AFBC-2BF4489F708A}"/>
    <cellStyle name="Style 64 4 2 2 2 5 2" xfId="29387" xr:uid="{71385A95-91BC-4E95-BBFD-715F80339D0D}"/>
    <cellStyle name="Style 64 4 2 2 2 6" xfId="10418" xr:uid="{C45C0E10-7A3A-4A65-A56A-B1FD01EBEF45}"/>
    <cellStyle name="Style 64 4 2 2 2 6 2" xfId="29388" xr:uid="{826A4E81-B97D-45B2-B190-0C273468EF3B}"/>
    <cellStyle name="Style 64 4 2 2 3" xfId="10419" xr:uid="{13FA6A2A-233F-496B-AB9A-C708CFABCD83}"/>
    <cellStyle name="Style 64 4 2 2 3 2" xfId="10420" xr:uid="{BB1C459C-DC15-4EB4-BB72-5215A982C773}"/>
    <cellStyle name="Style 64 4 2 2 3 2 2" xfId="29389" xr:uid="{80119CF3-1D56-442F-8817-B05AB3064F9D}"/>
    <cellStyle name="Style 64 4 2 2 4" xfId="10421" xr:uid="{C4FA7401-C836-4540-B925-BC48AD585CF4}"/>
    <cellStyle name="Style 64 4 2 2 4 2" xfId="29390" xr:uid="{AF2C0B7B-B600-424C-94A7-EAEDC0733B9D}"/>
    <cellStyle name="Style 64 4 2 2 5" xfId="10422" xr:uid="{0FB46AFF-D3A0-42B1-AED2-7C739A804EBC}"/>
    <cellStyle name="Style 64 4 2 2 5 2" xfId="29391" xr:uid="{75B149B3-4E1E-4923-A0CA-1C78E8F80268}"/>
    <cellStyle name="Style 64 4 2 2 6" xfId="10423" xr:uid="{3194E5A3-2185-4D2F-B1EF-7B2A659779CF}"/>
    <cellStyle name="Style 64 4 2 2 6 2" xfId="29392" xr:uid="{41E97034-C656-4F58-BCF0-05F7385A3FCA}"/>
    <cellStyle name="Style 64 4 2 2 7" xfId="10424" xr:uid="{102A7AFF-5224-4CBF-9617-B93EFA18A811}"/>
    <cellStyle name="Style 64 4 2 2 7 2" xfId="29393" xr:uid="{E48F3CAB-FD85-431C-AFA3-41ED83C72131}"/>
    <cellStyle name="Style 64 4 2 3" xfId="3128" xr:uid="{760EF925-B251-41C1-99CD-D9F8C12BB391}"/>
    <cellStyle name="Style 64 4 2 3 2" xfId="10425" xr:uid="{02A182A3-4841-4D18-9F82-33069FF181D1}"/>
    <cellStyle name="Style 64 4 2 3 2 2" xfId="10426" xr:uid="{BFB70CA5-74BE-4292-B812-5ABE6D974BA8}"/>
    <cellStyle name="Style 64 4 2 3 2 2 2" xfId="29394" xr:uid="{62403E09-D50F-4958-9994-7826B90E7A9A}"/>
    <cellStyle name="Style 64 4 2 3 3" xfId="10427" xr:uid="{64C14C5D-ABBD-4A52-A2EB-08172EECDA52}"/>
    <cellStyle name="Style 64 4 2 3 3 2" xfId="29395" xr:uid="{59AEDF00-8120-4FE7-8257-F0CDC902E98D}"/>
    <cellStyle name="Style 64 4 2 3 4" xfId="10428" xr:uid="{1E951E03-95F6-4A1A-887A-F2E30D3052CD}"/>
    <cellStyle name="Style 64 4 2 3 4 2" xfId="29396" xr:uid="{13E05B1E-8BDF-4E50-A945-B42D71D359FD}"/>
    <cellStyle name="Style 64 4 2 3 5" xfId="10429" xr:uid="{D85FD884-8291-40B8-99B1-CFBB9BF2C4AE}"/>
    <cellStyle name="Style 64 4 2 3 5 2" xfId="29397" xr:uid="{9466652D-46DA-48E9-B665-644880225EBD}"/>
    <cellStyle name="Style 64 4 2 3 6" xfId="10430" xr:uid="{EBB70CE3-F18B-4B8E-B924-4473FF492E21}"/>
    <cellStyle name="Style 64 4 2 3 6 2" xfId="29398" xr:uid="{EB9D1869-3AB3-42EE-AD1D-38B3A011A07E}"/>
    <cellStyle name="Style 64 4 2 4" xfId="10431" xr:uid="{61FEF056-8376-41AD-A730-14218311B885}"/>
    <cellStyle name="Style 64 4 2 4 2" xfId="10432" xr:uid="{536EBE05-80AF-47BE-8073-2B13919C92E2}"/>
    <cellStyle name="Style 64 4 2 4 2 2" xfId="29399" xr:uid="{06FCB150-78AA-4512-B482-12065ECAC216}"/>
    <cellStyle name="Style 64 4 2 5" xfId="10433" xr:uid="{CDFCECF9-F97D-41B1-ABA6-923FE6649F22}"/>
    <cellStyle name="Style 64 4 2 5 2" xfId="29400" xr:uid="{C247E02B-BCF2-4F79-B719-025735206F98}"/>
    <cellStyle name="Style 64 4 2 6" xfId="10434" xr:uid="{C56A8AF7-01D9-4A8F-82EA-ADB70A0059E3}"/>
    <cellStyle name="Style 64 4 2 6 2" xfId="29401" xr:uid="{20072481-2525-496E-AAE6-137C5563EB4B}"/>
    <cellStyle name="Style 64 4 2 7" xfId="10435" xr:uid="{AF2F08B1-8630-4654-B8A3-8A1BEA7139A5}"/>
    <cellStyle name="Style 64 4 2 7 2" xfId="29402" xr:uid="{E654A9CE-54C6-42D8-B4A6-F4EA27BD6F44}"/>
    <cellStyle name="Style 64 4 2 8" xfId="10436" xr:uid="{197A3291-7F68-4FDC-A505-AF48A4E79BDC}"/>
    <cellStyle name="Style 64 4 2 8 2" xfId="29403" xr:uid="{3079F29B-4AED-40F8-865A-9A4A8928FEF5}"/>
    <cellStyle name="Style 64 4 3" xfId="3129" xr:uid="{52EC9D04-E9FA-4F62-BB2A-20935B9D54D1}"/>
    <cellStyle name="Style 64 4 3 2" xfId="10437" xr:uid="{ACEC851E-29DE-4B5B-B74D-D26922DE6029}"/>
    <cellStyle name="Style 64 4 3 2 2" xfId="10438" xr:uid="{E045CB2F-7FA5-4790-A809-B5747BA3063D}"/>
    <cellStyle name="Style 64 4 3 2 2 2" xfId="29404" xr:uid="{DE5F7E4C-1006-49DE-99C6-D56E5739CF5C}"/>
    <cellStyle name="Style 64 4 3 3" xfId="10439" xr:uid="{4CF7690B-EEC9-4BD4-A3B4-85D063F3554D}"/>
    <cellStyle name="Style 64 4 3 3 2" xfId="29405" xr:uid="{078A2C7B-3B80-4736-926E-188352D8D9A1}"/>
    <cellStyle name="Style 64 4 3 4" xfId="10440" xr:uid="{97BFD7EB-0611-4FFE-B4AB-C2FC81A930F4}"/>
    <cellStyle name="Style 64 4 3 4 2" xfId="29406" xr:uid="{C0CCB8F1-4E7A-4710-903A-70784491B3E0}"/>
    <cellStyle name="Style 64 4 3 5" xfId="10441" xr:uid="{C1A7C399-BF58-4403-8D29-5611159AD902}"/>
    <cellStyle name="Style 64 4 3 5 2" xfId="29407" xr:uid="{DD6C7FD9-CED7-416E-BEAE-679D2E8311BB}"/>
    <cellStyle name="Style 64 4 3 6" xfId="10442" xr:uid="{901CAD31-8A02-470C-BFCB-C3105EC2854D}"/>
    <cellStyle name="Style 64 4 3 6 2" xfId="29408" xr:uid="{3EF3DAB4-5BB1-4D87-AD45-706428F092F1}"/>
    <cellStyle name="Style 64 4 4" xfId="6601" xr:uid="{D07E7302-F8A9-4A76-91C4-4CD411BC43A3}"/>
    <cellStyle name="Style 64 4 4 2" xfId="10443" xr:uid="{A0B6225D-B45D-49FF-AE66-81D1DA2AAF0A}"/>
    <cellStyle name="Style 64 4 4 2 2" xfId="29409" xr:uid="{43F8CA5D-BE1B-48EC-A585-7DB97A44D842}"/>
    <cellStyle name="Style 64 4 5" xfId="10444" xr:uid="{22183EAF-561A-4690-A7D2-7CFD90194B79}"/>
    <cellStyle name="Style 64 4 5 2" xfId="10445" xr:uid="{1C9B7636-2850-4BE9-A4AB-55DBED30146F}"/>
    <cellStyle name="Style 64 4 5 2 2" xfId="29410" xr:uid="{A699394D-7F61-46CC-A00D-DF1F45A0D7A7}"/>
    <cellStyle name="Style 64 4 6" xfId="10446" xr:uid="{BA103830-21EE-4DB9-9CDA-1BB7722DF27F}"/>
    <cellStyle name="Style 64 4 6 2" xfId="29411" xr:uid="{E76706A2-BB3E-4721-98D6-6768822FBA1A}"/>
    <cellStyle name="Style 64 4 7" xfId="10447" xr:uid="{052A2A80-DFEE-44A5-B2AF-790A8C0CC92F}"/>
    <cellStyle name="Style 64 4 7 2" xfId="29412" xr:uid="{7A819828-74F7-4A69-950B-9367B3468F39}"/>
    <cellStyle name="Style 64 4 8" xfId="10448" xr:uid="{5FBCA66C-6B55-4324-96BF-E1F0B554493B}"/>
    <cellStyle name="Style 64 4 8 2" xfId="29413" xr:uid="{1D1BAA7C-1AC4-4EA0-BCD5-FD8E8010C733}"/>
    <cellStyle name="Style 64 5" xfId="3130" xr:uid="{1F26936B-5379-454A-AC07-8E0A7DAAE90D}"/>
    <cellStyle name="Style 64 5 2" xfId="3131" xr:uid="{4D96780F-E352-494F-A0D6-4435D8D38257}"/>
    <cellStyle name="Style 64 5 2 2" xfId="10449" xr:uid="{5C87ACCA-776E-4BF7-B2F1-EC7B1741CF71}"/>
    <cellStyle name="Style 64 5 2 2 2" xfId="10450" xr:uid="{727B3D36-C749-4352-A0B5-9271FFAB9D69}"/>
    <cellStyle name="Style 64 5 2 2 2 2" xfId="29414" xr:uid="{6CAF6BD9-B2F3-476E-B1B4-B14A726985B7}"/>
    <cellStyle name="Style 64 5 2 3" xfId="10451" xr:uid="{52E05E29-9150-4B11-AF8C-317334E0EAA6}"/>
    <cellStyle name="Style 64 5 2 3 2" xfId="29415" xr:uid="{074B7F41-F283-4038-AC55-A3E0D61E7BD2}"/>
    <cellStyle name="Style 64 5 2 4" xfId="10452" xr:uid="{8080D598-4636-483F-B1CF-B0E8642A6E44}"/>
    <cellStyle name="Style 64 5 2 4 2" xfId="29416" xr:uid="{2C139FBE-1553-4424-A3AC-1064B9376AC5}"/>
    <cellStyle name="Style 64 5 2 5" xfId="10453" xr:uid="{83E37E90-B9FA-4831-920E-D3C51165F6CD}"/>
    <cellStyle name="Style 64 5 2 5 2" xfId="29417" xr:uid="{81975C11-CE0D-4644-BADA-2449EB4457F2}"/>
    <cellStyle name="Style 64 5 2 6" xfId="10454" xr:uid="{00A07C22-B326-4F7F-8FB7-4DDA0AE7F123}"/>
    <cellStyle name="Style 64 5 2 6 2" xfId="29418" xr:uid="{039F5FC7-B720-4A01-9E69-7A18B35ECDA5}"/>
    <cellStyle name="Style 64 5 3" xfId="10455" xr:uid="{11DD1E51-A771-45A8-97BF-1D61D591053E}"/>
    <cellStyle name="Style 64 5 3 2" xfId="10456" xr:uid="{562134DC-6856-487D-9CD7-E568BF350C76}"/>
    <cellStyle name="Style 64 5 3 2 2" xfId="29419" xr:uid="{190254EE-F3F8-4753-B647-3CB32F325FC2}"/>
    <cellStyle name="Style 64 5 4" xfId="10457" xr:uid="{62F58E45-9AA9-45B0-AE4C-A2B5A2ACF3F1}"/>
    <cellStyle name="Style 64 5 4 2" xfId="29420" xr:uid="{4D679012-E37F-4201-B259-423761DC0C1A}"/>
    <cellStyle name="Style 64 5 5" xfId="10458" xr:uid="{8FF16658-3457-4BCB-B3FB-4B53B83E6604}"/>
    <cellStyle name="Style 64 5 5 2" xfId="29421" xr:uid="{67CCF8A2-8DB2-4581-9129-B6ED4ACFCD8A}"/>
    <cellStyle name="Style 64 5 6" xfId="10459" xr:uid="{46A9BBD0-5BDB-4E08-8817-13E6061034F8}"/>
    <cellStyle name="Style 64 5 6 2" xfId="29422" xr:uid="{83E72E57-3DC4-4EB8-A442-472227A192D1}"/>
    <cellStyle name="Style 64 5 7" xfId="10460" xr:uid="{9123F4FB-6E7E-4A6B-ABAE-92D5332DCABD}"/>
    <cellStyle name="Style 64 5 7 2" xfId="29423" xr:uid="{2520A633-39A0-41CA-BE1E-15960DBF3F03}"/>
    <cellStyle name="Style 64 6" xfId="3132" xr:uid="{836CD66E-51DB-4015-9AC0-26BBC237FF4F}"/>
    <cellStyle name="Style 64 6 2" xfId="4189" xr:uid="{2E5B6BA2-A566-4019-BA6F-7B3B8EC1221C}"/>
    <cellStyle name="Style 64 6 2 2" xfId="6602" xr:uid="{9528FE8F-1409-46CC-9F96-299F04CE76C1}"/>
    <cellStyle name="Style 64 6 2 2 2" xfId="29424" xr:uid="{592632E1-9CA9-45A0-A7AC-400BC294F569}"/>
    <cellStyle name="Style 64 6 3" xfId="10461" xr:uid="{B9DD5D85-3D1C-4BD7-A3E9-21F74B7D5450}"/>
    <cellStyle name="Style 64 6 3 2" xfId="10462" xr:uid="{26CD4135-EC6C-4616-B4AA-449710191D68}"/>
    <cellStyle name="Style 64 6 3 2 2" xfId="29425" xr:uid="{53328A16-4CA1-48B5-816F-09E41C137440}"/>
    <cellStyle name="Style 64 6 4" xfId="10463" xr:uid="{4E26B9A0-06BF-4111-8EE2-4E7F48DC2186}"/>
    <cellStyle name="Style 64 6 4 2" xfId="29426" xr:uid="{E8095CDB-8487-422E-A320-8171B0ED9515}"/>
    <cellStyle name="Style 64 6 5" xfId="10464" xr:uid="{8BF40201-56E4-423B-AD99-4884A4A832BB}"/>
    <cellStyle name="Style 64 6 5 2" xfId="29427" xr:uid="{D3B0E41D-E414-40B8-9B4A-C2A33D1AE7C3}"/>
    <cellStyle name="Style 64 6 6" xfId="10465" xr:uid="{D4877D4B-590B-4FBD-B183-9C94C8FC22F9}"/>
    <cellStyle name="Style 64 6 6 2" xfId="29428" xr:uid="{B098AD0B-6EF5-4DBD-9774-227A61012608}"/>
    <cellStyle name="Style 64 7" xfId="4188" xr:uid="{4C0BA97F-E2C5-493F-864E-EE96E277C5D7}"/>
    <cellStyle name="Style 64 7 2" xfId="6604" xr:uid="{F08EC502-8C82-479A-830E-E2B3B3919396}"/>
    <cellStyle name="Style 64 7 3" xfId="6603" xr:uid="{B10CAA8D-64BC-4020-9E07-1E77B0906C29}"/>
    <cellStyle name="Style 64 7 3 2" xfId="29429" xr:uid="{24636DD4-B644-4589-992C-911785DFD9C1}"/>
    <cellStyle name="Style 64 8" xfId="6605" xr:uid="{B59B3CD3-8977-45CD-BE9E-EEE1E86D0B51}"/>
    <cellStyle name="Style 64 8 2" xfId="10466" xr:uid="{E8AE10E6-BFFD-48D3-90C8-581E44BBDC96}"/>
    <cellStyle name="Style 64 8 2 2" xfId="29430" xr:uid="{A943828A-A606-4C6C-8B95-86004F44F7F6}"/>
    <cellStyle name="Style 64 9" xfId="10467" xr:uid="{75645CC3-169D-4224-931E-769A9A5618F7}"/>
    <cellStyle name="Style 64 9 2" xfId="26677" xr:uid="{9A6CA7FB-691C-4706-8C3E-8881D91C53D7}"/>
    <cellStyle name="Style 64_ADDON" xfId="25803" xr:uid="{D4A83B72-56B2-469C-9B77-E66AC7CEB96C}"/>
    <cellStyle name="Style 69" xfId="3133" xr:uid="{887F7C7C-4433-4BE9-9F80-E2CC47D7C55D}"/>
    <cellStyle name="Style 69 10" xfId="3134" xr:uid="{A3DBB723-5169-43FF-B4E6-764B275C0453}"/>
    <cellStyle name="Style 69 10 2" xfId="3135" xr:uid="{534CCEE1-8B70-45D5-B2A0-FACC8FDE8411}"/>
    <cellStyle name="Style 69 10 2 2" xfId="6606" xr:uid="{24869B1A-EC5B-4822-B6FE-F9B447E6D98B}"/>
    <cellStyle name="Style 69 10 2 2 2" xfId="10468" xr:uid="{A1B66E3A-E33C-4D59-878D-CB555AFE6931}"/>
    <cellStyle name="Style 69 10 2 2 2 2" xfId="29431" xr:uid="{1889E086-9B83-4260-BD59-FBC43E204716}"/>
    <cellStyle name="Style 69 10 2 2 3" xfId="27809" xr:uid="{F37DDECC-31FC-40E4-AA10-CAB2566A0ACA}"/>
    <cellStyle name="Style 69 10 2 3" xfId="10469" xr:uid="{B33624B7-B11C-4880-A018-6419095F1417}"/>
    <cellStyle name="Style 69 10 2 3 2" xfId="29432" xr:uid="{FC93AC93-FC74-4A82-9A9C-24F3AE1FE467}"/>
    <cellStyle name="Style 69 10 2 4" xfId="10470" xr:uid="{D100E1E9-80BF-48E3-8D38-BE6725A6A4C0}"/>
    <cellStyle name="Style 69 10 2 4 2" xfId="29433" xr:uid="{9E388C39-C704-4064-B8EE-8270263005FC}"/>
    <cellStyle name="Style 69 10 2 5" xfId="10471" xr:uid="{6C770D26-25FC-4D4B-890C-E1A90291E6E2}"/>
    <cellStyle name="Style 69 10 2 5 2" xfId="29434" xr:uid="{F6B7C87F-DF8B-46E7-92CF-059374D00D5E}"/>
    <cellStyle name="Style 69 10 2 6" xfId="10472" xr:uid="{D8697E05-5F5F-43EE-803C-1CB778EF2793}"/>
    <cellStyle name="Style 69 10 2 6 2" xfId="29435" xr:uid="{728B8DFE-1B82-4878-8684-A684C2FC26D1}"/>
    <cellStyle name="Style 69 10 2 7" xfId="24804" xr:uid="{6DCEBD98-52C0-40BC-ACD1-345518CAFD74}"/>
    <cellStyle name="Style 69 10 3" xfId="4190" xr:uid="{8606C620-61D5-4F60-B254-BFE08C1529DC}"/>
    <cellStyle name="Style 69 10 3 2" xfId="10473" xr:uid="{EFCA0DB0-9333-412C-96FE-324C1DD48055}"/>
    <cellStyle name="Style 69 10 3 2 2" xfId="29436" xr:uid="{3ABEF932-8718-4BA2-A324-E7D9BA7A1A33}"/>
    <cellStyle name="Style 69 10 3 3" xfId="27808" xr:uid="{3A45D1A5-114A-4DB3-8B87-FDA1E20E3A67}"/>
    <cellStyle name="Style 69 10 4" xfId="10474" xr:uid="{86D35694-2CEA-4E1D-B1D3-D33DEBCD3002}"/>
    <cellStyle name="Style 69 10 4 2" xfId="29437" xr:uid="{9568FEAE-9878-4B0F-8B8A-2FE60874C3B2}"/>
    <cellStyle name="Style 69 10 5" xfId="10475" xr:uid="{736D4069-E9F7-4A6E-90AB-B2EB775F4815}"/>
    <cellStyle name="Style 69 10 5 2" xfId="29438" xr:uid="{C04FB4E7-A8BD-4249-B789-6ADC9CB30F25}"/>
    <cellStyle name="Style 69 10 6" xfId="10476" xr:uid="{6B2AA4D0-E238-451B-94C1-1F81D6255BA5}"/>
    <cellStyle name="Style 69 10 6 2" xfId="29439" xr:uid="{49202555-A2DD-4081-B60D-E254BB68FFF6}"/>
    <cellStyle name="Style 69 10 7" xfId="10477" xr:uid="{59E9594E-AF9D-4D1C-A2B2-1E167900FE12}"/>
    <cellStyle name="Style 69 10 7 2" xfId="29440" xr:uid="{A948CC98-CE3E-4966-8440-7EDA8EED0262}"/>
    <cellStyle name="Style 69 10 8" xfId="23840" xr:uid="{A4EDEF36-7096-470E-BC46-6578CADFFA77}"/>
    <cellStyle name="Style 69 11" xfId="3136" xr:uid="{14BAE4E4-A34D-4A64-866B-3B988B96B4A9}"/>
    <cellStyle name="Style 69 11 2" xfId="3137" xr:uid="{9FAA7A27-CA9D-4E00-86DC-BAC99B576C96}"/>
    <cellStyle name="Style 69 11 2 2" xfId="6608" xr:uid="{098ECABD-0222-4B85-A777-7E7CE257BB2D}"/>
    <cellStyle name="Style 69 11 2 2 2" xfId="10478" xr:uid="{94F5793A-DE35-401C-BA8F-3C9958218A74}"/>
    <cellStyle name="Style 69 11 2 2 2 2" xfId="29441" xr:uid="{2BF7233C-C2A4-480C-9578-7B213699B9A8}"/>
    <cellStyle name="Style 69 11 2 2 3" xfId="27811" xr:uid="{4FFA4CFE-AC04-4FFA-A199-5474EDA2C442}"/>
    <cellStyle name="Style 69 11 2 3" xfId="10479" xr:uid="{BA02E6E9-C05B-429D-BB45-EB075E61D9D7}"/>
    <cellStyle name="Style 69 11 2 3 2" xfId="29442" xr:uid="{CD9BC714-C816-46CC-AEBC-E1E456F84B2E}"/>
    <cellStyle name="Style 69 11 2 4" xfId="10480" xr:uid="{CE4BB885-95F1-4673-89F6-E33C6413D95F}"/>
    <cellStyle name="Style 69 11 2 4 2" xfId="29443" xr:uid="{4CFC3DAD-D959-4889-93BE-F7F1BD0C923A}"/>
    <cellStyle name="Style 69 11 2 5" xfId="10481" xr:uid="{46DF691F-6236-49E5-97E0-EE1C08DBE3BA}"/>
    <cellStyle name="Style 69 11 2 5 2" xfId="29444" xr:uid="{4F51E972-B337-4C4F-B8E6-6EF23B409505}"/>
    <cellStyle name="Style 69 11 2 6" xfId="10482" xr:uid="{A8E9752A-74EC-4EBF-8DEC-59D74F53B416}"/>
    <cellStyle name="Style 69 11 2 6 2" xfId="29445" xr:uid="{B1D0AFC4-23CD-4274-A9A4-72F70446FC52}"/>
    <cellStyle name="Style 69 11 2 7" xfId="24805" xr:uid="{2EDC1AC0-9100-444E-81F0-73F52E175F29}"/>
    <cellStyle name="Style 69 11 3" xfId="6607" xr:uid="{924527A3-56BE-4D03-929D-095228D30ACA}"/>
    <cellStyle name="Style 69 11 3 2" xfId="10483" xr:uid="{CA20FC68-2A3E-4D06-B57D-E8EA18489098}"/>
    <cellStyle name="Style 69 11 3 2 2" xfId="29446" xr:uid="{30AF5568-06C5-40FB-9E73-C50C7FD9A0D2}"/>
    <cellStyle name="Style 69 11 3 3" xfId="27810" xr:uid="{D595194A-CF32-451C-B6CD-B3F529454D41}"/>
    <cellStyle name="Style 69 11 4" xfId="10484" xr:uid="{8A8EDFE4-689E-43C7-962F-3EBCD09616FF}"/>
    <cellStyle name="Style 69 11 4 2" xfId="29447" xr:uid="{782F0E4D-62E3-4EF4-BFAB-0BF9E2F777C8}"/>
    <cellStyle name="Style 69 11 5" xfId="10485" xr:uid="{20F07B0A-B15C-4186-9250-F25965F611C0}"/>
    <cellStyle name="Style 69 11 5 2" xfId="29448" xr:uid="{F1E8C9F9-FC2B-415E-8D1B-D34051787185}"/>
    <cellStyle name="Style 69 11 6" xfId="10486" xr:uid="{9CA7C873-EF9B-4518-898C-64E1A35D527C}"/>
    <cellStyle name="Style 69 11 6 2" xfId="29449" xr:uid="{3F2A4A4A-04F7-421E-B303-017A30B342FD}"/>
    <cellStyle name="Style 69 11 7" xfId="10487" xr:uid="{666DFA95-D2F4-487C-A06A-DB612A158285}"/>
    <cellStyle name="Style 69 11 7 2" xfId="29450" xr:uid="{842E0251-469B-474A-8AF3-6AC2D2D40F6D}"/>
    <cellStyle name="Style 69 11 8" xfId="23841" xr:uid="{1958BE75-059D-42FB-BCA1-27A6B5D3CA47}"/>
    <cellStyle name="Style 69 12" xfId="3138" xr:uid="{8B829E68-2C52-4AE4-B295-358BA2E0D427}"/>
    <cellStyle name="Style 69 12 10" xfId="10488" xr:uid="{F3FC3DCF-65D6-4679-AC34-83164626FBAE}"/>
    <cellStyle name="Style 69 12 10 2" xfId="29451" xr:uid="{F6FFCD2A-890E-433C-ACDB-950E2D87489E}"/>
    <cellStyle name="Style 69 12 11" xfId="24806" xr:uid="{7B9D2FD4-730E-429B-BC81-6489BE0CAC85}"/>
    <cellStyle name="Style 69 12 2" xfId="6609" xr:uid="{27385320-B905-436C-82FA-EFAB9AC86C24}"/>
    <cellStyle name="Style 69 12 2 2" xfId="10489" xr:uid="{983C9702-2B62-4276-A5BE-4A1E24D2D5BC}"/>
    <cellStyle name="Style 69 12 2 2 2" xfId="29452" xr:uid="{FE112F18-5BEA-45C2-BA7D-E97A35A2FCCC}"/>
    <cellStyle name="Style 69 12 2 3" xfId="10490" xr:uid="{C86AD6FD-D6AC-4083-BF71-6E6D2A9DA8E2}"/>
    <cellStyle name="Style 69 12 2 3 2" xfId="29453" xr:uid="{F7C9DF4E-1CE4-4CC6-8F6C-E95DB658A157}"/>
    <cellStyle name="Style 69 12 2 4" xfId="10491" xr:uid="{EF9447E2-84C2-411D-84C1-EAC397B71E17}"/>
    <cellStyle name="Style 69 12 2 4 2" xfId="29454" xr:uid="{F1EEAAF5-E1E1-494B-8F92-19377210BA89}"/>
    <cellStyle name="Style 69 12 2 5" xfId="10492" xr:uid="{A859B1B7-7B47-40F4-8B38-4F5D0C190055}"/>
    <cellStyle name="Style 69 12 2 5 2" xfId="29455" xr:uid="{1445F8A4-F6BC-4A67-9234-0D5B7F185456}"/>
    <cellStyle name="Style 69 12 2 6" xfId="10493" xr:uid="{F23F3D65-79CB-4CDC-A13D-FE1E4291C2CA}"/>
    <cellStyle name="Style 69 12 2 6 2" xfId="29456" xr:uid="{5EB61ABA-83B6-488F-BD8C-77FCB9A2BE29}"/>
    <cellStyle name="Style 69 12 2 7" xfId="27812" xr:uid="{B2613CB8-48FD-4BBA-B77C-881DBDA13349}"/>
    <cellStyle name="Style 69 12 3" xfId="10494" xr:uid="{AA899001-2883-42A3-A94B-DDBAED8AC23E}"/>
    <cellStyle name="Style 69 12 3 2" xfId="10495" xr:uid="{83614C67-08DC-46E4-A07E-4920BF570CB5}"/>
    <cellStyle name="Style 69 12 3 2 2" xfId="29458" xr:uid="{E548FE3A-C8B7-40CF-AC7C-5938E451CAEE}"/>
    <cellStyle name="Style 69 12 3 3" xfId="10496" xr:uid="{9CDCCCA2-AF83-4336-B2D8-5045B4771E96}"/>
    <cellStyle name="Style 69 12 3 3 2" xfId="29459" xr:uid="{55F14D52-E4D4-4674-8B6D-2D3477A8AAD5}"/>
    <cellStyle name="Style 69 12 3 4" xfId="10497" xr:uid="{37DA5991-AD75-43B3-AF94-3EE25C51FAA3}"/>
    <cellStyle name="Style 69 12 3 4 2" xfId="29460" xr:uid="{9F610DB2-3594-432E-9249-07F45A9118D0}"/>
    <cellStyle name="Style 69 12 3 5" xfId="10498" xr:uid="{094A6EE8-211B-4F73-940D-DC8DD4848CF7}"/>
    <cellStyle name="Style 69 12 3 5 2" xfId="29461" xr:uid="{F15F6F36-6190-4FE0-85E6-F59284550B45}"/>
    <cellStyle name="Style 69 12 3 6" xfId="29457" xr:uid="{23776DE7-3797-49E1-85CA-EB15F4F84996}"/>
    <cellStyle name="Style 69 12 4" xfId="10499" xr:uid="{19D202C4-6597-449F-BC09-8DB3E4CB4461}"/>
    <cellStyle name="Style 69 12 4 2" xfId="10500" xr:uid="{7509204D-ADB2-4F70-BEDE-43560D42BFE7}"/>
    <cellStyle name="Style 69 12 4 2 2" xfId="29463" xr:uid="{8E0912E4-5D61-43B7-85E6-13910B015200}"/>
    <cellStyle name="Style 69 12 4 3" xfId="10501" xr:uid="{8113E970-1B23-4E19-83E9-3AE86593791F}"/>
    <cellStyle name="Style 69 12 4 3 2" xfId="29464" xr:uid="{13E224BF-9593-46D1-A9A3-5DD259D94A1C}"/>
    <cellStyle name="Style 69 12 4 4" xfId="10502" xr:uid="{5CBAC23B-534E-4480-AF07-3D6C6A1CEF00}"/>
    <cellStyle name="Style 69 12 4 4 2" xfId="29465" xr:uid="{7B10D2F0-9B07-4376-A5B0-53B3680DA247}"/>
    <cellStyle name="Style 69 12 4 5" xfId="10503" xr:uid="{15EBAD8D-5858-464F-A7D2-788D4B20F56A}"/>
    <cellStyle name="Style 69 12 4 5 2" xfId="29466" xr:uid="{82325920-18D2-471F-8BC6-A1852360B526}"/>
    <cellStyle name="Style 69 12 4 6" xfId="29462" xr:uid="{2B0341C0-1D60-4597-A28A-F55EDE8CEDCE}"/>
    <cellStyle name="Style 69 12 5" xfId="10504" xr:uid="{F763601F-5C57-4578-B1D9-7C663FDDC03D}"/>
    <cellStyle name="Style 69 12 5 2" xfId="29467" xr:uid="{648670AD-D1B4-4A94-ABD5-C80C2A253C16}"/>
    <cellStyle name="Style 69 12 6" xfId="10505" xr:uid="{58848F6D-7FB7-4D84-BA68-26310A973216}"/>
    <cellStyle name="Style 69 12 6 2" xfId="29468" xr:uid="{7BC7F3D7-CD7E-4BCD-A0F6-845473B25E6A}"/>
    <cellStyle name="Style 69 12 7" xfId="10506" xr:uid="{86C3123A-3CC8-41FF-9B20-D8B22D70079E}"/>
    <cellStyle name="Style 69 12 7 2" xfId="29469" xr:uid="{0EE44940-154F-4EA0-A5BB-13D6D6DA813C}"/>
    <cellStyle name="Style 69 12 8" xfId="10507" xr:uid="{88E48DE7-08DE-4A97-A8A7-489B155B694D}"/>
    <cellStyle name="Style 69 12 8 2" xfId="29470" xr:uid="{760BDCEB-5A27-4EAF-8446-8ECE8811593C}"/>
    <cellStyle name="Style 69 12 9" xfId="10508" xr:uid="{97007835-E4B1-4296-8043-899919701604}"/>
    <cellStyle name="Style 69 12 9 2" xfId="29471" xr:uid="{93D19D3E-5F70-4EFC-954C-8DC65942E740}"/>
    <cellStyle name="Style 69 13" xfId="10509" xr:uid="{AE308ADF-C68E-45FE-AD60-89C34C378BA3}"/>
    <cellStyle name="Style 69 13 2" xfId="10510" xr:uid="{A7FD89C0-3F81-449F-86BB-5E8D400B8D41}"/>
    <cellStyle name="Style 69 13 2 2" xfId="29472" xr:uid="{F1580CC7-D1D1-43FD-B4A2-1A7B3EDDBF87}"/>
    <cellStyle name="Style 69 13 3" xfId="10511" xr:uid="{B2FF0D6F-7EE2-4A2B-95E9-334796DF4112}"/>
    <cellStyle name="Style 69 13 3 2" xfId="29473" xr:uid="{C755927F-923F-4D9B-9287-1655955AF27A}"/>
    <cellStyle name="Style 69 13 4" xfId="10512" xr:uid="{82164139-C573-46DD-A43A-CADB2C7F8F82}"/>
    <cellStyle name="Style 69 13 4 2" xfId="29474" xr:uid="{82A49391-E75F-4A73-B872-952B5622D2A5}"/>
    <cellStyle name="Style 69 13 5" xfId="10513" xr:uid="{8DB00BB1-A80A-48D2-BAE7-08A77417831C}"/>
    <cellStyle name="Style 69 13 5 2" xfId="29475" xr:uid="{3F07D5F4-596D-43DF-983B-E480EC792437}"/>
    <cellStyle name="Style 69 13 6" xfId="10514" xr:uid="{BDCAAB05-B749-41A1-AAC6-0A479241F969}"/>
    <cellStyle name="Style 69 13 6 2" xfId="29476" xr:uid="{4BDF702D-D3A7-4551-B96E-D33DD15953A4}"/>
    <cellStyle name="Style 69 13 7" xfId="10515" xr:uid="{5E45B9B9-321B-46CD-9037-46D983F5D050}"/>
    <cellStyle name="Style 69 13 7 2" xfId="29477" xr:uid="{07F0E289-9EAD-4404-ADCD-76D4A8B777A0}"/>
    <cellStyle name="Style 69 13 8" xfId="26678" xr:uid="{404E8B7A-39F1-4116-812B-AE23935CB701}"/>
    <cellStyle name="Style 69 14" xfId="10516" xr:uid="{6606F194-E4A2-4F39-AB1B-4D0B66FE4933}"/>
    <cellStyle name="Style 69 14 2" xfId="10517" xr:uid="{B6E6AC7C-14CD-4F5D-9824-50EA05F4CB2D}"/>
    <cellStyle name="Style 69 14 2 2" xfId="29479" xr:uid="{C7CFBC23-772B-4D30-8C95-B4017BAFCD03}"/>
    <cellStyle name="Style 69 14 3" xfId="10518" xr:uid="{ECD0CDC1-F4EA-485F-82AA-BDF5D968EF2D}"/>
    <cellStyle name="Style 69 14 3 2" xfId="29480" xr:uid="{A6927379-5920-41DE-A290-FC520B52933B}"/>
    <cellStyle name="Style 69 14 4" xfId="10519" xr:uid="{48B77570-D4F0-42B6-AF86-DFC7D4B9B2A1}"/>
    <cellStyle name="Style 69 14 4 2" xfId="29481" xr:uid="{4A5F9B1E-8EEA-4601-8B45-F3F2D4FE0362}"/>
    <cellStyle name="Style 69 14 5" xfId="10520" xr:uid="{63C3337B-7EFE-4B3B-89CA-E2E470BF1184}"/>
    <cellStyle name="Style 69 14 5 2" xfId="29482" xr:uid="{9C4D58BB-8CBD-4B8F-A858-6452467E0971}"/>
    <cellStyle name="Style 69 14 6" xfId="10521" xr:uid="{A11F456D-339D-4E49-AAFC-503AE95B065F}"/>
    <cellStyle name="Style 69 14 6 2" xfId="29483" xr:uid="{329AB7C0-219F-4594-8B77-1035566122E5}"/>
    <cellStyle name="Style 69 14 7" xfId="29478" xr:uid="{87DF3249-8DCF-4E4C-BB1A-3EB9777B4C32}"/>
    <cellStyle name="Style 69 15" xfId="10522" xr:uid="{78D18B6E-55C7-4BC4-BD34-D0155898AB5E}"/>
    <cellStyle name="Style 69 15 2" xfId="10523" xr:uid="{2403F9ED-9BBE-4CF5-9DAC-D70C1E44EB07}"/>
    <cellStyle name="Style 69 15 2 2" xfId="29485" xr:uid="{4BBFB395-BBEB-4E70-A6CE-256CCF943DE6}"/>
    <cellStyle name="Style 69 15 3" xfId="10524" xr:uid="{3370053A-1CF7-470E-85E3-2F217F98DCB0}"/>
    <cellStyle name="Style 69 15 3 2" xfId="29486" xr:uid="{689048E6-B402-4E5B-9CFC-37D62B04DB14}"/>
    <cellStyle name="Style 69 15 4" xfId="10525" xr:uid="{E43EE865-7E1B-4945-BB6D-0619248996B9}"/>
    <cellStyle name="Style 69 15 4 2" xfId="29487" xr:uid="{5ACB257F-F1F7-4BFA-B093-91F8D508F459}"/>
    <cellStyle name="Style 69 15 5" xfId="10526" xr:uid="{A7FBE031-CE89-4C20-BC0A-BA3EC2DBB587}"/>
    <cellStyle name="Style 69 15 5 2" xfId="29488" xr:uid="{BEE134FA-1380-499D-8201-097185CC0F7F}"/>
    <cellStyle name="Style 69 15 6" xfId="29484" xr:uid="{9771EAFB-667F-42B8-A7A7-452244A34CE1}"/>
    <cellStyle name="Style 69 16" xfId="10527" xr:uid="{EBB2EEA5-8227-4E2F-9C21-AEE03ACE92A1}"/>
    <cellStyle name="Style 69 16 2" xfId="29489" xr:uid="{4CE8EF8F-0C05-4758-8127-10D6C7B811D4}"/>
    <cellStyle name="Style 69 17" xfId="10528" xr:uid="{41EA83E0-DF87-4187-86B1-87205BA0E4AE}"/>
    <cellStyle name="Style 69 17 2" xfId="29490" xr:uid="{D42461C7-827E-450C-9695-41095C518411}"/>
    <cellStyle name="Style 69 18" xfId="10529" xr:uid="{8E6EE92A-D939-475D-8C70-0F6D5E05736E}"/>
    <cellStyle name="Style 69 18 2" xfId="29491" xr:uid="{8427F58E-E9AA-4A07-BBAC-4D04A2D0EE09}"/>
    <cellStyle name="Style 69 19" xfId="10530" xr:uid="{A1B8BB21-D78E-4019-BD90-130B76D9001D}"/>
    <cellStyle name="Style 69 19 2" xfId="29492" xr:uid="{6219F086-0FDC-4805-8A64-0E66975AC815}"/>
    <cellStyle name="Style 69 2" xfId="3139" xr:uid="{25E5E5E8-A669-4350-B1F5-E0CBD88F96D7}"/>
    <cellStyle name="Style 69 2 2" xfId="4425" xr:uid="{35F23965-DD26-40DA-8F7E-AF0757F81948}"/>
    <cellStyle name="Style 69 2 2 2" xfId="10531" xr:uid="{C86D2936-3FE1-4417-B6C7-C98B2FFB49A4}"/>
    <cellStyle name="Style 69 2 2 2 2" xfId="29493" xr:uid="{ECD124A3-4066-4996-92F5-D36BF8C6D985}"/>
    <cellStyle name="Style 69 2 2 3" xfId="26679" xr:uid="{37ED1454-F408-46C1-919A-49E1C3BE37B4}"/>
    <cellStyle name="Style 69 2 3" xfId="10532" xr:uid="{D7962024-EDAE-4508-958A-13D57501FA5F}"/>
    <cellStyle name="Style 69 2 3 2" xfId="29494" xr:uid="{9965855D-EA0E-4E7E-872E-7615AF94F172}"/>
    <cellStyle name="Style 69 2 4" xfId="10533" xr:uid="{123D85D7-336B-4166-84BC-67CB658469D3}"/>
    <cellStyle name="Style 69 2 4 2" xfId="29495" xr:uid="{D5823FF9-7659-4E13-A89E-3DD6B5941AB3}"/>
    <cellStyle name="Style 69 2 5" xfId="10534" xr:uid="{8938B52F-0362-4321-8990-EFB615BF8231}"/>
    <cellStyle name="Style 69 2 5 2" xfId="29496" xr:uid="{3E6B1ED3-FBE1-4305-B305-3783768E9B9F}"/>
    <cellStyle name="Style 69 2 6" xfId="10535" xr:uid="{A691599C-6247-4741-BBDB-FA2846219A40}"/>
    <cellStyle name="Style 69 2 6 2" xfId="29497" xr:uid="{72BD2D3A-1357-4804-AD97-31CDE3CA0886}"/>
    <cellStyle name="Style 69 2 7" xfId="23842" xr:uid="{4C66AB93-A520-4203-BF2A-7BBEC325A4D8}"/>
    <cellStyle name="Style 69 20" xfId="10536" xr:uid="{671F03FE-9C93-438F-8F49-B11F1008FE5B}"/>
    <cellStyle name="Style 69 20 2" xfId="29498" xr:uid="{B4A5E8F2-0B69-4A2E-926F-31277A024BBC}"/>
    <cellStyle name="Style 69 21" xfId="23839" xr:uid="{5C38C263-8F61-41BA-9132-2446BE917916}"/>
    <cellStyle name="Style 69 3" xfId="3140" xr:uid="{2A6D89B2-7B69-40AF-A65F-2936B7426E37}"/>
    <cellStyle name="Style 69 3 10" xfId="23843" xr:uid="{97EAD4B9-9189-4D61-B7B5-710C0A208120}"/>
    <cellStyle name="Style 69 3 2" xfId="3141" xr:uid="{C892F363-15AF-4079-8583-7658742EC164}"/>
    <cellStyle name="Style 69 3 2 2" xfId="3142" xr:uid="{D4307141-6E8D-446C-984E-DD8B695884DF}"/>
    <cellStyle name="Style 69 3 2 2 2" xfId="6610" xr:uid="{3CFD74CB-216B-4444-82A7-B234D4110863}"/>
    <cellStyle name="Style 69 3 2 2 2 2" xfId="10537" xr:uid="{89413D9A-5D40-4325-8661-C798D43B2D53}"/>
    <cellStyle name="Style 69 3 2 2 2 2 2" xfId="29499" xr:uid="{56C06274-9DF7-4122-9EDB-5716EED0291F}"/>
    <cellStyle name="Style 69 3 2 2 2 3" xfId="27813" xr:uid="{FD7275F1-3226-4626-8E2E-32246C84035F}"/>
    <cellStyle name="Style 69 3 2 2 3" xfId="10538" xr:uid="{61B438DA-5CD5-43F3-9EFE-3E9211AA52DD}"/>
    <cellStyle name="Style 69 3 2 2 3 2" xfId="29500" xr:uid="{4830A0DF-5EDF-4498-8001-EC59DC660070}"/>
    <cellStyle name="Style 69 3 2 2 4" xfId="10539" xr:uid="{8E0F076D-E4F0-4CF6-A4F6-0CF6B61DB9FD}"/>
    <cellStyle name="Style 69 3 2 2 4 2" xfId="29501" xr:uid="{C4A26761-DC20-4534-BD98-3ED5F350BD6B}"/>
    <cellStyle name="Style 69 3 2 2 5" xfId="10540" xr:uid="{ED7DAF0C-44F0-487A-909B-90C3ABC594E7}"/>
    <cellStyle name="Style 69 3 2 2 5 2" xfId="29502" xr:uid="{902E0F53-F6E6-4520-A2CA-60996D6E7037}"/>
    <cellStyle name="Style 69 3 2 2 6" xfId="10541" xr:uid="{9AC1A991-E046-49D7-BF0E-0E7F246E4EE5}"/>
    <cellStyle name="Style 69 3 2 2 6 2" xfId="29503" xr:uid="{BEA4A78A-415A-4200-9F6F-BF11B9B026E9}"/>
    <cellStyle name="Style 69 3 2 2 7" xfId="23845" xr:uid="{BF341B0F-D737-42CE-A430-48F3BDD534E9}"/>
    <cellStyle name="Style 69 3 2 3" xfId="4427" xr:uid="{F34A0C43-B981-44B8-9709-ED00479F2D40}"/>
    <cellStyle name="Style 69 3 2 3 2" xfId="10542" xr:uid="{D1DA2781-4316-4FCC-A537-B02F2D4A0CF7}"/>
    <cellStyle name="Style 69 3 2 3 2 2" xfId="29504" xr:uid="{2833BD78-3EA0-4A42-B807-C2942592E9AA}"/>
    <cellStyle name="Style 69 3 2 3 3" xfId="26681" xr:uid="{DD31F5C7-5D3F-4EB7-8A0B-3D751038B21E}"/>
    <cellStyle name="Style 69 3 2 4" xfId="10543" xr:uid="{AD2C40D2-C9F1-4611-80CE-14E08635277C}"/>
    <cellStyle name="Style 69 3 2 4 2" xfId="29505" xr:uid="{124D1BDE-E6DC-4031-9BCE-92AC7FD700EF}"/>
    <cellStyle name="Style 69 3 2 5" xfId="10544" xr:uid="{EC8EA755-8D62-42B6-A70E-CB93206BF0D1}"/>
    <cellStyle name="Style 69 3 2 5 2" xfId="29506" xr:uid="{3156C0B3-0C7C-4D36-9E9F-FA1EA8053513}"/>
    <cellStyle name="Style 69 3 2 6" xfId="10545" xr:uid="{01CF6742-4414-4322-99A6-194AA4DE0674}"/>
    <cellStyle name="Style 69 3 2 6 2" xfId="29507" xr:uid="{5CCB288F-5761-4DF3-AE9B-95373ACD6827}"/>
    <cellStyle name="Style 69 3 2 7" xfId="10546" xr:uid="{804DAC58-F14B-4B97-8BBC-BE1B1CEF2944}"/>
    <cellStyle name="Style 69 3 2 7 2" xfId="29508" xr:uid="{C455895F-67A8-4629-ADEC-AB1A9AB1F976}"/>
    <cellStyle name="Style 69 3 2 8" xfId="23844" xr:uid="{73CCA4FE-2B56-4DCC-A0EB-B3BCC217070F}"/>
    <cellStyle name="Style 69 3 3" xfId="3143" xr:uid="{C2B5DC4E-F1B7-4CE7-86B3-1A31FD08D14E}"/>
    <cellStyle name="Style 69 3 3 10" xfId="10547" xr:uid="{7A813B38-A3B1-44A5-84F6-4FC447DE8E20}"/>
    <cellStyle name="Style 69 3 3 10 2" xfId="29509" xr:uid="{CC82A07E-C7D2-4D3A-B161-D35E9A7B25E6}"/>
    <cellStyle name="Style 69 3 3 11" xfId="23846" xr:uid="{E864FBCF-C1B2-4016-ADB7-A1F40F5FBDF6}"/>
    <cellStyle name="Style 69 3 3 2" xfId="3144" xr:uid="{CC9E983C-49BC-4860-AF71-89B2DA8FBFED}"/>
    <cellStyle name="Style 69 3 3 2 2" xfId="6612" xr:uid="{70599313-CF88-4A43-8249-5528D2BF90D5}"/>
    <cellStyle name="Style 69 3 3 2 2 2" xfId="10548" xr:uid="{C7E632D4-978B-48F4-B62F-8AD4B50851E9}"/>
    <cellStyle name="Style 69 3 3 2 2 2 2" xfId="29510" xr:uid="{A812B2F3-8CD4-4DAB-B719-012B442AB83D}"/>
    <cellStyle name="Style 69 3 3 2 2 3" xfId="27815" xr:uid="{D063BCFC-9A0D-4088-9086-F1B20F559D56}"/>
    <cellStyle name="Style 69 3 3 2 3" xfId="10549" xr:uid="{AEAB3AF0-1DE7-41FA-8CF8-C614B6CA58B8}"/>
    <cellStyle name="Style 69 3 3 2 3 2" xfId="29511" xr:uid="{75570871-15C7-486C-AF81-45C33FEB2171}"/>
    <cellStyle name="Style 69 3 3 2 4" xfId="10550" xr:uid="{6D5F4151-4C49-4F4F-A68E-7296DEB2B9F8}"/>
    <cellStyle name="Style 69 3 3 2 4 2" xfId="29512" xr:uid="{73AE2025-7EFE-4B8B-91C3-0C0F87E0BBE0}"/>
    <cellStyle name="Style 69 3 3 2 5" xfId="10551" xr:uid="{5539914A-A16E-472D-B6DB-562BD86483C6}"/>
    <cellStyle name="Style 69 3 3 2 5 2" xfId="29513" xr:uid="{53B14709-6FD9-4716-840E-17FED1470B80}"/>
    <cellStyle name="Style 69 3 3 2 6" xfId="10552" xr:uid="{67A1ABCB-E115-49F5-A9D7-87E730C14CC2}"/>
    <cellStyle name="Style 69 3 3 2 6 2" xfId="29514" xr:uid="{BFB58CEA-A8D3-4CB1-9818-059C3B1331B0}"/>
    <cellStyle name="Style 69 3 3 2 7" xfId="23847" xr:uid="{B27D5049-1D51-4436-9999-7048B49EB5C8}"/>
    <cellStyle name="Style 69 3 3 3" xfId="3145" xr:uid="{B34D8E8A-CA40-4E3D-A9E0-95E86123B70C}"/>
    <cellStyle name="Style 69 3 3 3 2" xfId="3146" xr:uid="{4286BB48-37D3-45F4-8F65-74486162EC21}"/>
    <cellStyle name="Style 69 3 3 3 2 2" xfId="6614" xr:uid="{163F9DEF-6236-4A39-87B3-6728F6CC9732}"/>
    <cellStyle name="Style 69 3 3 3 2 2 2" xfId="10553" xr:uid="{29C26737-2858-4ECF-B9FB-5E956D84D023}"/>
    <cellStyle name="Style 69 3 3 3 2 2 2 2" xfId="29515" xr:uid="{47C8E85B-E840-4D24-8C43-99A4847BBE2F}"/>
    <cellStyle name="Style 69 3 3 3 2 2 3" xfId="27817" xr:uid="{D70E8128-5ED9-41D8-80C8-27A2E1C93919}"/>
    <cellStyle name="Style 69 3 3 3 2 3" xfId="10554" xr:uid="{A2259B35-2EAA-48F8-B50A-3E00A03EF714}"/>
    <cellStyle name="Style 69 3 3 3 2 3 2" xfId="29516" xr:uid="{8930EFE3-C692-4BA1-99F8-E7968405F819}"/>
    <cellStyle name="Style 69 3 3 3 2 4" xfId="10555" xr:uid="{10393D8A-6CFE-4430-8681-E57064C7BDF4}"/>
    <cellStyle name="Style 69 3 3 3 2 4 2" xfId="29517" xr:uid="{4CE2A0ED-8FD1-4F31-B108-580F3A40487D}"/>
    <cellStyle name="Style 69 3 3 3 2 5" xfId="10556" xr:uid="{859E55AC-C8CE-4D7C-A401-6C09F343BD60}"/>
    <cellStyle name="Style 69 3 3 3 2 5 2" xfId="29518" xr:uid="{C45120E1-6C9D-4E23-80BC-36296BC578FF}"/>
    <cellStyle name="Style 69 3 3 3 2 6" xfId="10557" xr:uid="{B592D132-9409-4493-B1B3-017C26C3DA67}"/>
    <cellStyle name="Style 69 3 3 3 2 6 2" xfId="29519" xr:uid="{FD300993-CCDE-43B4-8E0A-805FDAFA76D3}"/>
    <cellStyle name="Style 69 3 3 3 2 7" xfId="23849" xr:uid="{26D5826F-1367-485E-BB71-E5D2392601E7}"/>
    <cellStyle name="Style 69 3 3 3 3" xfId="6615" xr:uid="{92311CE6-92F1-43B8-B34E-AAB824653980}"/>
    <cellStyle name="Style 69 3 3 3 3 2" xfId="10558" xr:uid="{9A3FBC0E-3199-4618-8639-3160CEDA79CD}"/>
    <cellStyle name="Style 69 3 3 3 3 2 2" xfId="29520" xr:uid="{52990314-69F8-4227-878F-9FDC7FCF2EE3}"/>
    <cellStyle name="Style 69 3 3 3 3 3" xfId="23850" xr:uid="{3AA9CB4B-D52C-41E4-9FD5-21BC6233FDC0}"/>
    <cellStyle name="Style 69 3 3 3 4" xfId="6616" xr:uid="{3CA11A47-371B-4FC5-BADA-FB60BF8CB512}"/>
    <cellStyle name="Style 69 3 3 3 4 2" xfId="10559" xr:uid="{87EF68D7-04D5-473B-AA02-3CB957D0116F}"/>
    <cellStyle name="Style 69 3 3 3 4 2 2" xfId="29521" xr:uid="{1D8E8FFA-7C22-483A-8E80-035262AFCE9F}"/>
    <cellStyle name="Style 69 3 3 3 4 3" xfId="24807" xr:uid="{C0411506-939F-47EA-9F79-4059ACEBB70A}"/>
    <cellStyle name="Style 69 3 3 3 5" xfId="6613" xr:uid="{CF9D3315-09C9-4966-9BC3-A2B73DD5EF39}"/>
    <cellStyle name="Style 69 3 3 3 5 2" xfId="10560" xr:uid="{562D6636-1906-43A1-AD6C-238FCBFF59A2}"/>
    <cellStyle name="Style 69 3 3 3 5 2 2" xfId="29522" xr:uid="{D87BAED3-0A50-4A95-A066-888CC2CAF0BA}"/>
    <cellStyle name="Style 69 3 3 3 5 3" xfId="27816" xr:uid="{29F85000-8EE5-4AB8-B8C9-BEC45BE4B9D5}"/>
    <cellStyle name="Style 69 3 3 3 6" xfId="10561" xr:uid="{355C1F63-11E9-472F-BCCD-522476D7F0C2}"/>
    <cellStyle name="Style 69 3 3 3 6 2" xfId="29523" xr:uid="{E31FA6EF-B530-4469-A2EF-1050BF55FC45}"/>
    <cellStyle name="Style 69 3 3 3 7" xfId="10562" xr:uid="{C58CFEED-A2C0-4F9D-8432-9B80D8B675C7}"/>
    <cellStyle name="Style 69 3 3 3 7 2" xfId="29524" xr:uid="{B3CFC229-3303-48A1-9ED6-815363D3CFF3}"/>
    <cellStyle name="Style 69 3 3 3 8" xfId="10563" xr:uid="{35A24BCE-0CB8-4616-B115-5D1B23B04050}"/>
    <cellStyle name="Style 69 3 3 3 8 2" xfId="29525" xr:uid="{02AEC451-0336-49FB-86F7-5F34A8374914}"/>
    <cellStyle name="Style 69 3 3 3 9" xfId="23848" xr:uid="{6C476267-3192-4773-901B-A75A1AABED86}"/>
    <cellStyle name="Style 69 3 3 4" xfId="3147" xr:uid="{B21A54EA-F966-4CA7-9E45-21949753B51E}"/>
    <cellStyle name="Style 69 3 3 4 2" xfId="3148" xr:uid="{8CE378EF-66EB-41E3-9825-A86B60EC9000}"/>
    <cellStyle name="Style 69 3 3 4 2 2" xfId="6618" xr:uid="{E1DC2782-B5D3-4C37-AB56-9874F2A1F267}"/>
    <cellStyle name="Style 69 3 3 4 2 2 2" xfId="10564" xr:uid="{93938BF0-2C7D-478A-9DB6-ED31A0A38CE4}"/>
    <cellStyle name="Style 69 3 3 4 2 2 2 2" xfId="29526" xr:uid="{42BCFF30-75B1-4FCD-93EB-AE018F4B7F75}"/>
    <cellStyle name="Style 69 3 3 4 2 2 3" xfId="27819" xr:uid="{DDF537F0-2250-4FB9-80C4-ED1823DCE480}"/>
    <cellStyle name="Style 69 3 3 4 2 3" xfId="10565" xr:uid="{A8452D28-EE02-4A19-ABE2-703DE057D3CD}"/>
    <cellStyle name="Style 69 3 3 4 2 3 2" xfId="29527" xr:uid="{E7C0B3BC-EE5E-450A-9FF3-3BBCDA1E903F}"/>
    <cellStyle name="Style 69 3 3 4 2 4" xfId="10566" xr:uid="{EB5D2D76-9851-4945-BAB5-C63FD9A01FFF}"/>
    <cellStyle name="Style 69 3 3 4 2 4 2" xfId="29528" xr:uid="{4B2EBDCE-DE57-49FF-BB75-34575E23F3FE}"/>
    <cellStyle name="Style 69 3 3 4 2 5" xfId="10567" xr:uid="{73814C6F-78BC-4517-95D0-943E3FF6573E}"/>
    <cellStyle name="Style 69 3 3 4 2 5 2" xfId="29529" xr:uid="{93807000-7C76-49D1-BB24-5DE1444147DA}"/>
    <cellStyle name="Style 69 3 3 4 2 6" xfId="10568" xr:uid="{46935276-417B-4FE8-A593-E6247D3060C9}"/>
    <cellStyle name="Style 69 3 3 4 2 6 2" xfId="29530" xr:uid="{57083466-E7E1-48C5-8DFE-49023F6B1ACD}"/>
    <cellStyle name="Style 69 3 3 4 2 7" xfId="23852" xr:uid="{60471BF6-1125-4AE6-A871-F055FD9F42F3}"/>
    <cellStyle name="Style 69 3 3 4 3" xfId="6617" xr:uid="{4FEF6FE9-6332-4784-8EA3-5406F529FCB1}"/>
    <cellStyle name="Style 69 3 3 4 3 2" xfId="10569" xr:uid="{B65485CA-38C9-4048-AD9F-FB931AE0C172}"/>
    <cellStyle name="Style 69 3 3 4 3 2 2" xfId="29531" xr:uid="{86DBB95D-F0E5-46E4-B041-5F64137A4238}"/>
    <cellStyle name="Style 69 3 3 4 3 3" xfId="27818" xr:uid="{6F656BCC-5C9C-4B94-A46C-117D69F4F21F}"/>
    <cellStyle name="Style 69 3 3 4 4" xfId="10570" xr:uid="{683CE5C3-05D6-474F-AA42-116CC275B830}"/>
    <cellStyle name="Style 69 3 3 4 4 2" xfId="29532" xr:uid="{7056034E-8164-434D-89AE-8007BD68E326}"/>
    <cellStyle name="Style 69 3 3 4 5" xfId="10571" xr:uid="{C4E82080-F581-4648-A1B7-D9DF66CF90C6}"/>
    <cellStyle name="Style 69 3 3 4 5 2" xfId="29533" xr:uid="{ECB60B10-661E-4D26-A14B-A9BF8369608D}"/>
    <cellStyle name="Style 69 3 3 4 6" xfId="10572" xr:uid="{185B08C5-63DC-4ECF-8121-2001DF06103A}"/>
    <cellStyle name="Style 69 3 3 4 6 2" xfId="29534" xr:uid="{78FBE84C-108F-47D9-AA74-AE9035F93756}"/>
    <cellStyle name="Style 69 3 3 4 7" xfId="10573" xr:uid="{A3D7B9E3-AC2C-4010-938B-6C9F853099D2}"/>
    <cellStyle name="Style 69 3 3 4 7 2" xfId="29535" xr:uid="{C2CF1B40-5B64-43C3-AC5A-9FA12316D20B}"/>
    <cellStyle name="Style 69 3 3 4 8" xfId="23851" xr:uid="{48D5FD46-708A-4D5B-BB1B-332CCC3A56AE}"/>
    <cellStyle name="Style 69 3 3 5" xfId="6619" xr:uid="{ED252233-8532-4F18-A7A3-6AA8C58E2F0A}"/>
    <cellStyle name="Style 69 3 3 5 2" xfId="10574" xr:uid="{3AC7F9AD-B445-4A7C-AC83-FCF5B249B98D}"/>
    <cellStyle name="Style 69 3 3 5 2 2" xfId="29536" xr:uid="{7341A35A-9AC9-4F94-8144-B3BE3EF81BE2}"/>
    <cellStyle name="Style 69 3 3 5 3" xfId="24808" xr:uid="{63D448CB-BBC9-479A-B7CA-A99AC90F1987}"/>
    <cellStyle name="Style 69 3 3 6" xfId="6611" xr:uid="{9E2C2217-4E46-4219-B263-CA2081AF4D36}"/>
    <cellStyle name="Style 69 3 3 6 2" xfId="10575" xr:uid="{77E12820-0576-4AA7-ABC6-372A3A9150CB}"/>
    <cellStyle name="Style 69 3 3 6 2 2" xfId="29537" xr:uid="{6039D694-75B8-4BFD-BCCB-BFD7DEAF9A81}"/>
    <cellStyle name="Style 69 3 3 6 3" xfId="27814" xr:uid="{53F87403-8CF7-4B43-960A-51848EC4332E}"/>
    <cellStyle name="Style 69 3 3 7" xfId="10576" xr:uid="{8F7113C8-D679-47D2-A08F-50C0BBFB93E4}"/>
    <cellStyle name="Style 69 3 3 7 2" xfId="29538" xr:uid="{53C18F37-AA6C-4E65-BED0-6EF93DBFE775}"/>
    <cellStyle name="Style 69 3 3 8" xfId="10577" xr:uid="{3F6C8382-5DFA-49F2-A87A-D225D556FF3E}"/>
    <cellStyle name="Style 69 3 3 8 2" xfId="29539" xr:uid="{7915062C-574D-4D0F-A666-3E9854FE37E9}"/>
    <cellStyle name="Style 69 3 3 9" xfId="10578" xr:uid="{D23F6E2E-FA45-4012-8448-A16413B20442}"/>
    <cellStyle name="Style 69 3 3 9 2" xfId="29540" xr:uid="{44D5065E-F65A-4FF1-901B-73AAF7AE5E88}"/>
    <cellStyle name="Style 69 3 4" xfId="3149" xr:uid="{A5073F6F-2FB7-4EF5-92EF-384ADA184082}"/>
    <cellStyle name="Style 69 3 4 2" xfId="6621" xr:uid="{12FF8D0E-3751-4613-A333-7AA786D7C0A8}"/>
    <cellStyle name="Style 69 3 4 2 2" xfId="10579" xr:uid="{C4EB45EB-6D57-49A4-9658-1C0BA0698590}"/>
    <cellStyle name="Style 69 3 4 2 2 2" xfId="29541" xr:uid="{6B38331E-617D-405B-87B5-4AC6691D2942}"/>
    <cellStyle name="Style 69 3 4 2 3" xfId="23854" xr:uid="{FDF59E74-121E-4468-8088-8DCEBA4B8880}"/>
    <cellStyle name="Style 69 3 4 3" xfId="6622" xr:uid="{A0E3B892-0701-40D0-92FD-64629116DA9E}"/>
    <cellStyle name="Style 69 3 4 3 2" xfId="10580" xr:uid="{6E30D946-B02D-465C-B5D1-EB96DF0F4F6D}"/>
    <cellStyle name="Style 69 3 4 3 2 2" xfId="29542" xr:uid="{5B1444F7-3B0C-4DD6-A477-101A3175A24B}"/>
    <cellStyle name="Style 69 3 4 3 3" xfId="24809" xr:uid="{FFD22AD9-0ACC-453E-8969-708A8768DBA2}"/>
    <cellStyle name="Style 69 3 4 4" xfId="6620" xr:uid="{C5A52556-A00C-470D-9691-4CAD3A1C7965}"/>
    <cellStyle name="Style 69 3 4 4 2" xfId="10581" xr:uid="{B2FDA5DE-BDED-465F-958B-45E7C71A9529}"/>
    <cellStyle name="Style 69 3 4 4 2 2" xfId="29543" xr:uid="{4C30F09F-ECAB-4A6F-AC21-3D6B202E980A}"/>
    <cellStyle name="Style 69 3 4 4 3" xfId="27820" xr:uid="{AA63ACD8-2611-47F1-A0A8-A151C6A0FCFD}"/>
    <cellStyle name="Style 69 3 4 5" xfId="10582" xr:uid="{4CB13F0B-1C3E-42D9-B502-5A290660F346}"/>
    <cellStyle name="Style 69 3 4 5 2" xfId="29544" xr:uid="{2F4C1EEF-228B-46AB-9F75-E12A1C178727}"/>
    <cellStyle name="Style 69 3 4 6" xfId="10583" xr:uid="{1883D257-EB5D-4510-86EB-CA40A9FFE96C}"/>
    <cellStyle name="Style 69 3 4 6 2" xfId="29545" xr:uid="{E4A9CD7A-7FA1-4A4F-96E5-58AF3DC4E683}"/>
    <cellStyle name="Style 69 3 4 7" xfId="23853" xr:uid="{195CD407-31F3-4E44-B22C-874666398419}"/>
    <cellStyle name="Style 69 3 5" xfId="6623" xr:uid="{3948C7E7-E05D-40FF-B15E-651CB21BB4CD}"/>
    <cellStyle name="Style 69 3 5 2" xfId="10584" xr:uid="{EEF5CDA8-11BD-492D-9CBF-4BC1BA631BA5}"/>
    <cellStyle name="Style 69 3 5 2 2" xfId="27821" xr:uid="{1B77E14F-AB11-4FED-926B-7547F0CD55EC}"/>
    <cellStyle name="Style 69 3 5 3" xfId="10585" xr:uid="{ADD130E7-F502-472E-9EE4-E98446E895C6}"/>
    <cellStyle name="Style 69 3 5 3 2" xfId="29546" xr:uid="{ECDEF1FD-89ED-447E-8F48-62D8084EBCE2}"/>
    <cellStyle name="Style 69 3 5 4" xfId="23855" xr:uid="{B450F537-D239-47DC-B860-F77502928598}"/>
    <cellStyle name="Style 69 3 6" xfId="4426" xr:uid="{493FBFDF-55FD-464C-8FF9-33CEFE1C745C}"/>
    <cellStyle name="Style 69 3 6 2" xfId="10586" xr:uid="{BCF30125-64D1-4B08-B3FC-9542A93973E2}"/>
    <cellStyle name="Style 69 3 6 2 2" xfId="29547" xr:uid="{8D08B9D2-F7CB-4A45-8F3D-254F52C11E00}"/>
    <cellStyle name="Style 69 3 6 3" xfId="26680" xr:uid="{9A9F934E-5464-41BC-8975-12A628C999CE}"/>
    <cellStyle name="Style 69 3 7" xfId="10587" xr:uid="{B83205B1-8ABA-49D5-BDDD-6A2E2B37099F}"/>
    <cellStyle name="Style 69 3 7 2" xfId="29548" xr:uid="{5C20B37C-1C23-4F52-B8F3-CF2D473410CD}"/>
    <cellStyle name="Style 69 3 8" xfId="10588" xr:uid="{51D34909-B05A-466C-912E-B2FADEE8E291}"/>
    <cellStyle name="Style 69 3 8 2" xfId="29549" xr:uid="{B1AAEA4E-1852-4289-BA92-BB2EA736456F}"/>
    <cellStyle name="Style 69 3 9" xfId="10589" xr:uid="{1ADE2CA0-FDC6-4AED-A4F5-D40A0A2A10DB}"/>
    <cellStyle name="Style 69 3 9 2" xfId="29550" xr:uid="{88D473DE-881E-4865-979A-28834DA8D251}"/>
    <cellStyle name="Style 69 4" xfId="3150" xr:uid="{64D0D529-4B83-4A66-A6F9-446CD6C780D3}"/>
    <cellStyle name="Style 69 4 10" xfId="23856" xr:uid="{DDAC57A9-7702-4E4D-9B23-A817AB8424FC}"/>
    <cellStyle name="Style 69 4 2" xfId="3151" xr:uid="{CBC84552-AA16-410C-AFA5-0D5EA0911254}"/>
    <cellStyle name="Style 69 4 2 10" xfId="10590" xr:uid="{785AE65C-52C1-4C35-B3E2-7D9C18270363}"/>
    <cellStyle name="Style 69 4 2 10 2" xfId="29551" xr:uid="{9B551C27-09F0-4B13-A9C2-C93E549B49B4}"/>
    <cellStyle name="Style 69 4 2 11" xfId="23857" xr:uid="{A2F65CFE-F371-4C06-B049-868B2EF9EA55}"/>
    <cellStyle name="Style 69 4 2 2" xfId="3152" xr:uid="{FDC63C46-E46B-49FC-93A0-4404ED117362}"/>
    <cellStyle name="Style 69 4 2 2 2" xfId="6626" xr:uid="{FD96D902-29E9-4CC1-B34D-AE54AD10FB34}"/>
    <cellStyle name="Style 69 4 2 2 2 2" xfId="10591" xr:uid="{3EE0CE3C-CC18-4EE9-B8B0-C1DA9D9CB075}"/>
    <cellStyle name="Style 69 4 2 2 2 2 2" xfId="29552" xr:uid="{0E6A111E-8EBA-47EB-AA2D-ED64BCEB9B7D}"/>
    <cellStyle name="Style 69 4 2 2 2 3" xfId="27823" xr:uid="{4490AC3F-159B-49E5-A1E7-7A3C3130EBFA}"/>
    <cellStyle name="Style 69 4 2 2 3" xfId="10592" xr:uid="{A612C768-EE84-4E34-9BA4-E56EEA26BD1B}"/>
    <cellStyle name="Style 69 4 2 2 3 2" xfId="29553" xr:uid="{E817537F-13A9-464F-A7F5-989882B36221}"/>
    <cellStyle name="Style 69 4 2 2 4" xfId="10593" xr:uid="{3A9E7BF1-A67C-429E-B08E-529490CDFF54}"/>
    <cellStyle name="Style 69 4 2 2 4 2" xfId="29554" xr:uid="{D4CC4FC4-6F5E-4C6C-9568-15F27192C872}"/>
    <cellStyle name="Style 69 4 2 2 5" xfId="10594" xr:uid="{2DE756DC-C7D8-417C-A1C1-C90A8693F90E}"/>
    <cellStyle name="Style 69 4 2 2 5 2" xfId="29555" xr:uid="{FE5F7573-FC5B-4660-A852-F8DACE4890E5}"/>
    <cellStyle name="Style 69 4 2 2 6" xfId="10595" xr:uid="{C6A72172-DF4F-4709-AC2D-FD22C27A63AD}"/>
    <cellStyle name="Style 69 4 2 2 6 2" xfId="29556" xr:uid="{20A35BA5-85F6-447F-BDE1-65C533A3D39B}"/>
    <cellStyle name="Style 69 4 2 2 7" xfId="23858" xr:uid="{2115852D-5281-468F-B922-B6F01B131CF5}"/>
    <cellStyle name="Style 69 4 2 3" xfId="3153" xr:uid="{F994C6AC-C2AC-43ED-9732-24B8A44E1C1E}"/>
    <cellStyle name="Style 69 4 2 3 2" xfId="3154" xr:uid="{2CC98BF7-B64E-4C3E-9AA0-0895B23272EE}"/>
    <cellStyle name="Style 69 4 2 3 2 2" xfId="6628" xr:uid="{1430D81D-1348-457F-B325-F16F5F306003}"/>
    <cellStyle name="Style 69 4 2 3 2 2 2" xfId="10596" xr:uid="{5C7308F4-A2D1-4503-BB07-9769F653DCA4}"/>
    <cellStyle name="Style 69 4 2 3 2 2 2 2" xfId="29557" xr:uid="{19053DC2-ABE7-47D7-8DAE-7B1A40016175}"/>
    <cellStyle name="Style 69 4 2 3 2 2 3" xfId="27825" xr:uid="{31CA75E1-9B34-4040-9C06-D3C795FA5A68}"/>
    <cellStyle name="Style 69 4 2 3 2 3" xfId="10597" xr:uid="{1453A2F2-A04B-432C-A6BC-30411DB1F59D}"/>
    <cellStyle name="Style 69 4 2 3 2 3 2" xfId="29558" xr:uid="{670F50F9-58F6-418D-8EA3-B895CA4B9304}"/>
    <cellStyle name="Style 69 4 2 3 2 4" xfId="10598" xr:uid="{147174CA-29A3-49FC-89A4-3497CE074261}"/>
    <cellStyle name="Style 69 4 2 3 2 4 2" xfId="29559" xr:uid="{0CDD8FDC-C43F-4044-9270-5A7094EB29EB}"/>
    <cellStyle name="Style 69 4 2 3 2 5" xfId="10599" xr:uid="{DF5ADFD1-3FA5-487A-B6F1-56367DAAC476}"/>
    <cellStyle name="Style 69 4 2 3 2 5 2" xfId="29560" xr:uid="{751AF675-0116-4276-9983-AF484FA200E1}"/>
    <cellStyle name="Style 69 4 2 3 2 6" xfId="10600" xr:uid="{C1317302-3E12-4C3E-90AE-7A3F665E9D48}"/>
    <cellStyle name="Style 69 4 2 3 2 6 2" xfId="29561" xr:uid="{CE3FE97F-1D0D-4F5D-994E-289A198E06CD}"/>
    <cellStyle name="Style 69 4 2 3 2 7" xfId="23860" xr:uid="{77D189A6-01B1-4D83-B571-89FE86F6EA2F}"/>
    <cellStyle name="Style 69 4 2 3 3" xfId="6629" xr:uid="{53C365A3-0EFD-47C2-AB6D-0BBD9E54E809}"/>
    <cellStyle name="Style 69 4 2 3 3 2" xfId="10601" xr:uid="{60DBC482-42DB-4B7C-909D-4B76EB7ED06C}"/>
    <cellStyle name="Style 69 4 2 3 3 2 2" xfId="29562" xr:uid="{9822E9C6-433E-4EDC-B6DD-CBB4A71B8AC6}"/>
    <cellStyle name="Style 69 4 2 3 3 3" xfId="23861" xr:uid="{1C4ABB12-E946-41B1-8EC7-E957B091F365}"/>
    <cellStyle name="Style 69 4 2 3 4" xfId="6630" xr:uid="{EE64239A-E250-4BB2-B534-3A56C6995145}"/>
    <cellStyle name="Style 69 4 2 3 4 2" xfId="10602" xr:uid="{B386D3E3-7C39-4155-A4FF-B2567B09C0EE}"/>
    <cellStyle name="Style 69 4 2 3 4 2 2" xfId="29563" xr:uid="{0159F01D-1F22-48E2-BE71-4B8765955237}"/>
    <cellStyle name="Style 69 4 2 3 4 3" xfId="24810" xr:uid="{FD8CAA96-9F0E-44FB-9A98-E96CC088A4F3}"/>
    <cellStyle name="Style 69 4 2 3 5" xfId="6627" xr:uid="{73B2D659-8365-41E5-89A8-554EEAB8DB97}"/>
    <cellStyle name="Style 69 4 2 3 5 2" xfId="10603" xr:uid="{1FF78C93-E49E-4490-962E-203817AB6F43}"/>
    <cellStyle name="Style 69 4 2 3 5 2 2" xfId="29564" xr:uid="{A80590AE-2DCA-4F31-AA07-7403E0027FCB}"/>
    <cellStyle name="Style 69 4 2 3 5 3" xfId="27824" xr:uid="{C1316B2C-3F57-4ADF-87A8-AD89E8347214}"/>
    <cellStyle name="Style 69 4 2 3 6" xfId="10604" xr:uid="{19882676-582D-4AA3-9F31-ABD36FB8E015}"/>
    <cellStyle name="Style 69 4 2 3 6 2" xfId="29565" xr:uid="{58582625-55A2-4F53-BB61-3FFD53958931}"/>
    <cellStyle name="Style 69 4 2 3 7" xfId="10605" xr:uid="{6E6EF321-0E26-4B6B-BE22-17AA34B1467E}"/>
    <cellStyle name="Style 69 4 2 3 7 2" xfId="29566" xr:uid="{25C62393-6524-4A20-BC99-75585325FA3C}"/>
    <cellStyle name="Style 69 4 2 3 8" xfId="10606" xr:uid="{4ADDCAA8-5F8F-418E-B9F0-94D10FE2965C}"/>
    <cellStyle name="Style 69 4 2 3 8 2" xfId="29567" xr:uid="{4FEE3B5D-F0BF-43C6-B25C-06EE2FC55387}"/>
    <cellStyle name="Style 69 4 2 3 9" xfId="23859" xr:uid="{5BD02088-9830-49A2-9FC8-1D659B41389B}"/>
    <cellStyle name="Style 69 4 2 4" xfId="3155" xr:uid="{E42F4C8B-05C2-4509-9B1E-9A2D9A51A0A7}"/>
    <cellStyle name="Style 69 4 2 4 2" xfId="3156" xr:uid="{AF128FF5-A9AE-4B1B-864D-4C8C09154374}"/>
    <cellStyle name="Style 69 4 2 4 2 2" xfId="6632" xr:uid="{56E2D9F2-F4BF-4C70-8FDF-0CF5B0C555B7}"/>
    <cellStyle name="Style 69 4 2 4 2 2 2" xfId="10607" xr:uid="{6BE21E8C-8BFA-42ED-A771-2CDC6194FFF8}"/>
    <cellStyle name="Style 69 4 2 4 2 2 2 2" xfId="29568" xr:uid="{131E06C8-2E57-4F3D-A84A-9597EE36E999}"/>
    <cellStyle name="Style 69 4 2 4 2 2 3" xfId="27827" xr:uid="{CF43BE5C-4C51-4B41-A69C-DF948594C426}"/>
    <cellStyle name="Style 69 4 2 4 2 3" xfId="10608" xr:uid="{ECF1B893-4394-4DFC-AC32-A3F26E732D50}"/>
    <cellStyle name="Style 69 4 2 4 2 3 2" xfId="29569" xr:uid="{4E4E58AA-E2C4-432A-85B1-F861CF1CBFBC}"/>
    <cellStyle name="Style 69 4 2 4 2 4" xfId="10609" xr:uid="{28064390-9FEE-4FD0-8F63-237A9D4473A7}"/>
    <cellStyle name="Style 69 4 2 4 2 4 2" xfId="29570" xr:uid="{A0E493E5-D82E-4406-86AB-BDB9071CA632}"/>
    <cellStyle name="Style 69 4 2 4 2 5" xfId="10610" xr:uid="{9B07D137-0ADD-4C94-8C9F-41F330BF42DA}"/>
    <cellStyle name="Style 69 4 2 4 2 5 2" xfId="29571" xr:uid="{8D93ACF1-DE44-4398-B9E2-BA6B7FDD76F4}"/>
    <cellStyle name="Style 69 4 2 4 2 6" xfId="10611" xr:uid="{DD5C433A-D2BE-43A5-B408-C173072824E8}"/>
    <cellStyle name="Style 69 4 2 4 2 6 2" xfId="29572" xr:uid="{A5684699-F825-4ACC-B144-E3CC1719D83D}"/>
    <cellStyle name="Style 69 4 2 4 2 7" xfId="23863" xr:uid="{304CDAA4-4A8F-465D-AF1D-65797C1B18AE}"/>
    <cellStyle name="Style 69 4 2 4 3" xfId="6631" xr:uid="{608DDC6A-2FD2-460D-B65B-39EF4D9146C2}"/>
    <cellStyle name="Style 69 4 2 4 3 2" xfId="10612" xr:uid="{7C52A6C5-43BD-4CA8-9C8E-39F7AFFCCB70}"/>
    <cellStyle name="Style 69 4 2 4 3 2 2" xfId="29573" xr:uid="{3D617639-5B50-4C76-8D82-8600C90AC7DC}"/>
    <cellStyle name="Style 69 4 2 4 3 3" xfId="27826" xr:uid="{91DD1CE7-DE4E-4E86-B18B-16EA17DE84C9}"/>
    <cellStyle name="Style 69 4 2 4 4" xfId="10613" xr:uid="{762F3375-0E5C-440E-9036-78114744AA49}"/>
    <cellStyle name="Style 69 4 2 4 4 2" xfId="29574" xr:uid="{9B209B89-1BEA-4411-B989-ACEAABC1BB0A}"/>
    <cellStyle name="Style 69 4 2 4 5" xfId="10614" xr:uid="{378599F1-D84D-4531-9219-C5297132820F}"/>
    <cellStyle name="Style 69 4 2 4 5 2" xfId="29575" xr:uid="{C4F03D82-5962-46DE-A9D1-2767CD35ACD3}"/>
    <cellStyle name="Style 69 4 2 4 6" xfId="10615" xr:uid="{A04F8317-7DFA-49F8-B398-D14CBC9BA96A}"/>
    <cellStyle name="Style 69 4 2 4 6 2" xfId="29576" xr:uid="{67BDE49E-9F49-458C-829A-D7D0364208F2}"/>
    <cellStyle name="Style 69 4 2 4 7" xfId="10616" xr:uid="{E592572D-13F8-4D57-BA03-CB3E83B6F2DF}"/>
    <cellStyle name="Style 69 4 2 4 7 2" xfId="29577" xr:uid="{1489A678-2304-4449-9AB8-7BAA9550F168}"/>
    <cellStyle name="Style 69 4 2 4 8" xfId="23862" xr:uid="{B8E81F8F-B79C-4888-A1E3-B18D78812780}"/>
    <cellStyle name="Style 69 4 2 5" xfId="6633" xr:uid="{5E4278A1-F7B4-418D-B7C4-7BF88E539282}"/>
    <cellStyle name="Style 69 4 2 5 2" xfId="10617" xr:uid="{30E7D14C-BEFD-4A1D-8D5D-4EC10D50683C}"/>
    <cellStyle name="Style 69 4 2 5 2 2" xfId="29578" xr:uid="{5EA21C7F-D79C-4952-B3CB-F81DD8DC80EE}"/>
    <cellStyle name="Style 69 4 2 5 3" xfId="24811" xr:uid="{4A589779-969F-45DC-826C-30D2B3E8CFC6}"/>
    <cellStyle name="Style 69 4 2 6" xfId="6625" xr:uid="{BBA17957-6585-4CE6-AA13-D5D6B8F4E37F}"/>
    <cellStyle name="Style 69 4 2 6 2" xfId="10618" xr:uid="{9D80B8F3-5475-4CB0-B408-4FC9B1A93ED2}"/>
    <cellStyle name="Style 69 4 2 6 2 2" xfId="29579" xr:uid="{9611D97C-B5E3-4DFE-851B-A50503046910}"/>
    <cellStyle name="Style 69 4 2 6 3" xfId="27822" xr:uid="{CD0ABA82-4E33-4AD3-A1C1-0847928461CB}"/>
    <cellStyle name="Style 69 4 2 7" xfId="10619" xr:uid="{AB2F4215-951C-44DA-BEC6-43696EAB551D}"/>
    <cellStyle name="Style 69 4 2 7 2" xfId="29580" xr:uid="{67EF48A2-6A0A-4832-96F6-DC66AE382E79}"/>
    <cellStyle name="Style 69 4 2 8" xfId="10620" xr:uid="{F5C98C4A-6F05-4DAC-B486-27240F322F17}"/>
    <cellStyle name="Style 69 4 2 8 2" xfId="29581" xr:uid="{A438C6B9-C3F4-4934-BDC3-C3A131049D2C}"/>
    <cellStyle name="Style 69 4 2 9" xfId="10621" xr:uid="{0390C8CA-6CFD-4500-9D20-B4EAA3632580}"/>
    <cellStyle name="Style 69 4 2 9 2" xfId="29582" xr:uid="{E743022D-8230-4D05-B125-80B077EB225F}"/>
    <cellStyle name="Style 69 4 3" xfId="3157" xr:uid="{A74BBCA4-E579-4FE1-A74F-9535C9908FE8}"/>
    <cellStyle name="Style 69 4 3 2" xfId="6634" xr:uid="{450251B6-5A02-4569-A632-61BCB81E8935}"/>
    <cellStyle name="Style 69 4 3 2 2" xfId="10622" xr:uid="{BB10994B-5101-494C-9B0D-4EA42D9C0966}"/>
    <cellStyle name="Style 69 4 3 2 2 2" xfId="29583" xr:uid="{BDDFF87D-B765-476D-A2B0-B3E23077A657}"/>
    <cellStyle name="Style 69 4 3 2 3" xfId="27828" xr:uid="{A50A9552-C4FB-43D7-A850-BE9C529FDAF2}"/>
    <cellStyle name="Style 69 4 3 3" xfId="10623" xr:uid="{14D66169-7B82-422D-B9E1-0229D3E52EC4}"/>
    <cellStyle name="Style 69 4 3 3 2" xfId="29584" xr:uid="{76B53613-D54B-483A-945A-A8BDC17C2ED5}"/>
    <cellStyle name="Style 69 4 3 4" xfId="10624" xr:uid="{7B6EFF46-12D7-4D60-8919-0E83D1DF1CAE}"/>
    <cellStyle name="Style 69 4 3 4 2" xfId="29585" xr:uid="{5190FD19-4B53-42CD-B810-20A9AFF12FBE}"/>
    <cellStyle name="Style 69 4 3 5" xfId="10625" xr:uid="{848DB92F-D715-4464-A9DE-C5DA9DA4DE41}"/>
    <cellStyle name="Style 69 4 3 5 2" xfId="29586" xr:uid="{CDFD852B-863D-49B8-BAF1-A6400360FF80}"/>
    <cellStyle name="Style 69 4 3 6" xfId="10626" xr:uid="{98E7819D-32B6-4529-A1E6-2BE6B731B71C}"/>
    <cellStyle name="Style 69 4 3 6 2" xfId="29587" xr:uid="{6CAC3573-2E34-4EB2-B6B5-23E01448E952}"/>
    <cellStyle name="Style 69 4 3 7" xfId="23864" xr:uid="{06285E75-4724-4F43-8801-7F097E34D06A}"/>
    <cellStyle name="Style 69 4 4" xfId="6635" xr:uid="{04386745-3C4D-4F51-BC34-7DA58D22B8E5}"/>
    <cellStyle name="Style 69 4 4 2" xfId="6636" xr:uid="{C920B316-9217-4795-AEAF-2C4B3899DB86}"/>
    <cellStyle name="Style 69 4 4 2 2" xfId="24812" xr:uid="{E141D655-6BA0-4FD7-B8EF-B2FC36B792A3}"/>
    <cellStyle name="Style 69 4 4 3" xfId="10627" xr:uid="{FF68B8D5-48CC-4A94-9DA4-4B4A0F2FBC72}"/>
    <cellStyle name="Style 69 4 4 3 2" xfId="29588" xr:uid="{F363E68C-26BC-4802-94B7-3FEC2C9120F0}"/>
    <cellStyle name="Style 69 4 4 4" xfId="23865" xr:uid="{F69D3C84-B58C-4D28-883D-690DB4C49D97}"/>
    <cellStyle name="Style 69 4 5" xfId="6624" xr:uid="{A9559331-6642-4D49-9FB4-0208FA71123A}"/>
    <cellStyle name="Style 69 4 5 2" xfId="10628" xr:uid="{0F893C52-4D21-45A1-81EF-9F5698D56D2D}"/>
    <cellStyle name="Style 69 4 5 2 2" xfId="29589" xr:uid="{781CC023-CE44-4840-A6BA-CCEB14B70264}"/>
    <cellStyle name="Style 69 4 5 3" xfId="25955" xr:uid="{99BCDDE2-1021-4A27-90FB-32AF0414041E}"/>
    <cellStyle name="Style 69 4 6" xfId="4428" xr:uid="{ADBAFE7F-34A3-4644-9E15-E62418D536D2}"/>
    <cellStyle name="Style 69 4 6 2" xfId="10629" xr:uid="{F5F86050-66C1-48A4-8DBA-D701DC0A0655}"/>
    <cellStyle name="Style 69 4 6 2 2" xfId="29590" xr:uid="{BF37867A-6C8C-4682-BE1B-70B8CE2E1A50}"/>
    <cellStyle name="Style 69 4 6 3" xfId="26682" xr:uid="{214F830F-95AC-4613-BE6C-E00EC4A75F53}"/>
    <cellStyle name="Style 69 4 7" xfId="10630" xr:uid="{BC0C3958-B844-4EAD-9D13-A5CB90A0C127}"/>
    <cellStyle name="Style 69 4 7 2" xfId="29591" xr:uid="{53E7E8DF-81AB-4EB9-BBE3-CE014BF24671}"/>
    <cellStyle name="Style 69 4 8" xfId="10631" xr:uid="{B28850C0-1E74-45BD-BF66-B7C1FA216D8C}"/>
    <cellStyle name="Style 69 4 8 2" xfId="29592" xr:uid="{A0CC7CA6-7162-4F3C-A772-664ADF4C4758}"/>
    <cellStyle name="Style 69 4 9" xfId="10632" xr:uid="{C57B24E9-7C47-4091-8010-F5318205BE0F}"/>
    <cellStyle name="Style 69 4 9 2" xfId="29593" xr:uid="{228293A0-CA41-4091-9D31-2B61ECF0E590}"/>
    <cellStyle name="Style 69 5" xfId="3158" xr:uid="{70BDBAF1-F15F-4569-94FC-7D13F3642C8B}"/>
    <cellStyle name="Style 69 5 10" xfId="23866" xr:uid="{36F1AB65-0A26-45AC-B9C7-133254F504E3}"/>
    <cellStyle name="Style 69 5 2" xfId="3159" xr:uid="{1234DF04-11AE-40C5-BC0F-3A41BCCE066A}"/>
    <cellStyle name="Style 69 5 2 10" xfId="23867" xr:uid="{612FB286-9437-4DE7-94CB-AC0F88D900DB}"/>
    <cellStyle name="Style 69 5 2 2" xfId="3160" xr:uid="{F99C6858-FD50-4F1F-B72C-67EE61A97BBD}"/>
    <cellStyle name="Style 69 5 2 2 2" xfId="6639" xr:uid="{C82AB7C6-5DE8-45F2-828D-5F474B640DF2}"/>
    <cellStyle name="Style 69 5 2 2 2 2" xfId="10633" xr:uid="{2433D1DB-998E-4D97-BC60-B5D026A5EC1C}"/>
    <cellStyle name="Style 69 5 2 2 2 2 2" xfId="29594" xr:uid="{C17B1008-2D03-4523-8786-BE4E0DD42CA2}"/>
    <cellStyle name="Style 69 5 2 2 2 3" xfId="27830" xr:uid="{C2F2F266-8987-41A5-A514-F80ADD814793}"/>
    <cellStyle name="Style 69 5 2 2 3" xfId="10634" xr:uid="{8491F325-B242-4D88-B891-79BB9917F2BB}"/>
    <cellStyle name="Style 69 5 2 2 3 2" xfId="29595" xr:uid="{F9BD296B-CBC4-41A8-91F3-4D94C0449793}"/>
    <cellStyle name="Style 69 5 2 2 4" xfId="10635" xr:uid="{D9FFA97B-87A0-43FD-BA9B-ACC5E3DAC944}"/>
    <cellStyle name="Style 69 5 2 2 4 2" xfId="29596" xr:uid="{026C35A2-FCC1-4B78-8AAB-A2466DB775FF}"/>
    <cellStyle name="Style 69 5 2 2 5" xfId="10636" xr:uid="{D9ECF000-75F7-4138-8984-AC88B2ABF78A}"/>
    <cellStyle name="Style 69 5 2 2 5 2" xfId="29597" xr:uid="{737D3056-23D6-414F-86A8-F762C5BA7AE4}"/>
    <cellStyle name="Style 69 5 2 2 6" xfId="10637" xr:uid="{B2039A9E-5092-47AF-B947-60244DAEFDEE}"/>
    <cellStyle name="Style 69 5 2 2 6 2" xfId="29598" xr:uid="{47383C1E-5DEC-4E1C-8A4A-552BD8D634F1}"/>
    <cellStyle name="Style 69 5 2 2 7" xfId="23868" xr:uid="{614E56F7-C728-47AD-A4CF-537655F0F132}"/>
    <cellStyle name="Style 69 5 2 3" xfId="3161" xr:uid="{848CD39E-6D80-47D8-971D-49B8415C7A70}"/>
    <cellStyle name="Style 69 5 2 3 10" xfId="23869" xr:uid="{D92BB0F4-1D77-4007-88E6-225081BF3FC2}"/>
    <cellStyle name="Style 69 5 2 3 2" xfId="3162" xr:uid="{C6054874-FA1C-44CE-A70C-7DD46B101E81}"/>
    <cellStyle name="Style 69 5 2 3 2 2" xfId="6641" xr:uid="{6A4AAE50-963B-461A-9A94-57924B869AF0}"/>
    <cellStyle name="Style 69 5 2 3 2 2 2" xfId="10638" xr:uid="{893BDB97-0616-4989-8E74-AA9702854B61}"/>
    <cellStyle name="Style 69 5 2 3 2 2 2 2" xfId="29599" xr:uid="{B78F140D-50D0-4CA4-B4DC-367194DBBED5}"/>
    <cellStyle name="Style 69 5 2 3 2 2 3" xfId="27832" xr:uid="{B48A905E-2621-4497-ACB2-054C5237029D}"/>
    <cellStyle name="Style 69 5 2 3 2 3" xfId="10639" xr:uid="{933DB745-3A2C-44D7-8AFE-468AD8244A21}"/>
    <cellStyle name="Style 69 5 2 3 2 3 2" xfId="29600" xr:uid="{2B2D1796-9B90-4F54-B904-A9AE3C19747B}"/>
    <cellStyle name="Style 69 5 2 3 2 4" xfId="10640" xr:uid="{74E34CE4-6697-44CC-AEA1-E964B711FA9A}"/>
    <cellStyle name="Style 69 5 2 3 2 4 2" xfId="29601" xr:uid="{EAA5A45E-9FD9-43B2-8333-0DA9BE9D569D}"/>
    <cellStyle name="Style 69 5 2 3 2 5" xfId="10641" xr:uid="{C202E308-BDB9-4524-976A-538B433690AD}"/>
    <cellStyle name="Style 69 5 2 3 2 5 2" xfId="29602" xr:uid="{C7937B6B-34EF-4B81-A61D-0D2FA90F43CC}"/>
    <cellStyle name="Style 69 5 2 3 2 6" xfId="10642" xr:uid="{CFA0A362-BD6F-457A-A765-04D56F4FFB91}"/>
    <cellStyle name="Style 69 5 2 3 2 6 2" xfId="29603" xr:uid="{C7B554E4-AD08-407E-A2E0-2D5410BF80D4}"/>
    <cellStyle name="Style 69 5 2 3 2 7" xfId="10643" xr:uid="{B2BB4FFE-4125-4BE5-8590-6847EEFDFAE2}"/>
    <cellStyle name="Style 69 5 2 3 2 7 2" xfId="29604" xr:uid="{043B6D7F-5ED1-4CCA-859D-DABC6E745E4C}"/>
    <cellStyle name="Style 69 5 2 3 2 8" xfId="23870" xr:uid="{EF5395C8-1F45-4827-8660-D8DE526543E1}"/>
    <cellStyle name="Style 69 5 2 3 3" xfId="6642" xr:uid="{AA5BF4A2-B049-4BB6-AF38-7E708A977282}"/>
    <cellStyle name="Style 69 5 2 3 3 2" xfId="10644" xr:uid="{5E56F3DF-1A2B-46DB-83AC-9E4B7CE34A3F}"/>
    <cellStyle name="Style 69 5 2 3 3 2 2" xfId="29605" xr:uid="{88ABA519-BC0E-4EFD-818A-DCF74BA240C4}"/>
    <cellStyle name="Style 69 5 2 3 3 3" xfId="23871" xr:uid="{98AC6917-1604-4CBB-9AAC-64BF18723DB9}"/>
    <cellStyle name="Style 69 5 2 3 4" xfId="6643" xr:uid="{A7290E66-ADF9-4BCA-A511-E901D2725400}"/>
    <cellStyle name="Style 69 5 2 3 4 2" xfId="10645" xr:uid="{F5BEB039-52C7-4722-B22B-4C9572AC25E7}"/>
    <cellStyle name="Style 69 5 2 3 4 2 2" xfId="29606" xr:uid="{64D5D3B7-F2E7-42E9-A983-5707632AE1EC}"/>
    <cellStyle name="Style 69 5 2 3 4 3" xfId="24813" xr:uid="{796829ED-BC7B-49FC-960E-1C70988EEEFA}"/>
    <cellStyle name="Style 69 5 2 3 5" xfId="6640" xr:uid="{671EC290-63F2-4824-95CC-7B2D4FB061C0}"/>
    <cellStyle name="Style 69 5 2 3 5 2" xfId="10646" xr:uid="{45B210FF-8C44-4E69-BFD6-8276DB7AEF40}"/>
    <cellStyle name="Style 69 5 2 3 5 2 2" xfId="29607" xr:uid="{B856A8FF-2C4C-4139-A495-98E0E0167137}"/>
    <cellStyle name="Style 69 5 2 3 5 3" xfId="27831" xr:uid="{35A5D1C3-14DC-4AE9-8351-427500E91791}"/>
    <cellStyle name="Style 69 5 2 3 6" xfId="10647" xr:uid="{F7265AF0-A681-4898-B74F-A9CD7D17989A}"/>
    <cellStyle name="Style 69 5 2 3 6 2" xfId="29608" xr:uid="{3862ED40-AB16-4E0F-8F8D-110D7B03347A}"/>
    <cellStyle name="Style 69 5 2 3 7" xfId="10648" xr:uid="{39FDAB06-2B20-4067-8146-64B998F260F1}"/>
    <cellStyle name="Style 69 5 2 3 7 2" xfId="29609" xr:uid="{D9CF403E-97C9-48D3-9075-0E7D3FD6F08D}"/>
    <cellStyle name="Style 69 5 2 3 8" xfId="10649" xr:uid="{2A37272C-3EE6-49DA-8D1E-6E762F34B259}"/>
    <cellStyle name="Style 69 5 2 3 8 2" xfId="29610" xr:uid="{8E60F583-B21C-43C4-9A68-637E1DBEAF65}"/>
    <cellStyle name="Style 69 5 2 3 9" xfId="10650" xr:uid="{98D4D695-ADE5-4B1E-B5BC-A849608AA319}"/>
    <cellStyle name="Style 69 5 2 3 9 2" xfId="29611" xr:uid="{0A17C54D-5581-4C4B-8784-BD969FD1E2EA}"/>
    <cellStyle name="Style 69 5 2 4" xfId="3163" xr:uid="{FE6C50A3-1EAF-4571-80A7-8EB555B278C1}"/>
    <cellStyle name="Style 69 5 2 4 10" xfId="23872" xr:uid="{263ADA36-7BCF-4A43-B34C-0547F983E95D}"/>
    <cellStyle name="Style 69 5 2 4 2" xfId="3164" xr:uid="{2103789A-92B3-44EE-ADFC-10E9426B66CA}"/>
    <cellStyle name="Style 69 5 2 4 2 2" xfId="6645" xr:uid="{88812076-2662-45B3-B17B-B0DA5AF7CDD5}"/>
    <cellStyle name="Style 69 5 2 4 2 2 2" xfId="10651" xr:uid="{17BE4A30-A9B2-4135-9C88-2B03DAA03CBA}"/>
    <cellStyle name="Style 69 5 2 4 2 2 2 2" xfId="29612" xr:uid="{B5F60FDF-C485-4BD9-A136-3304B0AF83F0}"/>
    <cellStyle name="Style 69 5 2 4 2 2 3" xfId="27834" xr:uid="{11D5F7BD-04EB-4B47-BD4E-49CFC81D63C3}"/>
    <cellStyle name="Style 69 5 2 4 2 3" xfId="10652" xr:uid="{B200FFDB-FFF1-4655-9681-DE033AD0D4F4}"/>
    <cellStyle name="Style 69 5 2 4 2 3 2" xfId="29613" xr:uid="{D8D324FC-755A-4B7C-AEBC-96E321F9E52D}"/>
    <cellStyle name="Style 69 5 2 4 2 4" xfId="10653" xr:uid="{FCA4C3CC-658F-4ED5-A897-71079D133D19}"/>
    <cellStyle name="Style 69 5 2 4 2 4 2" xfId="29614" xr:uid="{32569028-7982-458D-BCB4-58ABB6AEEB82}"/>
    <cellStyle name="Style 69 5 2 4 2 5" xfId="10654" xr:uid="{03518262-F51A-4FF8-AA26-08462FD50178}"/>
    <cellStyle name="Style 69 5 2 4 2 5 2" xfId="29615" xr:uid="{224ECA11-D2E9-4827-82F7-456785C69785}"/>
    <cellStyle name="Style 69 5 2 4 2 6" xfId="10655" xr:uid="{D16DF780-67D1-4126-A3EE-DE45CF6EE5F1}"/>
    <cellStyle name="Style 69 5 2 4 2 6 2" xfId="29616" xr:uid="{4044B416-AAFB-45BE-B964-443A98EA1B54}"/>
    <cellStyle name="Style 69 5 2 4 2 7" xfId="10656" xr:uid="{72A2E376-056E-490D-9F31-A70CDC4F7EB2}"/>
    <cellStyle name="Style 69 5 2 4 2 7 2" xfId="29617" xr:uid="{CCD91B67-01C0-40C8-B626-CE04C2A33B68}"/>
    <cellStyle name="Style 69 5 2 4 2 8" xfId="10657" xr:uid="{607E2657-E120-4EDE-AE07-2B2453661E30}"/>
    <cellStyle name="Style 69 5 2 4 2 8 2" xfId="29618" xr:uid="{EC24F1B6-FE8B-4F47-B76A-EE2D33EC2F22}"/>
    <cellStyle name="Style 69 5 2 4 2 9" xfId="23873" xr:uid="{03E8DB70-13CE-45D4-9E0B-01E5C8D07B5C}"/>
    <cellStyle name="Style 69 5 2 4 3" xfId="6644" xr:uid="{07B29CDC-A788-4B6F-983C-E3CB7E8E38BB}"/>
    <cellStyle name="Style 69 5 2 4 3 2" xfId="10658" xr:uid="{5897F14E-0856-4F01-9C17-3FA2E6A527CA}"/>
    <cellStyle name="Style 69 5 2 4 3 2 2" xfId="29619" xr:uid="{B1BBDD32-AC99-486A-A755-DA9055913C56}"/>
    <cellStyle name="Style 69 5 2 4 3 3" xfId="27833" xr:uid="{356B7843-B047-40C7-96F3-172327CC172E}"/>
    <cellStyle name="Style 69 5 2 4 4" xfId="10659" xr:uid="{9CC960E7-68BC-4BFE-B2A3-811898F3799E}"/>
    <cellStyle name="Style 69 5 2 4 4 2" xfId="29620" xr:uid="{DAF17DE5-DD6A-44A8-8B87-AA632CFAC952}"/>
    <cellStyle name="Style 69 5 2 4 5" xfId="10660" xr:uid="{FAF6375F-CA9D-44B6-BBB3-8E39A8CE4658}"/>
    <cellStyle name="Style 69 5 2 4 5 2" xfId="29621" xr:uid="{D0B83267-B2A3-4554-9BB9-B0C26F9FA632}"/>
    <cellStyle name="Style 69 5 2 4 6" xfId="10661" xr:uid="{E54DA475-A7C3-424A-ABB7-6EDCAC0E2DAD}"/>
    <cellStyle name="Style 69 5 2 4 6 2" xfId="29622" xr:uid="{C440DEB9-580B-40EE-B8E9-A55B86730304}"/>
    <cellStyle name="Style 69 5 2 4 7" xfId="10662" xr:uid="{21D4F71A-6CD9-45D7-8074-B3D1E9A33A62}"/>
    <cellStyle name="Style 69 5 2 4 7 2" xfId="29623" xr:uid="{434C869A-5270-41F0-ABF8-A72ED06B2C52}"/>
    <cellStyle name="Style 69 5 2 4 8" xfId="10663" xr:uid="{9242B5F6-F54D-47E0-8423-2B934546BDDF}"/>
    <cellStyle name="Style 69 5 2 4 8 2" xfId="29624" xr:uid="{D3059420-9D85-451D-9EB0-423C5C35E094}"/>
    <cellStyle name="Style 69 5 2 4 9" xfId="10664" xr:uid="{59E4D1DA-6E7F-42B1-9F83-7689F411357D}"/>
    <cellStyle name="Style 69 5 2 4 9 2" xfId="29625" xr:uid="{67BDD402-9FA7-4250-8904-884DE40AB492}"/>
    <cellStyle name="Style 69 5 2 5" xfId="6646" xr:uid="{3EE249CB-9B8E-4312-994B-C8A280AFC9D1}"/>
    <cellStyle name="Style 69 5 2 5 2" xfId="10665" xr:uid="{CA93E4E1-168F-4C15-BD1A-0F7321767CD0}"/>
    <cellStyle name="Style 69 5 2 5 2 2" xfId="29626" xr:uid="{06F49B01-B41F-4F04-BE4F-3F975C553489}"/>
    <cellStyle name="Style 69 5 2 5 3" xfId="24814" xr:uid="{CC1B8E5D-8373-4D07-8BBB-9A9318E3CF09}"/>
    <cellStyle name="Style 69 5 2 6" xfId="6638" xr:uid="{04020362-7145-43B2-9590-BF9F3AE0C7ED}"/>
    <cellStyle name="Style 69 5 2 6 2" xfId="10666" xr:uid="{BEE2E357-82A1-4FBD-AD6F-9AEAFB55860F}"/>
    <cellStyle name="Style 69 5 2 6 2 2" xfId="29627" xr:uid="{68BC347B-B731-4F1D-AF9E-D9EE55492FA6}"/>
    <cellStyle name="Style 69 5 2 6 3" xfId="27829" xr:uid="{105957E1-E3F3-4EBB-8006-FEE80E5948A8}"/>
    <cellStyle name="Style 69 5 2 7" xfId="10667" xr:uid="{8D6EC1EE-12C1-453D-ADA5-FC5302CD0AED}"/>
    <cellStyle name="Style 69 5 2 7 2" xfId="29628" xr:uid="{9B657E0A-4C76-4DD0-B36E-A97FFB2EE3B7}"/>
    <cellStyle name="Style 69 5 2 8" xfId="10668" xr:uid="{F7C8D717-79F9-44D8-92DD-8683C330A2D4}"/>
    <cellStyle name="Style 69 5 2 8 2" xfId="29629" xr:uid="{8FBEC0C4-B2D4-4135-8FA6-EF200630E06F}"/>
    <cellStyle name="Style 69 5 2 9" xfId="10669" xr:uid="{BB5C64E4-4275-4B2C-ACC7-837CCDF9C68C}"/>
    <cellStyle name="Style 69 5 2 9 2" xfId="29630" xr:uid="{B482D53E-F32F-4213-9E1A-014B4A527894}"/>
    <cellStyle name="Style 69 5 3" xfId="3165" xr:uid="{1D499EB4-6039-41B2-8BE7-E674D86CE626}"/>
    <cellStyle name="Style 69 5 3 2" xfId="6647" xr:uid="{767A7D38-BC6A-4A8B-B127-C608BA5A2AF4}"/>
    <cellStyle name="Style 69 5 3 2 2" xfId="10670" xr:uid="{8E3F2DB2-81AE-44A4-BF79-855AA23A6822}"/>
    <cellStyle name="Style 69 5 3 2 2 2" xfId="29631" xr:uid="{3204A7CA-52E3-4F30-89DE-64719E4149B4}"/>
    <cellStyle name="Style 69 5 3 2 3" xfId="27835" xr:uid="{4A94A0E1-1A8A-4724-987F-A3981D278DCB}"/>
    <cellStyle name="Style 69 5 3 3" xfId="10671" xr:uid="{A7BA26AC-AE86-48C1-AB07-7C960DF500F7}"/>
    <cellStyle name="Style 69 5 3 3 2" xfId="29632" xr:uid="{864298D5-A01E-4630-9C03-F787E1747D15}"/>
    <cellStyle name="Style 69 5 3 4" xfId="10672" xr:uid="{C3C8AB6A-34FD-45DD-896D-D8B9A5172602}"/>
    <cellStyle name="Style 69 5 3 4 2" xfId="29633" xr:uid="{BA31CAA9-3ACE-4800-90C2-DC318FF682CE}"/>
    <cellStyle name="Style 69 5 3 5" xfId="10673" xr:uid="{D870FCFB-B307-490E-9D2C-3349B2B4ADF9}"/>
    <cellStyle name="Style 69 5 3 5 2" xfId="29634" xr:uid="{6ABBB2FC-01EA-457E-B65A-E5867499E011}"/>
    <cellStyle name="Style 69 5 3 6" xfId="10674" xr:uid="{697D4345-A047-4809-B160-D107B9EFFD5E}"/>
    <cellStyle name="Style 69 5 3 6 2" xfId="29635" xr:uid="{FC955C41-83D1-4E96-BC3F-17DD94F3829D}"/>
    <cellStyle name="Style 69 5 3 7" xfId="10675" xr:uid="{AF6D4780-A8AD-41CC-ACC1-BA61E93CDFCF}"/>
    <cellStyle name="Style 69 5 3 7 2" xfId="29636" xr:uid="{5F4B312B-FB8B-440A-A996-2A60EA8DD2B1}"/>
    <cellStyle name="Style 69 5 3 8" xfId="10676" xr:uid="{5766E75F-A18F-4211-8E14-ABE74A5960BC}"/>
    <cellStyle name="Style 69 5 3 8 2" xfId="29637" xr:uid="{8738E40B-96F2-4561-8E07-4363B8C0AB75}"/>
    <cellStyle name="Style 69 5 3 9" xfId="23874" xr:uid="{C8AC5F68-EF28-45E5-B19D-A4DBB113C93D}"/>
    <cellStyle name="Style 69 5 4" xfId="6648" xr:uid="{FF23534F-2236-494E-9F5A-4F64C32A06FC}"/>
    <cellStyle name="Style 69 5 4 2" xfId="6649" xr:uid="{E563DF4F-5730-444B-80A2-00A693F01728}"/>
    <cellStyle name="Style 69 5 4 2 2" xfId="10677" xr:uid="{67FBAD2A-AB10-4677-9F03-643A8BA17D99}"/>
    <cellStyle name="Style 69 5 4 2 2 2" xfId="29638" xr:uid="{D155A040-057B-4331-B8DB-2E6706DBB29C}"/>
    <cellStyle name="Style 69 5 4 2 3" xfId="24815" xr:uid="{8435B92C-1F60-41E0-A796-6ED87794469A}"/>
    <cellStyle name="Style 69 5 4 3" xfId="10678" xr:uid="{E29AF461-5F21-497B-B47E-4402534D9D56}"/>
    <cellStyle name="Style 69 5 4 3 2" xfId="29639" xr:uid="{8F663B9D-B1D8-4D6A-A93D-728CEC37C1B1}"/>
    <cellStyle name="Style 69 5 4 4" xfId="23875" xr:uid="{EFD3BF55-CEC7-46AA-85A1-E7A42D33889C}"/>
    <cellStyle name="Style 69 5 5" xfId="6637" xr:uid="{A5F3FC18-B725-40BC-866C-8A7A6D1A76BD}"/>
    <cellStyle name="Style 69 5 5 2" xfId="10679" xr:uid="{D2A2C8F5-1F3C-4780-B06F-DCC41A895B04}"/>
    <cellStyle name="Style 69 5 5 2 2" xfId="29640" xr:uid="{9B01D7CF-C7E5-41CC-A1FD-DCCFC5AEC727}"/>
    <cellStyle name="Style 69 5 5 3" xfId="25956" xr:uid="{9BFBD182-3A6A-4A3B-9025-3C2D2A70A49E}"/>
    <cellStyle name="Style 69 5 6" xfId="4429" xr:uid="{6559E2C7-0EF5-4CF0-82AA-2AC16FC5CDF9}"/>
    <cellStyle name="Style 69 5 6 2" xfId="10680" xr:uid="{8DAF41DA-C79F-45E9-B16E-A7B694FB9A24}"/>
    <cellStyle name="Style 69 5 6 2 2" xfId="29641" xr:uid="{0DFE67F2-61F6-462F-8126-4165D263449D}"/>
    <cellStyle name="Style 69 5 6 3" xfId="26683" xr:uid="{F60D31F4-2E70-493C-BEAC-2DD95C9310E0}"/>
    <cellStyle name="Style 69 5 7" xfId="10681" xr:uid="{60D56C4D-CB79-46C3-B74A-0B22A6FCE36A}"/>
    <cellStyle name="Style 69 5 7 2" xfId="29642" xr:uid="{F78F5778-9DA5-4C89-B596-5D0EC9E51E0D}"/>
    <cellStyle name="Style 69 5 8" xfId="10682" xr:uid="{D194DFBA-A881-4A86-904C-3D3E9C2AA650}"/>
    <cellStyle name="Style 69 5 8 2" xfId="29643" xr:uid="{B4B1B6E6-5789-4181-BDF0-C0727866A6AC}"/>
    <cellStyle name="Style 69 5 9" xfId="10683" xr:uid="{8DD70271-38DD-4C91-8D14-B3D2C25E01E9}"/>
    <cellStyle name="Style 69 5 9 2" xfId="29644" xr:uid="{E6C3964D-0A8F-4E79-9E99-458427307969}"/>
    <cellStyle name="Style 69 6" xfId="3166" xr:uid="{63325667-1B03-4A49-B678-325071DCFE18}"/>
    <cellStyle name="Style 69 6 10" xfId="10684" xr:uid="{69DBC3BE-7403-44F3-8F66-6D17F30525A8}"/>
    <cellStyle name="Style 69 6 10 2" xfId="29645" xr:uid="{FD300F08-A69F-4742-A437-4A6FA789DF2D}"/>
    <cellStyle name="Style 69 6 11" xfId="10685" xr:uid="{96CF12C0-C810-43F2-8700-19FBDD6E9388}"/>
    <cellStyle name="Style 69 6 11 2" xfId="29646" xr:uid="{F01103B6-14FB-4E4E-B7D1-7F38A933A4B7}"/>
    <cellStyle name="Style 69 6 12" xfId="10686" xr:uid="{3B82A049-7DFA-4AF0-8098-8A99149CCB1E}"/>
    <cellStyle name="Style 69 6 12 2" xfId="29647" xr:uid="{5DABA903-AFE4-4425-8397-0CC2F30049BB}"/>
    <cellStyle name="Style 69 6 13" xfId="23876" xr:uid="{CAA6E440-6DEF-4543-97E3-D4B277814B3C}"/>
    <cellStyle name="Style 69 6 2" xfId="3167" xr:uid="{893B4C57-F010-4ACD-9098-4E6E5BD7E432}"/>
    <cellStyle name="Style 69 6 2 2" xfId="6651" xr:uid="{89CDA346-5FAC-4373-A1F8-8C5DE2BE2DE8}"/>
    <cellStyle name="Style 69 6 2 2 2" xfId="10687" xr:uid="{4FDD1214-B5A3-4525-A136-29CCC15A3149}"/>
    <cellStyle name="Style 69 6 2 2 2 2" xfId="29648" xr:uid="{FB743E03-638B-47FF-A879-0BB569B4894A}"/>
    <cellStyle name="Style 69 6 2 2 3" xfId="27837" xr:uid="{A34641AA-3D74-4C41-913F-E56A02DDA29E}"/>
    <cellStyle name="Style 69 6 2 3" xfId="10688" xr:uid="{15C85CDA-5AB8-4DB0-A7B5-94972AE8DC68}"/>
    <cellStyle name="Style 69 6 2 3 2" xfId="29649" xr:uid="{152A733B-8E91-4279-A3AF-767031A26514}"/>
    <cellStyle name="Style 69 6 2 4" xfId="10689" xr:uid="{28394013-F3C5-4494-B8D8-B12AE4F62006}"/>
    <cellStyle name="Style 69 6 2 4 2" xfId="29650" xr:uid="{738C2DA1-1827-48B8-B389-6EBBC92DF5F7}"/>
    <cellStyle name="Style 69 6 2 5" xfId="10690" xr:uid="{5430037D-D0C5-4F4E-BB87-F30C9CDBC07A}"/>
    <cellStyle name="Style 69 6 2 5 2" xfId="29651" xr:uid="{1885188E-4C04-41A9-8F62-0D136A93415C}"/>
    <cellStyle name="Style 69 6 2 6" xfId="10691" xr:uid="{170A5CDB-C81C-4F85-B0DE-83C48B9DA987}"/>
    <cellStyle name="Style 69 6 2 6 2" xfId="29652" xr:uid="{2890D0CE-73CC-4A8E-A80E-16420FE810D1}"/>
    <cellStyle name="Style 69 6 2 7" xfId="10692" xr:uid="{B79AC905-0992-4E55-868A-4125A4093ED3}"/>
    <cellStyle name="Style 69 6 2 7 2" xfId="29653" xr:uid="{F4142B03-FEA9-4B53-9619-4B0B74491C0C}"/>
    <cellStyle name="Style 69 6 2 8" xfId="10693" xr:uid="{070A0E94-2CF1-4137-BD80-66748BC0FC97}"/>
    <cellStyle name="Style 69 6 2 8 2" xfId="29654" xr:uid="{6E1F3D3D-0ECE-404B-B8F2-0E8F13A8B3F1}"/>
    <cellStyle name="Style 69 6 2 9" xfId="23877" xr:uid="{0DA940FC-119F-4A9E-BCCF-5CF7FC05B13B}"/>
    <cellStyle name="Style 69 6 3" xfId="3168" xr:uid="{DC5207F6-CCA8-4A77-AEB7-144EAB7787FD}"/>
    <cellStyle name="Style 69 6 3 10" xfId="10694" xr:uid="{77A286B5-B2FC-4411-8996-C4B6EC098E24}"/>
    <cellStyle name="Style 69 6 3 10 2" xfId="29655" xr:uid="{FB578C9F-814F-4419-B91D-47A04D1B9E5A}"/>
    <cellStyle name="Style 69 6 3 11" xfId="23878" xr:uid="{D1758A6D-D2A7-4E33-BC08-FBEBA23F0502}"/>
    <cellStyle name="Style 69 6 3 2" xfId="3169" xr:uid="{AAF49BC7-6AA1-4344-BF86-049F368342E8}"/>
    <cellStyle name="Style 69 6 3 2 2" xfId="6653" xr:uid="{A7454271-5444-4E32-B7DC-AC82F27AF41F}"/>
    <cellStyle name="Style 69 6 3 2 2 2" xfId="10695" xr:uid="{49573494-037D-4CC7-BA1F-1F8234091715}"/>
    <cellStyle name="Style 69 6 3 2 2 2 2" xfId="29656" xr:uid="{1D4D70C9-0A3D-49F1-8C80-0FD0210FB407}"/>
    <cellStyle name="Style 69 6 3 2 2 3" xfId="27839" xr:uid="{1ECE82B5-ADD8-4D9D-B652-EF9E05255469}"/>
    <cellStyle name="Style 69 6 3 2 3" xfId="10696" xr:uid="{FCA04FEB-2E27-41C8-A65D-2FA6212182DF}"/>
    <cellStyle name="Style 69 6 3 2 3 2" xfId="29657" xr:uid="{E1F74B0B-2D7F-40D3-B798-38488F4CBFB6}"/>
    <cellStyle name="Style 69 6 3 2 4" xfId="10697" xr:uid="{6EA7EE41-0815-43F6-8164-68FCA87B8313}"/>
    <cellStyle name="Style 69 6 3 2 4 2" xfId="29658" xr:uid="{F0F66F2F-17CB-4790-8FFD-04A5B2204B55}"/>
    <cellStyle name="Style 69 6 3 2 5" xfId="10698" xr:uid="{25294BC5-D319-4F0E-BDFF-4D8F094CD7A3}"/>
    <cellStyle name="Style 69 6 3 2 5 2" xfId="29659" xr:uid="{E45CF3AA-7E43-4DDB-BDC3-C50BDCAE7B60}"/>
    <cellStyle name="Style 69 6 3 2 6" xfId="10699" xr:uid="{D7B137CF-D6F5-4C4C-B9E0-DED176CDB888}"/>
    <cellStyle name="Style 69 6 3 2 6 2" xfId="29660" xr:uid="{24670B4C-B948-4E50-B67F-2CD680729A88}"/>
    <cellStyle name="Style 69 6 3 2 7" xfId="10700" xr:uid="{81B780C0-A50F-4ACE-9255-C56CC4FB90BA}"/>
    <cellStyle name="Style 69 6 3 2 7 2" xfId="29661" xr:uid="{6AC2B609-FF41-4FA2-841A-EF7C72A9CE0C}"/>
    <cellStyle name="Style 69 6 3 2 8" xfId="10701" xr:uid="{D4DE5188-1E00-47DA-A8A8-975F33E481D8}"/>
    <cellStyle name="Style 69 6 3 2 8 2" xfId="29662" xr:uid="{85A9D5E4-E1A1-4D55-8417-A42EBA955960}"/>
    <cellStyle name="Style 69 6 3 2 9" xfId="23879" xr:uid="{2B87B175-B7C2-4081-B351-34E2AD208AFE}"/>
    <cellStyle name="Style 69 6 3 3" xfId="6654" xr:uid="{EED90614-9443-49E0-B17A-C5E35454B24E}"/>
    <cellStyle name="Style 69 6 3 3 2" xfId="10702" xr:uid="{56B958DC-A9FC-4588-8B38-23B7EAAF4D5E}"/>
    <cellStyle name="Style 69 6 3 3 2 2" xfId="29663" xr:uid="{E0D3F1F5-1B7B-4421-8FE7-BCC896E0F07F}"/>
    <cellStyle name="Style 69 6 3 3 3" xfId="10703" xr:uid="{971EE949-5C33-44DF-BC91-3C69DD0B2860}"/>
    <cellStyle name="Style 69 6 3 3 3 2" xfId="29664" xr:uid="{3913F9D4-2CD1-4903-9BC8-7CB9CEB83A94}"/>
    <cellStyle name="Style 69 6 3 3 4" xfId="23880" xr:uid="{8C6C84A1-7624-4A54-B48F-EB4A9CE3121A}"/>
    <cellStyle name="Style 69 6 3 4" xfId="6655" xr:uid="{15370C69-E553-48CD-84A3-17E23EF905E3}"/>
    <cellStyle name="Style 69 6 3 4 2" xfId="10704" xr:uid="{C39B6A10-AE24-4BF4-9B68-28DCBA3C06F1}"/>
    <cellStyle name="Style 69 6 3 4 2 2" xfId="29665" xr:uid="{FECC165A-BC3B-49C9-9E06-FAA9D3C36912}"/>
    <cellStyle name="Style 69 6 3 4 3" xfId="24816" xr:uid="{EEB296C9-BBBD-4965-9B6F-477CBF4A44FE}"/>
    <cellStyle name="Style 69 6 3 5" xfId="6652" xr:uid="{0866483D-BD93-4F08-A385-3B59A191BA12}"/>
    <cellStyle name="Style 69 6 3 5 2" xfId="10705" xr:uid="{DC65553F-3620-414E-891E-16FF93044DD2}"/>
    <cellStyle name="Style 69 6 3 5 2 2" xfId="29666" xr:uid="{3BA885A5-B8A1-47AC-B551-AE88DB90AEF7}"/>
    <cellStyle name="Style 69 6 3 5 3" xfId="27838" xr:uid="{EA72DDB8-8ACF-43F3-B909-F2B8D0CF4FF8}"/>
    <cellStyle name="Style 69 6 3 6" xfId="10706" xr:uid="{87788217-8F36-42C7-90D0-F643AFD6B75E}"/>
    <cellStyle name="Style 69 6 3 6 2" xfId="29667" xr:uid="{BB8F8C21-4FE6-42B4-9B9D-3122AE4A156C}"/>
    <cellStyle name="Style 69 6 3 7" xfId="10707" xr:uid="{57D7AA36-AF54-4464-9784-7790D0DD1D0D}"/>
    <cellStyle name="Style 69 6 3 7 2" xfId="29668" xr:uid="{C763CFA3-20EA-4B33-8333-78434EDC1474}"/>
    <cellStyle name="Style 69 6 3 8" xfId="10708" xr:uid="{14808A3D-1922-42A8-B2CA-E9DDBCB72D3F}"/>
    <cellStyle name="Style 69 6 3 8 2" xfId="29669" xr:uid="{222AB230-6CED-4F52-B47D-F42CB18F1557}"/>
    <cellStyle name="Style 69 6 3 9" xfId="10709" xr:uid="{E1801AB3-87B2-449A-9FBB-19F16409A8CC}"/>
    <cellStyle name="Style 69 6 3 9 2" xfId="29670" xr:uid="{A0059840-607C-4750-A9B7-276FADAF48CD}"/>
    <cellStyle name="Style 69 6 4" xfId="3170" xr:uid="{4AEC55B1-7143-4E60-A91B-65853991889D}"/>
    <cellStyle name="Style 69 6 4 10" xfId="23881" xr:uid="{AE47460A-0884-4F20-9EDF-778691593465}"/>
    <cellStyle name="Style 69 6 4 2" xfId="3171" xr:uid="{4280962F-3B8B-4BD2-8E51-38765A835613}"/>
    <cellStyle name="Style 69 6 4 2 2" xfId="6657" xr:uid="{577E1556-BF46-4EFD-815B-A0AB186FFB40}"/>
    <cellStyle name="Style 69 6 4 2 2 2" xfId="10710" xr:uid="{00688BBD-4BAB-4FA2-9DE5-03EB2EDADE7E}"/>
    <cellStyle name="Style 69 6 4 2 2 2 2" xfId="29671" xr:uid="{1D883E19-065E-4656-9FBF-1E421691F15B}"/>
    <cellStyle name="Style 69 6 4 2 2 3" xfId="27841" xr:uid="{C7739004-6831-49D2-9DDB-17A47FA789B4}"/>
    <cellStyle name="Style 69 6 4 2 3" xfId="10711" xr:uid="{6AA4B6D5-4EA3-4279-9F97-3435861BBA9E}"/>
    <cellStyle name="Style 69 6 4 2 3 2" xfId="29672" xr:uid="{EF907744-956A-4F1A-A374-725779A96CB6}"/>
    <cellStyle name="Style 69 6 4 2 4" xfId="10712" xr:uid="{1D43B2DD-5019-44F8-957F-D2D344657B54}"/>
    <cellStyle name="Style 69 6 4 2 4 2" xfId="29673" xr:uid="{E76C2158-0C74-4637-8C4E-5971E7F8A654}"/>
    <cellStyle name="Style 69 6 4 2 5" xfId="10713" xr:uid="{B7337338-5641-45DC-83C3-CA7429BE07E2}"/>
    <cellStyle name="Style 69 6 4 2 5 2" xfId="29674" xr:uid="{F4572287-A0FE-43A1-9D12-CC255A019CAA}"/>
    <cellStyle name="Style 69 6 4 2 6" xfId="10714" xr:uid="{D70AA48F-4CEE-40A8-8492-474A56F69B01}"/>
    <cellStyle name="Style 69 6 4 2 6 2" xfId="29675" xr:uid="{76FD0E4E-7E75-4231-AA84-981538CB34FE}"/>
    <cellStyle name="Style 69 6 4 2 7" xfId="10715" xr:uid="{D0293473-523B-4C08-A826-D0627954BCE5}"/>
    <cellStyle name="Style 69 6 4 2 7 2" xfId="29676" xr:uid="{DD9DA8A3-A260-4922-92F8-2DB19DE31E87}"/>
    <cellStyle name="Style 69 6 4 2 8" xfId="10716" xr:uid="{7163BC56-18DC-412B-B9A8-EDAFE5C012A8}"/>
    <cellStyle name="Style 69 6 4 2 8 2" xfId="29677" xr:uid="{04733A25-ACA9-43B7-9878-57ACC8A57710}"/>
    <cellStyle name="Style 69 6 4 2 9" xfId="23882" xr:uid="{F74B271A-4117-41CD-A472-0124C00B0FE3}"/>
    <cellStyle name="Style 69 6 4 3" xfId="6656" xr:uid="{AE72F99E-7D83-4F75-9B80-8F17E9CF2775}"/>
    <cellStyle name="Style 69 6 4 3 2" xfId="10717" xr:uid="{96FFD538-6FAC-4C2D-A415-F4022BF36168}"/>
    <cellStyle name="Style 69 6 4 3 2 2" xfId="29678" xr:uid="{3C6B2B9F-130E-4E20-906B-6FDC78AD7F90}"/>
    <cellStyle name="Style 69 6 4 3 3" xfId="27840" xr:uid="{ED5A5BE0-46DD-4F2A-A1B7-DCB8555D6D95}"/>
    <cellStyle name="Style 69 6 4 4" xfId="10718" xr:uid="{79CAE659-65C3-4C1A-A063-70921215B9CD}"/>
    <cellStyle name="Style 69 6 4 4 2" xfId="29679" xr:uid="{2FA961D9-D699-4516-9F0D-C49C11BB7A7E}"/>
    <cellStyle name="Style 69 6 4 5" xfId="10719" xr:uid="{E2B52971-69BD-4CA6-B1D6-2A3E475CE6AD}"/>
    <cellStyle name="Style 69 6 4 5 2" xfId="29680" xr:uid="{3B18D873-B281-413A-AB12-EB4600ECA459}"/>
    <cellStyle name="Style 69 6 4 6" xfId="10720" xr:uid="{291866E2-EB3D-49B1-8694-7EB1D75475DE}"/>
    <cellStyle name="Style 69 6 4 6 2" xfId="29681" xr:uid="{146F6A6F-D6B0-4AF2-85C1-CE04EE370180}"/>
    <cellStyle name="Style 69 6 4 7" xfId="10721" xr:uid="{F9046001-5279-4600-B991-472EF0FEF632}"/>
    <cellStyle name="Style 69 6 4 7 2" xfId="29682" xr:uid="{587210C9-955A-45D6-B462-D6EB9B1EEAB6}"/>
    <cellStyle name="Style 69 6 4 8" xfId="10722" xr:uid="{2FB5A1D8-2874-42C5-9F0A-DCEC7F467E3B}"/>
    <cellStyle name="Style 69 6 4 8 2" xfId="29683" xr:uid="{BF48B829-D585-4269-8C52-F850C7752DFA}"/>
    <cellStyle name="Style 69 6 4 9" xfId="10723" xr:uid="{ED13AEB1-1CE1-4BE5-A0F5-C68AC492E692}"/>
    <cellStyle name="Style 69 6 4 9 2" xfId="29684" xr:uid="{34AF486D-B6B1-4463-8C42-7F31FC756E76}"/>
    <cellStyle name="Style 69 6 5" xfId="6658" xr:uid="{43DB0FB5-DC79-45DA-8910-D0F40B00A710}"/>
    <cellStyle name="Style 69 6 5 2" xfId="10724" xr:uid="{27CD399B-DCFD-4045-AEF2-106A4146DA14}"/>
    <cellStyle name="Style 69 6 5 2 2" xfId="29685" xr:uid="{3AAA3D12-CA51-414E-9DE7-5675B171DA18}"/>
    <cellStyle name="Style 69 6 5 3" xfId="10725" xr:uid="{518D2F41-FB77-4433-8606-88F7ABF1E670}"/>
    <cellStyle name="Style 69 6 5 3 2" xfId="29686" xr:uid="{3C8178A0-0C41-4E53-80C7-D2F969E3FA73}"/>
    <cellStyle name="Style 69 6 5 4" xfId="24817" xr:uid="{E2CA8575-85E0-40ED-AB3A-F73E4C75E59E}"/>
    <cellStyle name="Style 69 6 6" xfId="6650" xr:uid="{2721B845-3450-4601-9C31-0581C51F974D}"/>
    <cellStyle name="Style 69 6 6 2" xfId="10726" xr:uid="{837BF7F8-7F78-4BB1-BDDC-F79BCA4D2944}"/>
    <cellStyle name="Style 69 6 6 2 2" xfId="29687" xr:uid="{65C2B776-9C2E-4AAC-8BBE-A6B58A15D96C}"/>
    <cellStyle name="Style 69 6 6 3" xfId="27836" xr:uid="{BC18D7A6-4414-4547-AF5C-A7C94F43FC86}"/>
    <cellStyle name="Style 69 6 7" xfId="10727" xr:uid="{D55639A7-91F5-4D5D-8C4D-9DDD8781422F}"/>
    <cellStyle name="Style 69 6 7 2" xfId="29688" xr:uid="{CE1620B4-AA4D-4CC0-8884-6D7926F830D1}"/>
    <cellStyle name="Style 69 6 8" xfId="10728" xr:uid="{21376AFD-7441-4F48-97C3-6F93FE2EF116}"/>
    <cellStyle name="Style 69 6 8 2" xfId="29689" xr:uid="{BFC46185-2A49-4380-BAD9-F4EE23E7CF01}"/>
    <cellStyle name="Style 69 6 9" xfId="10729" xr:uid="{78AB9EF1-B537-40F4-AB19-CB77D60ACC05}"/>
    <cellStyle name="Style 69 6 9 2" xfId="29690" xr:uid="{F1D57925-9DB0-43F8-86B9-19124C5FEE52}"/>
    <cellStyle name="Style 69 7" xfId="3172" xr:uid="{3FAF0C4B-E3EC-485B-9406-27B8F718F7B0}"/>
    <cellStyle name="Style 69 7 10" xfId="10730" xr:uid="{A6690D24-BBF7-487B-BD13-847BA81E3935}"/>
    <cellStyle name="Style 69 7 10 2" xfId="29691" xr:uid="{4D712CD0-0583-4402-B6A5-07239F8C09E0}"/>
    <cellStyle name="Style 69 7 11" xfId="23883" xr:uid="{92D4266A-5CEB-48C1-9393-E5602E6C87BF}"/>
    <cellStyle name="Style 69 7 2" xfId="3173" xr:uid="{681FB14E-4E6F-4FE9-B7F6-B91CD1CC8FC2}"/>
    <cellStyle name="Style 69 7 2 2" xfId="6660" xr:uid="{3EF3A52C-5C17-4478-8169-95A16C87873F}"/>
    <cellStyle name="Style 69 7 2 2 2" xfId="10731" xr:uid="{F0F7EC9B-459B-4AE7-B8BF-A969AD752C34}"/>
    <cellStyle name="Style 69 7 2 2 2 2" xfId="29692" xr:uid="{20F24C35-29B3-4719-A628-1CAC2B52990F}"/>
    <cellStyle name="Style 69 7 2 2 3" xfId="27843" xr:uid="{48C3A6A3-A307-4B68-ABCD-61995BF3DEE7}"/>
    <cellStyle name="Style 69 7 2 3" xfId="10732" xr:uid="{CCD7ED8E-697A-49B0-9A87-7DB3A6181D37}"/>
    <cellStyle name="Style 69 7 2 3 2" xfId="29693" xr:uid="{7F64E31E-E461-4D35-B224-F47B05E7E0E5}"/>
    <cellStyle name="Style 69 7 2 4" xfId="10733" xr:uid="{48638238-3E66-48E6-96F4-502E0B391FC6}"/>
    <cellStyle name="Style 69 7 2 4 2" xfId="29694" xr:uid="{62F290C7-8D2F-4E13-B4F7-8100791741B6}"/>
    <cellStyle name="Style 69 7 2 5" xfId="10734" xr:uid="{A13EF002-B314-4D32-BB97-A113F6BF2AC5}"/>
    <cellStyle name="Style 69 7 2 5 2" xfId="29695" xr:uid="{D176EEDC-40C6-42C3-9D00-37B00573A6B0}"/>
    <cellStyle name="Style 69 7 2 6" xfId="10735" xr:uid="{4F560BF5-6F95-47BD-BC31-E7314EAA9C4E}"/>
    <cellStyle name="Style 69 7 2 6 2" xfId="29696" xr:uid="{07B2CCEB-E110-4D1C-877D-B8E5CDE7F27F}"/>
    <cellStyle name="Style 69 7 2 7" xfId="10736" xr:uid="{460DE5E4-58BC-4D7A-AD1F-40F37FB234AA}"/>
    <cellStyle name="Style 69 7 2 7 2" xfId="29697" xr:uid="{4ACCB755-4990-4D48-84F9-1D33EF394021}"/>
    <cellStyle name="Style 69 7 2 8" xfId="10737" xr:uid="{361AD825-2F26-40BA-97BC-050E9D42E856}"/>
    <cellStyle name="Style 69 7 2 8 2" xfId="29698" xr:uid="{3D2AAAE2-0B9C-4BD6-A07B-FACDC7344B75}"/>
    <cellStyle name="Style 69 7 2 9" xfId="23884" xr:uid="{816599B8-557E-48E3-933E-AB1810649401}"/>
    <cellStyle name="Style 69 7 3" xfId="6661" xr:uid="{63DF83B7-C9A0-4667-B35E-B2DA40188A53}"/>
    <cellStyle name="Style 69 7 3 2" xfId="10738" xr:uid="{A8F95BAE-4E70-4A80-9C44-C7C7E68A38B9}"/>
    <cellStyle name="Style 69 7 3 2 2" xfId="29699" xr:uid="{A2B3F93A-88A1-4A90-A246-65B052A654EC}"/>
    <cellStyle name="Style 69 7 3 3" xfId="10739" xr:uid="{450F8B6C-ED0D-4921-AEB9-A9B96435A1CD}"/>
    <cellStyle name="Style 69 7 3 3 2" xfId="29700" xr:uid="{94B169C7-96E6-4D97-8EDE-BF18D60CE5C4}"/>
    <cellStyle name="Style 69 7 3 4" xfId="23885" xr:uid="{8D9E80FA-B66A-4BE7-877E-7E67EAE9B146}"/>
    <cellStyle name="Style 69 7 4" xfId="6662" xr:uid="{34071687-6CE4-4193-AF40-C9C4C7ED6660}"/>
    <cellStyle name="Style 69 7 4 2" xfId="10740" xr:uid="{71F71CA8-7CD7-44A4-8FA1-6CB40846036A}"/>
    <cellStyle name="Style 69 7 4 2 2" xfId="29701" xr:uid="{A51D5FEE-6DDF-4579-BE15-F27C8104AE44}"/>
    <cellStyle name="Style 69 7 4 3" xfId="24818" xr:uid="{4CBD31D4-9333-4B94-81E6-9D1C900FC539}"/>
    <cellStyle name="Style 69 7 5" xfId="6659" xr:uid="{25C5CC39-1FEF-46EC-ABA0-3519020E810C}"/>
    <cellStyle name="Style 69 7 5 2" xfId="10741" xr:uid="{ED06938F-06F6-4B60-873E-4AC614A16352}"/>
    <cellStyle name="Style 69 7 5 2 2" xfId="29702" xr:uid="{3343259D-10DA-4680-973F-9F1E183F9D85}"/>
    <cellStyle name="Style 69 7 5 3" xfId="27842" xr:uid="{DE21BD06-38D0-41EA-B592-7962D81DCD01}"/>
    <cellStyle name="Style 69 7 6" xfId="10742" xr:uid="{06CD933F-C880-4A0C-8BF2-239E981320E8}"/>
    <cellStyle name="Style 69 7 6 2" xfId="29703" xr:uid="{C2080F92-BF04-4B9A-9814-27907F0CDA81}"/>
    <cellStyle name="Style 69 7 7" xfId="10743" xr:uid="{979424D5-5B07-4982-93A7-C0D2B2FBEF5F}"/>
    <cellStyle name="Style 69 7 7 2" xfId="29704" xr:uid="{92E09F7E-66C7-4F50-AB0B-F23321DA2AF9}"/>
    <cellStyle name="Style 69 7 8" xfId="10744" xr:uid="{E3831BC0-0D9A-4037-AB30-813C1B250A13}"/>
    <cellStyle name="Style 69 7 8 2" xfId="29705" xr:uid="{93ED55C3-E1D4-4E41-9B86-69593966A361}"/>
    <cellStyle name="Style 69 7 9" xfId="10745" xr:uid="{F07659CA-1464-48A1-BB54-AD00DD5D8F6C}"/>
    <cellStyle name="Style 69 7 9 2" xfId="29706" xr:uid="{87966E33-4EBA-4BB6-8FB2-5489C555C0A8}"/>
    <cellStyle name="Style 69 8" xfId="3174" xr:uid="{B1E12F7D-9DD2-4057-9806-A09A374218E4}"/>
    <cellStyle name="Style 69 8 10" xfId="23886" xr:uid="{B760D8CE-901C-449D-BA7A-29B29DBC9739}"/>
    <cellStyle name="Style 69 8 2" xfId="3175" xr:uid="{19D7935E-D42B-4672-B416-1667BD00E416}"/>
    <cellStyle name="Style 69 8 2 2" xfId="6664" xr:uid="{98D7773C-BF3F-4186-B1F5-31979A440452}"/>
    <cellStyle name="Style 69 8 2 2 2" xfId="10746" xr:uid="{725BA992-D1AF-4EAF-9E3B-CF02DC527FC7}"/>
    <cellStyle name="Style 69 8 2 2 2 2" xfId="29707" xr:uid="{FC3BEC69-2788-43FF-B778-29C040DE6C62}"/>
    <cellStyle name="Style 69 8 2 2 3" xfId="27845" xr:uid="{CE2B61AA-70C3-44E1-964E-D2F4B85E6215}"/>
    <cellStyle name="Style 69 8 2 3" xfId="10747" xr:uid="{BECC48DF-D9B7-49D5-95DD-E284FAD94693}"/>
    <cellStyle name="Style 69 8 2 3 2" xfId="29708" xr:uid="{C73098E7-93A7-444B-A042-B49B266E8630}"/>
    <cellStyle name="Style 69 8 2 4" xfId="10748" xr:uid="{4791F7E2-04BB-4D41-9528-AB88145FAFED}"/>
    <cellStyle name="Style 69 8 2 4 2" xfId="29709" xr:uid="{9A9F7E66-05F2-450F-81F5-489DFA5F0F0A}"/>
    <cellStyle name="Style 69 8 2 5" xfId="10749" xr:uid="{0B53F3F6-FB93-4081-AFED-C95D771DEA4D}"/>
    <cellStyle name="Style 69 8 2 5 2" xfId="29710" xr:uid="{5BA87D05-A339-4665-84A6-71D63CC0CE1B}"/>
    <cellStyle name="Style 69 8 2 6" xfId="10750" xr:uid="{C24E54EF-30A9-4CC6-9EA6-16AC4FF8D665}"/>
    <cellStyle name="Style 69 8 2 6 2" xfId="29711" xr:uid="{7CD2F255-C459-4AE1-A817-ED79980D36D6}"/>
    <cellStyle name="Style 69 8 2 7" xfId="10751" xr:uid="{1A674D2E-036F-4362-BF68-B7CE5E7AC1E8}"/>
    <cellStyle name="Style 69 8 2 7 2" xfId="29712" xr:uid="{116C2F91-EAF6-484A-BB7D-D7F4106A0E3A}"/>
    <cellStyle name="Style 69 8 2 8" xfId="10752" xr:uid="{5B62E6C5-1A36-4611-BFB2-9032959A9106}"/>
    <cellStyle name="Style 69 8 2 8 2" xfId="29713" xr:uid="{9E0E2A8C-81EA-40B3-8162-9E50B23BE837}"/>
    <cellStyle name="Style 69 8 2 9" xfId="23887" xr:uid="{E215CB91-7B73-4E72-87C2-81568FD3F61E}"/>
    <cellStyle name="Style 69 8 3" xfId="6665" xr:uid="{98DDD630-C87C-4D15-8228-B864BAA7F400}"/>
    <cellStyle name="Style 69 8 3 2" xfId="10753" xr:uid="{724BB103-8C46-4163-8CA9-47E9F3F30AC4}"/>
    <cellStyle name="Style 69 8 3 2 2" xfId="29714" xr:uid="{59A4C6D9-1887-4FCA-91B7-2A81831FF12B}"/>
    <cellStyle name="Style 69 8 3 3" xfId="23888" xr:uid="{2986A7D5-44FF-43AD-BC8A-42192A685964}"/>
    <cellStyle name="Style 69 8 4" xfId="6666" xr:uid="{4D8C557F-822A-4459-A280-86F06862A024}"/>
    <cellStyle name="Style 69 8 4 2" xfId="10754" xr:uid="{09A5884F-5C7F-4E0B-BE0B-EEBA00AD5DB6}"/>
    <cellStyle name="Style 69 8 4 2 2" xfId="29715" xr:uid="{2593FE80-F5AB-4790-BB91-3B13D1C207E1}"/>
    <cellStyle name="Style 69 8 4 3" xfId="24819" xr:uid="{6149E276-D0E8-4AFF-B2DC-BB74A636B113}"/>
    <cellStyle name="Style 69 8 5" xfId="6663" xr:uid="{DE95AD08-E508-492D-BC4F-E9D554866A28}"/>
    <cellStyle name="Style 69 8 5 2" xfId="10755" xr:uid="{04D59475-4406-4E0D-B937-0D2A982376F8}"/>
    <cellStyle name="Style 69 8 5 2 2" xfId="29716" xr:uid="{B11FDD00-EB47-4A7E-96DA-5AD02DE205BD}"/>
    <cellStyle name="Style 69 8 5 3" xfId="27844" xr:uid="{72EF8646-5F80-40D3-80E6-FB172A66AFC0}"/>
    <cellStyle name="Style 69 8 6" xfId="10756" xr:uid="{58DD3521-7CFF-47DC-BF32-39472C62F13A}"/>
    <cellStyle name="Style 69 8 6 2" xfId="29717" xr:uid="{7813F2C1-2962-403E-B497-CC3A44F01522}"/>
    <cellStyle name="Style 69 8 7" xfId="10757" xr:uid="{802CAE66-24E3-4953-9A11-C2409AC0EA4E}"/>
    <cellStyle name="Style 69 8 7 2" xfId="29718" xr:uid="{D17994E1-7E06-4DD0-A5A8-8223B71E01E5}"/>
    <cellStyle name="Style 69 8 8" xfId="10758" xr:uid="{C968F6DA-12A4-44D4-9AFB-417D2E2B532B}"/>
    <cellStyle name="Style 69 8 8 2" xfId="29719" xr:uid="{4EDAC9E5-6AB6-4C9D-A623-9EF8FAFBFC51}"/>
    <cellStyle name="Style 69 8 9" xfId="10759" xr:uid="{EF1B9765-AB96-4F70-89FA-D387966193A5}"/>
    <cellStyle name="Style 69 8 9 2" xfId="29720" xr:uid="{8F9E3E6B-B3BC-4732-8F0B-CF430DB7878D}"/>
    <cellStyle name="Style 69 9" xfId="3176" xr:uid="{FA7485F5-3960-468B-8FBC-28A9479C432C}"/>
    <cellStyle name="Style 69 9 10" xfId="23889" xr:uid="{EA0E49C6-C11B-4784-B96F-FEEA4F4963F7}"/>
    <cellStyle name="Style 69 9 2" xfId="3177" xr:uid="{51F057D8-B75D-4382-83A7-5D7A35FAB27A}"/>
    <cellStyle name="Style 69 9 2 2" xfId="6667" xr:uid="{6ED4649B-130E-4856-918E-3FE12DBE14A4}"/>
    <cellStyle name="Style 69 9 2 2 2" xfId="10760" xr:uid="{2328F21E-B7CE-44B6-A9F1-5BFFBEEACB03}"/>
    <cellStyle name="Style 69 9 2 2 2 2" xfId="29721" xr:uid="{405907D6-AA8C-4781-93F7-C533D4C31841}"/>
    <cellStyle name="Style 69 9 2 2 3" xfId="27847" xr:uid="{E55E2049-2E98-40EA-BD3D-B6478AB78D13}"/>
    <cellStyle name="Style 69 9 2 3" xfId="10761" xr:uid="{EFF58514-DBF2-47F1-8938-9C9CD0A39B71}"/>
    <cellStyle name="Style 69 9 2 3 2" xfId="29722" xr:uid="{6A86FCA8-0760-40D7-A503-8792F741A336}"/>
    <cellStyle name="Style 69 9 2 4" xfId="10762" xr:uid="{E20AA75E-3ACD-4D75-B11D-D6AE32D10F51}"/>
    <cellStyle name="Style 69 9 2 4 2" xfId="29723" xr:uid="{E10DC254-B6A8-4695-A44F-ECFA3BC31F27}"/>
    <cellStyle name="Style 69 9 2 5" xfId="10763" xr:uid="{7FAFBC64-02AF-41EA-B404-6B05D6718017}"/>
    <cellStyle name="Style 69 9 2 5 2" xfId="29724" xr:uid="{E5B4DAC7-AD5A-4E3E-AEDE-D2B15F98C296}"/>
    <cellStyle name="Style 69 9 2 6" xfId="10764" xr:uid="{C4889CD9-E66E-48B1-B898-D5B3C9061D3A}"/>
    <cellStyle name="Style 69 9 2 6 2" xfId="29725" xr:uid="{4B42941C-FB20-4CFD-9FBB-611446AE92E5}"/>
    <cellStyle name="Style 69 9 2 7" xfId="10765" xr:uid="{17EEE9ED-942E-4391-8561-C9C975D2635A}"/>
    <cellStyle name="Style 69 9 2 7 2" xfId="29726" xr:uid="{6F45F554-D1A7-4974-99F2-B684753450A0}"/>
    <cellStyle name="Style 69 9 2 8" xfId="24820" xr:uid="{1665C89C-E8DF-49DE-85D2-48625003DAC7}"/>
    <cellStyle name="Style 69 9 3" xfId="4191" xr:uid="{D4172237-261D-414A-A67A-257478A95229}"/>
    <cellStyle name="Style 69 9 3 2" xfId="10766" xr:uid="{507A029A-45B0-48FD-8D85-F24FD5716A2B}"/>
    <cellStyle name="Style 69 9 3 2 2" xfId="29727" xr:uid="{BE13447F-3FA5-493D-8250-5238B774FE68}"/>
    <cellStyle name="Style 69 9 3 3" xfId="27846" xr:uid="{2E15C4C2-29F7-40F8-B8EC-DF0FC2DECFC4}"/>
    <cellStyle name="Style 69 9 4" xfId="10767" xr:uid="{A7CD92EA-92B5-4BAF-930D-658528CC6CC7}"/>
    <cellStyle name="Style 69 9 4 2" xfId="29728" xr:uid="{2CB13CB4-A3AC-4E70-9FE9-3F26DEEBE4A4}"/>
    <cellStyle name="Style 69 9 5" xfId="10768" xr:uid="{53C4AB7A-AF33-4381-852D-E70FC6AFC58C}"/>
    <cellStyle name="Style 69 9 5 2" xfId="29729" xr:uid="{A5E9D0FB-FE7C-4DD0-AC84-4E7DBDEAD2B4}"/>
    <cellStyle name="Style 69 9 6" xfId="10769" xr:uid="{13DDEF5A-1A59-43E7-A78F-9014CFE28C52}"/>
    <cellStyle name="Style 69 9 6 2" xfId="29730" xr:uid="{9EF3485A-6BAF-4700-AA43-A757404B00F0}"/>
    <cellStyle name="Style 69 9 7" xfId="10770" xr:uid="{138CE53A-19D5-489E-B6F3-56C54EFA86BC}"/>
    <cellStyle name="Style 69 9 7 2" xfId="29731" xr:uid="{32CF40A7-81D5-4C4A-BC8D-A2C552D8A4B4}"/>
    <cellStyle name="Style 69 9 8" xfId="10771" xr:uid="{76C77DFF-5DCB-46E2-8976-D2CFFB77DFAB}"/>
    <cellStyle name="Style 69 9 8 2" xfId="29732" xr:uid="{8AE55E68-BD2E-4E9F-A140-A395DDD759D2}"/>
    <cellStyle name="Style 69 9 9" xfId="10772" xr:uid="{0919BBB5-32E5-4FC7-95EA-A9D45A13D518}"/>
    <cellStyle name="Style 69 9 9 2" xfId="29733" xr:uid="{6E06AEDE-15BC-46D2-A797-550E25C30F4F}"/>
    <cellStyle name="Style 69_ADDON" xfId="25804" xr:uid="{545BA7D5-8D34-466C-BA1D-6616770F5087}"/>
    <cellStyle name="Style 70" xfId="3178" xr:uid="{CA2B8C6C-0E07-472C-8E29-949770CF5CB9}"/>
    <cellStyle name="Style 70 10" xfId="10773" xr:uid="{3293F8B2-6D1F-4DC6-9B65-EA12C4F1DF37}"/>
    <cellStyle name="Style 70 10 2" xfId="29734" xr:uid="{22458FA6-4F2B-4546-B2DB-E8B92B3158A4}"/>
    <cellStyle name="Style 70 11" xfId="10774" xr:uid="{BFC3A064-3473-410E-8977-7390C1FB093F}"/>
    <cellStyle name="Style 70 11 2" xfId="29735" xr:uid="{A6B9BB2B-B395-4FA9-81B4-DD309E908598}"/>
    <cellStyle name="Style 70 12" xfId="10775" xr:uid="{84DA2C86-7FBF-425B-B62C-DE565215EE47}"/>
    <cellStyle name="Style 70 12 2" xfId="29736" xr:uid="{17FF6022-D925-44E0-8944-CDBB9A489DE2}"/>
    <cellStyle name="Style 70 13" xfId="10776" xr:uid="{721673BC-732F-4ADF-A5C2-4F7AB01B7C39}"/>
    <cellStyle name="Style 70 13 2" xfId="29737" xr:uid="{94C3EAEF-06FB-4F59-9FFD-569361B04E21}"/>
    <cellStyle name="Style 70 14" xfId="10777" xr:uid="{FC4F3A37-BA38-4178-AEA8-0BFB05019561}"/>
    <cellStyle name="Style 70 14 2" xfId="29738" xr:uid="{A6ACD7A1-5FE6-4D0E-A1BF-C8F00E3F0261}"/>
    <cellStyle name="Style 70 15" xfId="23890" xr:uid="{AAC7409C-AACC-4397-982F-9C412E2C59DB}"/>
    <cellStyle name="Style 70 2" xfId="3179" xr:uid="{FFF5F6C9-AC26-4D3D-A3BC-79F7181BCD8C}"/>
    <cellStyle name="Style 70 2 10" xfId="23891" xr:uid="{E2181224-D550-4C01-AAF6-B8F768D80E66}"/>
    <cellStyle name="Style 70 2 2" xfId="10778" xr:uid="{53EB93E1-2645-49B2-B3F2-840220DF024B}"/>
    <cellStyle name="Style 70 2 2 2" xfId="10779" xr:uid="{D1797C38-E457-48E4-AD2B-BA88E597F76C}"/>
    <cellStyle name="Style 70 2 2 2 2" xfId="29740" xr:uid="{30F6C727-2D89-4A65-AD7C-9D0F77504083}"/>
    <cellStyle name="Style 70 2 2 3" xfId="29739" xr:uid="{0C844C58-7DE9-418E-B029-914AD53A458F}"/>
    <cellStyle name="Style 70 2 3" xfId="10780" xr:uid="{31F5743A-181F-4317-8FCE-2CE52FD76602}"/>
    <cellStyle name="Style 70 2 3 2" xfId="29741" xr:uid="{4FBA489B-6686-4AF6-82F9-8D20A3A38CDE}"/>
    <cellStyle name="Style 70 2 4" xfId="10781" xr:uid="{64CC2BE4-1FCF-42B2-8532-ACE29F93E508}"/>
    <cellStyle name="Style 70 2 4 2" xfId="29742" xr:uid="{4FC8C55C-CD1C-45BD-B888-C4168DABE78E}"/>
    <cellStyle name="Style 70 2 5" xfId="10782" xr:uid="{E8691699-D597-4A37-80E5-27D8BA8567A8}"/>
    <cellStyle name="Style 70 2 5 2" xfId="29743" xr:uid="{F32A66FF-0BC5-44F8-8895-519900617FEF}"/>
    <cellStyle name="Style 70 2 6" xfId="10783" xr:uid="{9A07448E-1613-4100-88B4-1770E7377266}"/>
    <cellStyle name="Style 70 2 6 2" xfId="29744" xr:uid="{4DEB265D-0A40-4EA9-87AC-300D011BA099}"/>
    <cellStyle name="Style 70 2 7" xfId="10784" xr:uid="{267202AD-D4D8-4D3C-97FB-9F0D6A229E13}"/>
    <cellStyle name="Style 70 2 7 2" xfId="29745" xr:uid="{CB857722-4BAF-4A76-993A-7FFBBD7124A2}"/>
    <cellStyle name="Style 70 2 8" xfId="10785" xr:uid="{D9989BD9-BF16-432C-B3F4-2B808EBC5AA2}"/>
    <cellStyle name="Style 70 2 8 2" xfId="29746" xr:uid="{C0406D2E-E730-4709-B5CD-AE3828419823}"/>
    <cellStyle name="Style 70 2 9" xfId="10786" xr:uid="{0BCA8865-6B8C-4038-BF2E-60E0E9F822CC}"/>
    <cellStyle name="Style 70 2 9 2" xfId="29747" xr:uid="{A48F21F0-AAAE-4132-866B-33A94BD0D25D}"/>
    <cellStyle name="Style 70 3" xfId="3180" xr:uid="{6DEF2960-3769-465D-9049-B10F7ADEBE81}"/>
    <cellStyle name="Style 70 3 10" xfId="10787" xr:uid="{DD341F1A-A72D-4184-87EB-F96796267E68}"/>
    <cellStyle name="Style 70 3 10 2" xfId="29748" xr:uid="{C963F991-44E8-466C-81AB-002880E2FB3C}"/>
    <cellStyle name="Style 70 3 11" xfId="10788" xr:uid="{4013E0A9-75D5-4E1E-9410-A2084BEE4A08}"/>
    <cellStyle name="Style 70 3 11 2" xfId="29749" xr:uid="{2E3C152C-1EE7-4154-B703-9D34978CDD70}"/>
    <cellStyle name="Style 70 3 12" xfId="10789" xr:uid="{7C0700A3-95C8-4D00-B3E4-7F2E01D619BC}"/>
    <cellStyle name="Style 70 3 12 2" xfId="29750" xr:uid="{A13B7018-E729-4C00-806E-FE82582ACB4D}"/>
    <cellStyle name="Style 70 3 13" xfId="23892" xr:uid="{4E9992CC-29EF-45A7-8226-9B049EB7BAFC}"/>
    <cellStyle name="Style 70 3 2" xfId="3181" xr:uid="{45A61842-5F8E-40AF-90AC-CFF7FBB85E3F}"/>
    <cellStyle name="Style 70 3 2 2" xfId="10790" xr:uid="{516A9667-1966-407B-BB1D-1AECD71330E4}"/>
    <cellStyle name="Style 70 3 2 2 2" xfId="29751" xr:uid="{1B036DF5-A3DB-47BB-A43D-81B057FC2151}"/>
    <cellStyle name="Style 70 3 2 3" xfId="10791" xr:uid="{8417A4F0-BA47-4E03-BEF1-9EF5C07E53C9}"/>
    <cellStyle name="Style 70 3 2 3 2" xfId="29752" xr:uid="{2A92F3AB-AB0F-40F9-9977-A6FADF9798F0}"/>
    <cellStyle name="Style 70 3 2 4" xfId="10792" xr:uid="{56F204C9-BC5D-4EA5-A877-0CA7380798F2}"/>
    <cellStyle name="Style 70 3 2 4 2" xfId="29753" xr:uid="{1178FAED-51BE-4853-864A-38A263393A4E}"/>
    <cellStyle name="Style 70 3 2 5" xfId="10793" xr:uid="{1F4520F0-E181-4FF9-BC36-2273F1DE551A}"/>
    <cellStyle name="Style 70 3 2 5 2" xfId="29754" xr:uid="{9527F38B-FA65-4925-AABD-9608CB271508}"/>
    <cellStyle name="Style 70 3 2 6" xfId="10794" xr:uid="{4CF56455-A3FE-4DF2-88DD-329494A0262B}"/>
    <cellStyle name="Style 70 3 2 6 2" xfId="29755" xr:uid="{34D3D390-3233-4B07-A68B-88FD70266731}"/>
    <cellStyle name="Style 70 3 2 7" xfId="10795" xr:uid="{EC0FF813-97FD-4118-9E82-69EF62D6FB7C}"/>
    <cellStyle name="Style 70 3 2 7 2" xfId="29756" xr:uid="{9F0DE151-794F-41EF-856B-100CFF12915C}"/>
    <cellStyle name="Style 70 3 2 8" xfId="10796" xr:uid="{BEC68BBF-F358-4D7F-B671-BC61757C29BC}"/>
    <cellStyle name="Style 70 3 2 8 2" xfId="29757" xr:uid="{BC756B45-5DCC-4AC1-916A-E62400060DAD}"/>
    <cellStyle name="Style 70 3 2 9" xfId="23893" xr:uid="{EDA268B6-66E6-48F9-A1FD-BE84C3D9EBF0}"/>
    <cellStyle name="Style 70 3 3" xfId="3182" xr:uid="{EE747D20-CB50-473F-8C3E-99C97008F6BD}"/>
    <cellStyle name="Style 70 3 3 10" xfId="10797" xr:uid="{495BFFF0-0C5E-431C-99DB-9AF6E780906D}"/>
    <cellStyle name="Style 70 3 3 10 2" xfId="29758" xr:uid="{88CBC978-29CC-4C9C-B3EC-F1196C14FB98}"/>
    <cellStyle name="Style 70 3 3 11" xfId="23894" xr:uid="{495B0532-1280-4F33-A8CA-D78BF8E73D42}"/>
    <cellStyle name="Style 70 3 3 2" xfId="3183" xr:uid="{85E0FE9E-3603-48AD-9214-B4C10631A5D1}"/>
    <cellStyle name="Style 70 3 3 2 2" xfId="10798" xr:uid="{36A75830-C5D9-4A67-BECE-3F57C472FDEC}"/>
    <cellStyle name="Style 70 3 3 2 2 2" xfId="29759" xr:uid="{B42FA700-F9F8-4610-AA46-0F20C9292267}"/>
    <cellStyle name="Style 70 3 3 2 3" xfId="10799" xr:uid="{C148C76F-1A13-4D4F-85AA-5D0E58D25868}"/>
    <cellStyle name="Style 70 3 3 2 3 2" xfId="29760" xr:uid="{63B84AD1-1066-4399-B640-E3F610C3E906}"/>
    <cellStyle name="Style 70 3 3 2 4" xfId="10800" xr:uid="{C5F8BF6B-412E-480E-8413-21AC0A02505B}"/>
    <cellStyle name="Style 70 3 3 2 4 2" xfId="29761" xr:uid="{0A7052FD-BBC5-49DF-BD89-7EF979759440}"/>
    <cellStyle name="Style 70 3 3 2 5" xfId="10801" xr:uid="{A1960553-E196-43D1-927F-A1FA30696DF6}"/>
    <cellStyle name="Style 70 3 3 2 5 2" xfId="29762" xr:uid="{9CCC7A3D-B16D-48A2-8037-FD5AFC3F5A76}"/>
    <cellStyle name="Style 70 3 3 2 6" xfId="10802" xr:uid="{1BA4A578-5EA4-4303-A144-C9F44109409A}"/>
    <cellStyle name="Style 70 3 3 2 6 2" xfId="29763" xr:uid="{97B33B63-097A-40D5-9A37-0B880B74BC65}"/>
    <cellStyle name="Style 70 3 3 2 7" xfId="10803" xr:uid="{1CE6DB72-6E13-4B1B-B0E3-A7F9483348F5}"/>
    <cellStyle name="Style 70 3 3 2 7 2" xfId="29764" xr:uid="{24B67FE7-BF12-4A5C-AEEE-20F94F66A6B0}"/>
    <cellStyle name="Style 70 3 3 2 8" xfId="10804" xr:uid="{EF200747-7E10-478D-8005-6535805D676A}"/>
    <cellStyle name="Style 70 3 3 2 8 2" xfId="29765" xr:uid="{AE8C0BA7-7061-44F1-B410-F41D6E52A922}"/>
    <cellStyle name="Style 70 3 3 2 9" xfId="23895" xr:uid="{F635493E-A961-40D2-8F82-4A7B0B005489}"/>
    <cellStyle name="Style 70 3 3 3" xfId="6668" xr:uid="{EB56E188-DBD9-47A3-9832-7C6F82EAA4D7}"/>
    <cellStyle name="Style 70 3 3 3 2" xfId="10805" xr:uid="{D6A4151B-003A-430B-A12C-6E9D50586539}"/>
    <cellStyle name="Style 70 3 3 3 2 2" xfId="29766" xr:uid="{941921BE-BC10-41F1-BBDF-EC9691AA058B}"/>
    <cellStyle name="Style 70 3 3 3 3" xfId="10806" xr:uid="{D4448F4B-1287-479E-B7A9-8FCD3F1E13E3}"/>
    <cellStyle name="Style 70 3 3 3 3 2" xfId="29767" xr:uid="{4AD31243-8F36-4CA3-808F-108ADDD0ED2C}"/>
    <cellStyle name="Style 70 3 3 3 4" xfId="23896" xr:uid="{43B6039C-14EB-4533-B1BE-119952AAAB9B}"/>
    <cellStyle name="Style 70 3 3 4" xfId="6669" xr:uid="{DD67E6C0-2D1F-4A03-A049-F35CB107DEDF}"/>
    <cellStyle name="Style 70 3 3 4 2" xfId="10807" xr:uid="{A1186B59-9CA6-4BEB-A27B-64FA4F6AB4A0}"/>
    <cellStyle name="Style 70 3 3 4 2 2" xfId="29768" xr:uid="{0246591E-C200-4E17-A0E0-F55C1D4DF94B}"/>
    <cellStyle name="Style 70 3 3 4 3" xfId="24821" xr:uid="{FAE36175-69FB-4BCD-94B8-3108A792F565}"/>
    <cellStyle name="Style 70 3 3 5" xfId="10808" xr:uid="{E8649102-AFDC-48CF-9277-F971A7977AE5}"/>
    <cellStyle name="Style 70 3 3 5 2" xfId="29769" xr:uid="{44C0D732-A172-4BFB-8482-AC2A3530518E}"/>
    <cellStyle name="Style 70 3 3 6" xfId="10809" xr:uid="{EE0938AD-0B0E-4486-B698-3A12AB89DB48}"/>
    <cellStyle name="Style 70 3 3 6 2" xfId="29770" xr:uid="{2EF25950-9FC9-4D35-B3ED-9B9D8D7CBDC6}"/>
    <cellStyle name="Style 70 3 3 7" xfId="10810" xr:uid="{4AD03BDB-883A-4465-8FB3-9C2EE5A910E8}"/>
    <cellStyle name="Style 70 3 3 7 2" xfId="29771" xr:uid="{9229C9F3-1FEE-4414-AEAE-CB696EAA9BD6}"/>
    <cellStyle name="Style 70 3 3 8" xfId="10811" xr:uid="{153D0239-B2DF-4CD2-A89F-822CEC7671B3}"/>
    <cellStyle name="Style 70 3 3 8 2" xfId="29772" xr:uid="{B33B60F3-0D72-4C9A-B7EB-70B352A0E724}"/>
    <cellStyle name="Style 70 3 3 9" xfId="10812" xr:uid="{58CF4671-83A0-4209-8933-DA9238B0410C}"/>
    <cellStyle name="Style 70 3 3 9 2" xfId="29773" xr:uid="{81F8249F-6DCC-4312-A865-5CBADFBC3EC7}"/>
    <cellStyle name="Style 70 3 4" xfId="3184" xr:uid="{B0537813-CFE9-4D35-8580-7E1549A76188}"/>
    <cellStyle name="Style 70 3 4 10" xfId="23897" xr:uid="{F3A7A602-8349-4D10-8BAB-5359E7910FD6}"/>
    <cellStyle name="Style 70 3 4 2" xfId="3185" xr:uid="{B0985D2B-A989-4B80-9D93-B9F815ABA373}"/>
    <cellStyle name="Style 70 3 4 2 2" xfId="10813" xr:uid="{0E5F2BC6-947C-4422-8EAF-7526518F11F6}"/>
    <cellStyle name="Style 70 3 4 2 2 2" xfId="29774" xr:uid="{960322B3-C482-4FED-A6E4-944131B74775}"/>
    <cellStyle name="Style 70 3 4 2 3" xfId="10814" xr:uid="{9BBA8D5F-D50E-4916-86B3-175593940E25}"/>
    <cellStyle name="Style 70 3 4 2 3 2" xfId="29775" xr:uid="{7CD9F1E9-212C-4786-B8DF-F602B902809B}"/>
    <cellStyle name="Style 70 3 4 2 4" xfId="10815" xr:uid="{0BAC1C4F-86DD-4C29-9DF9-4D0AABF060C3}"/>
    <cellStyle name="Style 70 3 4 2 4 2" xfId="29776" xr:uid="{11A87979-576E-4415-8A80-DD65C928DE67}"/>
    <cellStyle name="Style 70 3 4 2 5" xfId="10816" xr:uid="{D91FC820-3740-4804-BB5D-BD2109B8FF03}"/>
    <cellStyle name="Style 70 3 4 2 5 2" xfId="29777" xr:uid="{8A887371-4A27-40B3-B016-59DF02E4EDAB}"/>
    <cellStyle name="Style 70 3 4 2 6" xfId="10817" xr:uid="{83A9F859-8B07-41E2-AC96-938287662B9A}"/>
    <cellStyle name="Style 70 3 4 2 6 2" xfId="29778" xr:uid="{920B5372-DE95-4D03-9D70-2ECC9720DC7A}"/>
    <cellStyle name="Style 70 3 4 2 7" xfId="10818" xr:uid="{41BDC842-9A6D-4CF5-9E29-F52BFDC5C2EA}"/>
    <cellStyle name="Style 70 3 4 2 7 2" xfId="29779" xr:uid="{22927DDA-80E9-40F1-BD7E-E290BC3C8E64}"/>
    <cellStyle name="Style 70 3 4 2 8" xfId="10819" xr:uid="{D0EC3C19-A743-4418-8534-BE39F4635D5C}"/>
    <cellStyle name="Style 70 3 4 2 8 2" xfId="29780" xr:uid="{E4DED791-A589-4BC3-9713-B6DCD6381DBB}"/>
    <cellStyle name="Style 70 3 4 2 9" xfId="23898" xr:uid="{FDD0ABE9-DE4C-4AEF-86A6-6B61FAE9B954}"/>
    <cellStyle name="Style 70 3 4 3" xfId="10820" xr:uid="{BBA1B4BB-C03F-4096-9C6B-9AF753944737}"/>
    <cellStyle name="Style 70 3 4 3 2" xfId="29781" xr:uid="{C7D275E2-2BFB-489C-829C-1B78E6EFD7CC}"/>
    <cellStyle name="Style 70 3 4 4" xfId="10821" xr:uid="{7E9B42F6-A113-49DC-96BA-6927CE506987}"/>
    <cellStyle name="Style 70 3 4 4 2" xfId="29782" xr:uid="{66A697B9-F1CE-4AEC-B9FD-966F8999D89D}"/>
    <cellStyle name="Style 70 3 4 5" xfId="10822" xr:uid="{37559C6C-449D-4A88-B1DD-1AA14F802EF0}"/>
    <cellStyle name="Style 70 3 4 5 2" xfId="29783" xr:uid="{DE396073-53C2-4E4C-AD9C-A5BF8C0B08D4}"/>
    <cellStyle name="Style 70 3 4 6" xfId="10823" xr:uid="{DDC36458-CAB0-4EDE-AC59-174E40484506}"/>
    <cellStyle name="Style 70 3 4 6 2" xfId="29784" xr:uid="{FCEF8C27-5B90-4CC2-82B4-C1933134A17C}"/>
    <cellStyle name="Style 70 3 4 7" xfId="10824" xr:uid="{499CE497-2B3F-4220-AEEC-6B8DD5D8DF79}"/>
    <cellStyle name="Style 70 3 4 7 2" xfId="29785" xr:uid="{461E7C39-C134-45AA-9093-1C60DD16FB84}"/>
    <cellStyle name="Style 70 3 4 8" xfId="10825" xr:uid="{99CA4EBD-7CC4-46BF-A48F-566419BA82EC}"/>
    <cellStyle name="Style 70 3 4 8 2" xfId="29786" xr:uid="{B5B86D40-BFE0-47C0-AE53-0D18BA2E8134}"/>
    <cellStyle name="Style 70 3 4 9" xfId="10826" xr:uid="{DB0E1493-C64B-4022-A2C4-F598DBE5725C}"/>
    <cellStyle name="Style 70 3 4 9 2" xfId="29787" xr:uid="{54FD3FD2-1621-475F-8DBA-D1AEE039831C}"/>
    <cellStyle name="Style 70 3 5" xfId="6670" xr:uid="{34B5CCD2-D149-4ADB-B93E-FF169D585AE3}"/>
    <cellStyle name="Style 70 3 5 2" xfId="10827" xr:uid="{86AC6D3E-C44F-4FA9-8CDA-0DEB7EE20B40}"/>
    <cellStyle name="Style 70 3 5 2 2" xfId="29788" xr:uid="{F181F72E-693D-4969-B8E6-4CF985751B4A}"/>
    <cellStyle name="Style 70 3 5 3" xfId="10828" xr:uid="{40C78BE6-8D0D-4C02-9A7A-540E2AA27625}"/>
    <cellStyle name="Style 70 3 5 3 2" xfId="29789" xr:uid="{257C8BF7-B2AC-4E79-BBAB-59B3621D263C}"/>
    <cellStyle name="Style 70 3 5 4" xfId="24822" xr:uid="{F19AC34F-FBDB-4BDA-B584-B2694A1E07B9}"/>
    <cellStyle name="Style 70 3 6" xfId="10829" xr:uid="{DD6B5B1F-5F9C-4627-9215-2076D3207FC6}"/>
    <cellStyle name="Style 70 3 6 2" xfId="29790" xr:uid="{06F13F01-BB48-4090-93EA-0F1F95BE9A16}"/>
    <cellStyle name="Style 70 3 7" xfId="10830" xr:uid="{C7E9647A-D0DF-461E-9403-E685A89E16A5}"/>
    <cellStyle name="Style 70 3 7 2" xfId="29791" xr:uid="{03575AF8-16F8-4F30-8745-DB001E5D6228}"/>
    <cellStyle name="Style 70 3 8" xfId="10831" xr:uid="{93AE49E7-7843-4E5D-A22B-9B8ECFB17B49}"/>
    <cellStyle name="Style 70 3 8 2" xfId="29792" xr:uid="{CDF9FDA1-4EE3-4A0A-83FF-07122DC05898}"/>
    <cellStyle name="Style 70 3 9" xfId="10832" xr:uid="{29BCE4EC-41D3-44EB-8DBE-1AD30CA001E8}"/>
    <cellStyle name="Style 70 3 9 2" xfId="29793" xr:uid="{71B74B51-B56E-4479-B7FB-B5E06B870308}"/>
    <cellStyle name="Style 70 4" xfId="3186" xr:uid="{79A59036-6C0B-425E-A993-401A55467DFA}"/>
    <cellStyle name="Style 70 4 10" xfId="10833" xr:uid="{276AECC3-DEB8-4153-927B-DDFF90EDC2F7}"/>
    <cellStyle name="Style 70 4 10 2" xfId="29794" xr:uid="{A01FC22E-FAD2-49BD-8FA3-327596D4704F}"/>
    <cellStyle name="Style 70 4 11" xfId="23899" xr:uid="{919984CD-DF5D-4774-BB42-A3C82F86E4DC}"/>
    <cellStyle name="Style 70 4 2" xfId="3187" xr:uid="{955397DA-D5A3-469D-AA7E-2265730F26E0}"/>
    <cellStyle name="Style 70 4 2 2" xfId="10834" xr:uid="{07A69C6E-622A-46DB-9F32-BF942FFE9901}"/>
    <cellStyle name="Style 70 4 2 2 2" xfId="29795" xr:uid="{93193EA1-C468-4B3E-8136-BAB86F63F9D4}"/>
    <cellStyle name="Style 70 4 2 3" xfId="10835" xr:uid="{9E835E31-C896-45A6-B106-199B3D9A2407}"/>
    <cellStyle name="Style 70 4 2 3 2" xfId="29796" xr:uid="{0F10227F-2E60-44C4-B4BC-1B6162CB0915}"/>
    <cellStyle name="Style 70 4 2 4" xfId="10836" xr:uid="{BAEFA2D7-5FEF-4BF8-8379-C6043A10E3D0}"/>
    <cellStyle name="Style 70 4 2 4 2" xfId="29797" xr:uid="{393087E9-E40C-4FA5-BCED-BAD76F0AC5EB}"/>
    <cellStyle name="Style 70 4 2 5" xfId="10837" xr:uid="{67BF3CFA-7C9D-432E-A3B9-1CAAE1B0102C}"/>
    <cellStyle name="Style 70 4 2 5 2" xfId="29798" xr:uid="{A3D0FF09-8468-4E09-A349-C4C3062C54DA}"/>
    <cellStyle name="Style 70 4 2 6" xfId="10838" xr:uid="{A52DC2BE-1350-4622-9CFD-218D77EEA4C7}"/>
    <cellStyle name="Style 70 4 2 6 2" xfId="29799" xr:uid="{9FF0D7F0-E12F-437F-9520-F8DCD80ACF57}"/>
    <cellStyle name="Style 70 4 2 7" xfId="10839" xr:uid="{5B5E2D3B-7122-4DBF-B4CD-3CC1B27C7219}"/>
    <cellStyle name="Style 70 4 2 7 2" xfId="29800" xr:uid="{4004B5A2-2555-47A0-A2FC-1EE615DABCF9}"/>
    <cellStyle name="Style 70 4 2 8" xfId="10840" xr:uid="{7867AD8F-DB53-40C5-8C6E-479F9333CA49}"/>
    <cellStyle name="Style 70 4 2 8 2" xfId="29801" xr:uid="{48F722BF-E270-4BBD-A677-57E872074D1D}"/>
    <cellStyle name="Style 70 4 2 9" xfId="23900" xr:uid="{3D29C8A1-65E9-4901-9A62-600018E798B4}"/>
    <cellStyle name="Style 70 4 3" xfId="6671" xr:uid="{B017986C-770A-405D-8DA4-1A1235017946}"/>
    <cellStyle name="Style 70 4 3 2" xfId="10841" xr:uid="{92AA911D-9D98-47C7-96D8-4BC2D0FEB5E9}"/>
    <cellStyle name="Style 70 4 3 2 2" xfId="29802" xr:uid="{FF687AC3-ABD3-4ED8-8170-B6D68C04168B}"/>
    <cellStyle name="Style 70 4 3 3" xfId="10842" xr:uid="{603E81C3-267E-4452-83E6-27E932DD3DA1}"/>
    <cellStyle name="Style 70 4 3 3 2" xfId="29803" xr:uid="{78DD440D-A753-45DF-B72F-D6584823AFC2}"/>
    <cellStyle name="Style 70 4 3 4" xfId="23901" xr:uid="{C5B058D7-2DBD-4105-9836-DFDC78529CF4}"/>
    <cellStyle name="Style 70 4 4" xfId="6672" xr:uid="{8CA3DD34-7CD1-4398-9205-1052DFFC678B}"/>
    <cellStyle name="Style 70 4 4 2" xfId="10843" xr:uid="{92CC7748-2EE1-4619-834A-FAAC3FF19448}"/>
    <cellStyle name="Style 70 4 4 2 2" xfId="29804" xr:uid="{0D1E0B68-C82E-4899-AAA9-9704B6FF9CF5}"/>
    <cellStyle name="Style 70 4 4 3" xfId="24823" xr:uid="{18898E4E-5C5A-4B12-84D2-034BD0A14DBD}"/>
    <cellStyle name="Style 70 4 5" xfId="10844" xr:uid="{587CAE22-574C-4EDA-B739-F6D5305FD7E1}"/>
    <cellStyle name="Style 70 4 5 2" xfId="29805" xr:uid="{4EAA76B2-47AF-4246-A140-0399786606EE}"/>
    <cellStyle name="Style 70 4 6" xfId="10845" xr:uid="{0FD8E34F-3696-436C-B931-9E785C8758C4}"/>
    <cellStyle name="Style 70 4 6 2" xfId="29806" xr:uid="{E856A563-0128-4914-9458-80710D147A5D}"/>
    <cellStyle name="Style 70 4 7" xfId="10846" xr:uid="{6BB5093E-770C-44F1-845E-B9AD11764AC5}"/>
    <cellStyle name="Style 70 4 7 2" xfId="29807" xr:uid="{36622859-054A-4817-BF3B-DB4FD7CC5D02}"/>
    <cellStyle name="Style 70 4 8" xfId="10847" xr:uid="{1496FA5A-8D12-4498-AEC4-CE1D7342AB5A}"/>
    <cellStyle name="Style 70 4 8 2" xfId="29808" xr:uid="{2CCF686F-468E-46E0-81DD-096B3E6ECD3F}"/>
    <cellStyle name="Style 70 4 9" xfId="10848" xr:uid="{ADFFA104-F5BA-4D01-ADC0-A4F47E016ACC}"/>
    <cellStyle name="Style 70 4 9 2" xfId="29809" xr:uid="{16AAD8D6-CA52-4E69-8D6A-566AFB3B8AFC}"/>
    <cellStyle name="Style 70 5" xfId="3188" xr:uid="{3D226206-B147-4F98-8C13-513599330394}"/>
    <cellStyle name="Style 70 5 10" xfId="10849" xr:uid="{18F2C997-E93C-4AC1-99E6-26EF1B5AF0EA}"/>
    <cellStyle name="Style 70 5 10 2" xfId="29810" xr:uid="{F8AD1333-88F9-43F5-90AC-28606C6CCB47}"/>
    <cellStyle name="Style 70 5 11" xfId="23902" xr:uid="{95E3200F-1ADE-4294-B71B-F53056DB4283}"/>
    <cellStyle name="Style 70 5 2" xfId="3189" xr:uid="{BB5B3BAB-9C4B-4F10-9886-F1D14BD2D1D4}"/>
    <cellStyle name="Style 70 5 2 10" xfId="23903" xr:uid="{800C5B6C-87B2-4818-90FF-617E137D6D60}"/>
    <cellStyle name="Style 70 5 2 2" xfId="10850" xr:uid="{D15624C1-03AD-4A11-8CB0-72B21426C2E9}"/>
    <cellStyle name="Style 70 5 2 2 2" xfId="29811" xr:uid="{288096B0-1E7F-4AA4-9CAD-03ABEA6E0B8C}"/>
    <cellStyle name="Style 70 5 2 3" xfId="10851" xr:uid="{C3193FC6-FE29-48A9-8156-0647424C4C19}"/>
    <cellStyle name="Style 70 5 2 3 2" xfId="29812" xr:uid="{BF04C5BF-2785-4740-AC32-F299BC819CC5}"/>
    <cellStyle name="Style 70 5 2 4" xfId="10852" xr:uid="{B8DD02D0-FF53-4394-9788-48E937209FD6}"/>
    <cellStyle name="Style 70 5 2 4 2" xfId="29813" xr:uid="{CDDB8EE7-D7F3-4180-B7EC-675590CDBCC4}"/>
    <cellStyle name="Style 70 5 2 5" xfId="10853" xr:uid="{5132880B-49CF-4677-854A-882FA8EB4795}"/>
    <cellStyle name="Style 70 5 2 5 2" xfId="29814" xr:uid="{6110937F-1BE3-4D5A-863E-078E1AEB75C6}"/>
    <cellStyle name="Style 70 5 2 6" xfId="10854" xr:uid="{736378CB-64C1-459D-94A2-07933C890BAE}"/>
    <cellStyle name="Style 70 5 2 6 2" xfId="29815" xr:uid="{421010E8-170E-460A-941A-835E37975FC7}"/>
    <cellStyle name="Style 70 5 2 7" xfId="10855" xr:uid="{C1DC7496-EF38-443A-8062-80696EF0F3B2}"/>
    <cellStyle name="Style 70 5 2 7 2" xfId="29816" xr:uid="{EE56FEE8-3FA0-4D94-8BE1-1AA79587CA8C}"/>
    <cellStyle name="Style 70 5 2 8" xfId="10856" xr:uid="{E8CB49B4-BC50-41B4-BF86-42503CDB5FD0}"/>
    <cellStyle name="Style 70 5 2 8 2" xfId="29817" xr:uid="{D948FC3D-3A7A-4D19-881D-6F587EDF56A1}"/>
    <cellStyle name="Style 70 5 2 9" xfId="10857" xr:uid="{43047928-C706-4427-8065-A6F6ACF996A2}"/>
    <cellStyle name="Style 70 5 2 9 2" xfId="29818" xr:uid="{24755B70-27F5-4A47-890E-BB0CCB3F7FD4}"/>
    <cellStyle name="Style 70 5 3" xfId="10858" xr:uid="{3A7F2605-2F30-4580-B9F8-6528DF9D61E7}"/>
    <cellStyle name="Style 70 5 3 2" xfId="29819" xr:uid="{81688222-5840-4A73-984E-814B4CD5CE56}"/>
    <cellStyle name="Style 70 5 4" xfId="10859" xr:uid="{9255A85D-EE73-42E7-924F-C95206CB2EA5}"/>
    <cellStyle name="Style 70 5 4 2" xfId="29820" xr:uid="{9324EF9C-32DF-41A5-9813-91D5CA938B22}"/>
    <cellStyle name="Style 70 5 5" xfId="10860" xr:uid="{B862F529-3226-4133-83EC-2E3385868B6C}"/>
    <cellStyle name="Style 70 5 5 2" xfId="29821" xr:uid="{BD204C7A-089B-47E4-80A8-BCB3AD3EF543}"/>
    <cellStyle name="Style 70 5 6" xfId="10861" xr:uid="{F69C1D30-46FF-48EF-96C9-4D5E97C0C2C1}"/>
    <cellStyle name="Style 70 5 6 2" xfId="29822" xr:uid="{F0F0A3DF-020C-406D-83AF-D108F679E800}"/>
    <cellStyle name="Style 70 5 7" xfId="10862" xr:uid="{ACDE197B-3544-4089-B96D-B367064375AA}"/>
    <cellStyle name="Style 70 5 7 2" xfId="29823" xr:uid="{339279E6-97DA-486A-AF71-76FED6C0B513}"/>
    <cellStyle name="Style 70 5 8" xfId="10863" xr:uid="{CB1388B3-A490-4D0E-A5C1-6FDBF4C1ED63}"/>
    <cellStyle name="Style 70 5 8 2" xfId="29824" xr:uid="{9EE9778D-275A-4022-9875-578C06CDD316}"/>
    <cellStyle name="Style 70 5 9" xfId="10864" xr:uid="{CA198153-298B-4668-846A-F870D8C513B9}"/>
    <cellStyle name="Style 70 5 9 2" xfId="29825" xr:uid="{D6D5E643-D940-4CCD-8566-9862218E046F}"/>
    <cellStyle name="Style 70 6" xfId="3190" xr:uid="{E915417C-63B3-46C2-AFDF-9283B6B8C33F}"/>
    <cellStyle name="Style 70 6 10" xfId="10865" xr:uid="{78D87B0F-B0B9-49C5-8C96-037AD61F3EF2}"/>
    <cellStyle name="Style 70 6 10 2" xfId="29826" xr:uid="{E69D1FDD-C9EC-4F70-928E-72EBC2AB69EB}"/>
    <cellStyle name="Style 70 6 11" xfId="23904" xr:uid="{A50678F6-BF8E-41C4-91B5-BF4F9804E622}"/>
    <cellStyle name="Style 70 6 2" xfId="3191" xr:uid="{41072C68-0BD9-4DF9-84EC-69FCE5AA5A7F}"/>
    <cellStyle name="Style 70 6 2 2" xfId="10866" xr:uid="{80206AA8-76AD-4A91-8D65-9C0DBFF1BA7E}"/>
    <cellStyle name="Style 70 6 2 2 2" xfId="29827" xr:uid="{BBDBDDB6-9EB8-40C5-B9A8-385A1774744F}"/>
    <cellStyle name="Style 70 6 2 3" xfId="10867" xr:uid="{2E97F8A4-4CAD-452C-8BA9-E08E7DEFA26B}"/>
    <cellStyle name="Style 70 6 2 3 2" xfId="29828" xr:uid="{04858E60-69B9-4847-81C7-7DE824BA6B2D}"/>
    <cellStyle name="Style 70 6 2 4" xfId="10868" xr:uid="{285E118C-5F2C-45D1-874B-DA618E7C9792}"/>
    <cellStyle name="Style 70 6 2 4 2" xfId="29829" xr:uid="{3E5FDC48-14A4-42CE-AAEF-DA4D5BF375CA}"/>
    <cellStyle name="Style 70 6 2 5" xfId="10869" xr:uid="{2BDFFC75-657C-4AC3-B125-E71689774200}"/>
    <cellStyle name="Style 70 6 2 5 2" xfId="29830" xr:uid="{9DE8E83C-26C9-4931-ADCC-E99C13676C3C}"/>
    <cellStyle name="Style 70 6 2 6" xfId="10870" xr:uid="{31C2AED4-7288-4564-AFA8-8A3877665554}"/>
    <cellStyle name="Style 70 6 2 6 2" xfId="29831" xr:uid="{F2A23BEB-4387-418E-95DC-BDD6F578C819}"/>
    <cellStyle name="Style 70 6 2 7" xfId="10871" xr:uid="{3F6A7EE8-AB7F-4500-A18D-4F045E341465}"/>
    <cellStyle name="Style 70 6 2 7 2" xfId="29832" xr:uid="{82373663-4620-49E0-A27B-1230E813473F}"/>
    <cellStyle name="Style 70 6 2 8" xfId="10872" xr:uid="{52A92283-732D-4D43-898F-8016ED96FC6E}"/>
    <cellStyle name="Style 70 6 2 8 2" xfId="29833" xr:uid="{8D278FB8-3DDA-4624-80AB-2F8640FB0CD0}"/>
    <cellStyle name="Style 70 6 2 9" xfId="24824" xr:uid="{6A4E752A-8DA6-44CC-9928-FB4205058033}"/>
    <cellStyle name="Style 70 6 3" xfId="4193" xr:uid="{E49242A2-2620-40D4-90E7-C30CDE3A47FA}"/>
    <cellStyle name="Style 70 6 3 2" xfId="10873" xr:uid="{64FEB6B9-3EE1-4E57-A625-EF555A7845E8}"/>
    <cellStyle name="Style 70 6 3 2 2" xfId="29834" xr:uid="{1EC36E04-00B7-4BE1-8191-2A7A2FE8FD6F}"/>
    <cellStyle name="Style 70 6 3 3" xfId="28331" xr:uid="{8E28E311-BE7A-4537-9F4B-B622B8C3A828}"/>
    <cellStyle name="Style 70 6 4" xfId="10874" xr:uid="{AD0F2BB4-DE38-4574-B24E-57A0A39DC1B9}"/>
    <cellStyle name="Style 70 6 4 2" xfId="29835" xr:uid="{7C4AA7C6-DE35-4E2F-A241-F67478A9444D}"/>
    <cellStyle name="Style 70 6 5" xfId="10875" xr:uid="{866AD052-5FCB-41F9-A9DE-44022BA18C43}"/>
    <cellStyle name="Style 70 6 5 2" xfId="29836" xr:uid="{E21F24E1-6E2F-4F0F-B233-2D0B56EC8E92}"/>
    <cellStyle name="Style 70 6 6" xfId="10876" xr:uid="{AD5EA810-4E3E-4D05-A5AF-30DE186ADFF1}"/>
    <cellStyle name="Style 70 6 6 2" xfId="29837" xr:uid="{5EBBC4AB-F059-4B1E-8007-382E0243CEB5}"/>
    <cellStyle name="Style 70 6 7" xfId="10877" xr:uid="{E8353AD5-375F-4655-BB50-DA1B147E8EDB}"/>
    <cellStyle name="Style 70 6 7 2" xfId="29838" xr:uid="{47A7437C-25B4-4F17-9886-81766C467B0F}"/>
    <cellStyle name="Style 70 6 8" xfId="10878" xr:uid="{E013F190-4B32-49BE-BCE1-7B7C498593F4}"/>
    <cellStyle name="Style 70 6 8 2" xfId="29839" xr:uid="{4928B297-39E3-4378-8D5B-E2D9429C8A8C}"/>
    <cellStyle name="Style 70 6 9" xfId="10879" xr:uid="{0D82FB0D-2498-4DF7-A4A9-08737EEB3DFA}"/>
    <cellStyle name="Style 70 6 9 2" xfId="29840" xr:uid="{910E0AF5-3113-46B6-BE28-5402A901CD23}"/>
    <cellStyle name="Style 70 7" xfId="4192" xr:uid="{08044630-6536-4F25-86B7-E47BF3DB2894}"/>
    <cellStyle name="Style 70 7 2" xfId="6674" xr:uid="{E811A379-CD5E-4FA0-A2C2-A12EB45BA8DC}"/>
    <cellStyle name="Style 70 7 2 2" xfId="24825" xr:uid="{C62DE99F-EE70-4BB8-A5E3-D09B61F01047}"/>
    <cellStyle name="Style 70 7 3" xfId="6673" xr:uid="{A626FFB9-382D-43EF-AA1D-C244BF7E3B76}"/>
    <cellStyle name="Style 70 7 3 2" xfId="29841" xr:uid="{A73DD70F-5A0B-4FAE-84FC-F0087D39FB5C}"/>
    <cellStyle name="Style 70 7 4" xfId="23905" xr:uid="{E4CBA0BD-C752-4AFE-B0B2-3445D4FDED6F}"/>
    <cellStyle name="Style 70 8" xfId="6675" xr:uid="{C5D7846E-2A07-4F90-B4EF-06E949AF852C}"/>
    <cellStyle name="Style 70 8 2" xfId="10880" xr:uid="{8EEE8BD0-F518-45CF-B644-CB75B77984D6}"/>
    <cellStyle name="Style 70 8 2 2" xfId="29842" xr:uid="{C35DA21A-12BD-40B4-883C-E316AEB9BD5E}"/>
    <cellStyle name="Style 70 8 3" xfId="24826" xr:uid="{9B97558E-A15D-4128-860E-E42C576C6A51}"/>
    <cellStyle name="Style 70 9" xfId="10881" xr:uid="{165412EE-2C6D-4E13-BF7A-98F25790C9AC}"/>
    <cellStyle name="Style 70 9 2" xfId="10882" xr:uid="{7B721BA4-5F82-420D-B513-CEF205B5CA75}"/>
    <cellStyle name="Style 70 9 2 2" xfId="29843" xr:uid="{93F9BF65-45D6-4BB6-802A-7229846C38C3}"/>
    <cellStyle name="Style 70 9 3" xfId="26684" xr:uid="{3DB98457-0B72-4F6B-91BC-83E602FD252B}"/>
    <cellStyle name="Style 70_ADDON" xfId="25750" xr:uid="{5C19FCE5-E2A5-43A3-B516-911A5E4DEC39}"/>
    <cellStyle name="Style 71" xfId="3192" xr:uid="{6EB6777D-0185-48BB-BD68-272DE37AA3A4}"/>
    <cellStyle name="Style 71 10" xfId="10883" xr:uid="{814925D6-1F48-4923-92E2-DF32FFE2E348}"/>
    <cellStyle name="Style 71 10 2" xfId="29844" xr:uid="{00B0D88A-9A43-45AC-81C6-2CBA4200DAEE}"/>
    <cellStyle name="Style 71 11" xfId="10884" xr:uid="{358B79B2-1749-4C9B-8C69-FDEEA610E6E8}"/>
    <cellStyle name="Style 71 11 2" xfId="29845" xr:uid="{8CBD9E34-0D34-4312-8E0B-D7F3ED1517DC}"/>
    <cellStyle name="Style 71 12" xfId="10885" xr:uid="{DE989C7C-BD6B-4711-A6AB-F5174E5A87ED}"/>
    <cellStyle name="Style 71 12 2" xfId="29846" xr:uid="{205BC388-30AC-4B96-AB4D-8CE301FE73F2}"/>
    <cellStyle name="Style 71 13" xfId="10886" xr:uid="{DEA842E3-F63D-4F8F-81F7-77F66A00821A}"/>
    <cellStyle name="Style 71 13 2" xfId="29847" xr:uid="{F5F854EA-034A-4684-80B9-D70437899FBD}"/>
    <cellStyle name="Style 71 14" xfId="10887" xr:uid="{60E4B956-B2E2-4E90-A0D8-E524B78BC6FA}"/>
    <cellStyle name="Style 71 14 2" xfId="29848" xr:uid="{F64A13DE-7632-4FFE-B6DA-6EC44EC796BF}"/>
    <cellStyle name="Style 71 15" xfId="10888" xr:uid="{3BAC0103-02F1-4903-8399-DCD7B6E15AD6}"/>
    <cellStyle name="Style 71 15 2" xfId="29849" xr:uid="{8C73A103-96F2-4F5A-90C2-CB2FC405C1FF}"/>
    <cellStyle name="Style 71 2" xfId="3193" xr:uid="{34E232AF-B7D9-4211-9D61-E80CDC79B13C}"/>
    <cellStyle name="Style 71 2 10" xfId="10889" xr:uid="{914C37EE-84C2-4A4C-A412-47F18A46C576}"/>
    <cellStyle name="Style 71 2 10 2" xfId="29850" xr:uid="{A7CDDA5D-7E90-458C-A992-749929DA5036}"/>
    <cellStyle name="Style 71 2 11" xfId="10890" xr:uid="{6A627A15-5E40-4035-8A38-098F497F778C}"/>
    <cellStyle name="Style 71 2 11 2" xfId="29851" xr:uid="{BD085D12-7526-419F-A901-B47F65A394FE}"/>
    <cellStyle name="Style 71 2 12" xfId="10891" xr:uid="{7C20BCDA-7306-45F5-B32E-B4062897A120}"/>
    <cellStyle name="Style 71 2 12 2" xfId="29852" xr:uid="{9EB213FB-DBC0-4BA5-8EE6-FEBD88051BFC}"/>
    <cellStyle name="Style 71 2 13" xfId="10892" xr:uid="{E4349C7E-C30C-4068-9F30-CABB80FAB333}"/>
    <cellStyle name="Style 71 2 13 2" xfId="29853" xr:uid="{3635151D-B72E-4A57-BA78-E2E5D7CE323B}"/>
    <cellStyle name="Style 71 2 2" xfId="3194" xr:uid="{6E94518A-DFF9-4C30-8BB0-55B6944C0568}"/>
    <cellStyle name="Style 71 2 2 10" xfId="10893" xr:uid="{B739F6AF-B6A9-47DB-BE00-45E095A2CD83}"/>
    <cellStyle name="Style 71 2 2 10 2" xfId="29854" xr:uid="{5131A497-9489-4FFE-9658-24B26D0606E9}"/>
    <cellStyle name="Style 71 2 2 11" xfId="10894" xr:uid="{22E3618D-4503-490B-A753-717C465A1373}"/>
    <cellStyle name="Style 71 2 2 11 2" xfId="29855" xr:uid="{B1B3738B-5F66-4D21-89F4-E408BC700295}"/>
    <cellStyle name="Style 71 2 2 12" xfId="10895" xr:uid="{8C60C246-2427-4DE2-8B38-334B6F8E8F0F}"/>
    <cellStyle name="Style 71 2 2 12 2" xfId="29856" xr:uid="{2C0EA22F-03D6-4CF5-B425-C79A8AAE79EE}"/>
    <cellStyle name="Style 71 2 2 2" xfId="3195" xr:uid="{F6E00E1E-75C6-4BEB-8E58-344220FC6489}"/>
    <cellStyle name="Style 71 2 2 2 10" xfId="10896" xr:uid="{7A6AC146-204C-4635-A7CC-347BB5A3FEB9}"/>
    <cellStyle name="Style 71 2 2 2 10 2" xfId="29857" xr:uid="{C29EEB80-FE49-4A34-AAAC-D014816736B9}"/>
    <cellStyle name="Style 71 2 2 2 11" xfId="10897" xr:uid="{9B098FF1-DB7F-4758-AC7B-B0043C453DDF}"/>
    <cellStyle name="Style 71 2 2 2 11 2" xfId="29858" xr:uid="{FD314C51-DC5F-4754-8B4A-F06885663233}"/>
    <cellStyle name="Style 71 2 2 2 2" xfId="3196" xr:uid="{9A9A01CE-AF6B-4FED-A91B-8FE75CA29718}"/>
    <cellStyle name="Style 71 2 2 2 2 10" xfId="10898" xr:uid="{FED3F9C1-3F17-4E61-9BEF-4AB8B04EECF4}"/>
    <cellStyle name="Style 71 2 2 2 2 10 2" xfId="29859" xr:uid="{5278FCE2-D3BE-498E-B3E0-22AEC7E6832C}"/>
    <cellStyle name="Style 71 2 2 2 2 2" xfId="3197" xr:uid="{3C18CF6B-4194-4AB8-808D-C0B5420BA423}"/>
    <cellStyle name="Style 71 2 2 2 2 2 2" xfId="10899" xr:uid="{0196A02A-43FD-4147-A778-8872EFB6F9A3}"/>
    <cellStyle name="Style 71 2 2 2 2 2 2 2" xfId="10900" xr:uid="{8193F877-1164-43DC-BE1F-340472D9733B}"/>
    <cellStyle name="Style 71 2 2 2 2 2 2 2 2" xfId="29860" xr:uid="{86AC3EA5-A3EC-414E-965E-D7AA122889F2}"/>
    <cellStyle name="Style 71 2 2 2 2 2 3" xfId="10901" xr:uid="{FF0C050F-5AAA-4F6A-91F5-96A24320D8DC}"/>
    <cellStyle name="Style 71 2 2 2 2 2 3 2" xfId="29861" xr:uid="{D993D3FA-757A-46E3-8C12-D880A827AB10}"/>
    <cellStyle name="Style 71 2 2 2 2 2 4" xfId="10902" xr:uid="{ED5A4C40-AB98-4E7D-889D-64A1545304D9}"/>
    <cellStyle name="Style 71 2 2 2 2 2 4 2" xfId="29862" xr:uid="{88446AC0-988D-4858-983F-4347F30D8A7B}"/>
    <cellStyle name="Style 71 2 2 2 2 2 5" xfId="10903" xr:uid="{35B56D49-5C9F-41A4-92A4-3866D01B7ED6}"/>
    <cellStyle name="Style 71 2 2 2 2 2 5 2" xfId="29863" xr:uid="{A5C95622-176F-4567-86B9-8A2080808983}"/>
    <cellStyle name="Style 71 2 2 2 2 2 6" xfId="10904" xr:uid="{BD990EA9-0417-4DBE-84A6-403A4D5AEAAC}"/>
    <cellStyle name="Style 71 2 2 2 2 2 6 2" xfId="29864" xr:uid="{FE76B375-8472-4349-9BD2-443312A15D35}"/>
    <cellStyle name="Style 71 2 2 2 2 2 7" xfId="10905" xr:uid="{3F7BB0FF-7D02-4B41-848F-B7876016DB17}"/>
    <cellStyle name="Style 71 2 2 2 2 2 7 2" xfId="29865" xr:uid="{765BACE2-035D-462B-8432-0F183A897CAE}"/>
    <cellStyle name="Style 71 2 2 2 2 2 8" xfId="10906" xr:uid="{FCBD056B-470B-49A3-B65F-E3AC065B9C5F}"/>
    <cellStyle name="Style 71 2 2 2 2 2 8 2" xfId="29866" xr:uid="{7E576FE4-D1F7-4D41-BDF5-5C4C1536ABBD}"/>
    <cellStyle name="Style 71 2 2 2 2 3" xfId="10907" xr:uid="{09077CB1-B2EF-4A02-889A-A0BE7EC6F459}"/>
    <cellStyle name="Style 71 2 2 2 2 3 2" xfId="10908" xr:uid="{50242590-739B-4D94-96D9-B9AF86C33C49}"/>
    <cellStyle name="Style 71 2 2 2 2 3 2 2" xfId="29867" xr:uid="{60C99AAC-DB72-4AF2-821A-5604AAC058AD}"/>
    <cellStyle name="Style 71 2 2 2 2 4" xfId="10909" xr:uid="{1D1E3153-230F-475E-A693-4B5A1FACFE2E}"/>
    <cellStyle name="Style 71 2 2 2 2 4 2" xfId="29868" xr:uid="{FCA754D8-CA43-4930-A59C-B43DDD131A99}"/>
    <cellStyle name="Style 71 2 2 2 2 5" xfId="10910" xr:uid="{CD863F73-7BBD-440A-BE05-E25BBCAE0D35}"/>
    <cellStyle name="Style 71 2 2 2 2 5 2" xfId="29869" xr:uid="{E9845B88-4F8E-4759-920D-C4BABD867BF2}"/>
    <cellStyle name="Style 71 2 2 2 2 6" xfId="10911" xr:uid="{E616786C-462F-4227-B437-888A165AF8A0}"/>
    <cellStyle name="Style 71 2 2 2 2 6 2" xfId="29870" xr:uid="{BA9FB9B5-75C8-4A1F-B4A5-8B45189052CB}"/>
    <cellStyle name="Style 71 2 2 2 2 7" xfId="10912" xr:uid="{2A36E944-3769-483A-93B7-6C2F8455B4CA}"/>
    <cellStyle name="Style 71 2 2 2 2 7 2" xfId="29871" xr:uid="{99DD72E5-D487-426F-BD04-A8823220C374}"/>
    <cellStyle name="Style 71 2 2 2 2 8" xfId="10913" xr:uid="{FD472262-A2AE-480E-AF83-6BEC0AA16F31}"/>
    <cellStyle name="Style 71 2 2 2 2 8 2" xfId="29872" xr:uid="{961C9B8B-3B24-4C6E-A81E-FBEEAD37F434}"/>
    <cellStyle name="Style 71 2 2 2 2 9" xfId="10914" xr:uid="{51C49B3A-B6CB-4A7B-975D-A9E40EEE9CD0}"/>
    <cellStyle name="Style 71 2 2 2 2 9 2" xfId="29873" xr:uid="{1C26294E-7AA3-43DF-A8F1-0FF50F85F918}"/>
    <cellStyle name="Style 71 2 2 2 3" xfId="3198" xr:uid="{CDFBD91D-711D-4088-A27D-0D81383FD0EA}"/>
    <cellStyle name="Style 71 2 2 2 3 2" xfId="10915" xr:uid="{CED647F6-6896-43EE-B8E1-DB35FBE0303B}"/>
    <cellStyle name="Style 71 2 2 2 3 2 2" xfId="10916" xr:uid="{972C6D2D-9A15-4927-AC9C-7FBC7E038FFB}"/>
    <cellStyle name="Style 71 2 2 2 3 2 2 2" xfId="29874" xr:uid="{140B7AA9-8AFB-41F8-90B8-CA840AC32CE2}"/>
    <cellStyle name="Style 71 2 2 2 3 3" xfId="10917" xr:uid="{668109EA-181D-41CD-90CE-A20FC5B9EA45}"/>
    <cellStyle name="Style 71 2 2 2 3 3 2" xfId="29875" xr:uid="{D0E9CE76-DD63-4C58-B9B5-18E4E1596287}"/>
    <cellStyle name="Style 71 2 2 2 3 4" xfId="10918" xr:uid="{C8ED6B4B-0C2B-46BB-8B7E-FC72D0DE858A}"/>
    <cellStyle name="Style 71 2 2 2 3 4 2" xfId="29876" xr:uid="{906F9EAD-49C3-44F8-8A43-088806D4BF77}"/>
    <cellStyle name="Style 71 2 2 2 3 5" xfId="10919" xr:uid="{E1BB82A1-D01A-4A10-AB7B-6506683FA2D6}"/>
    <cellStyle name="Style 71 2 2 2 3 5 2" xfId="29877" xr:uid="{88282246-D06C-481F-A984-60FC876009DF}"/>
    <cellStyle name="Style 71 2 2 2 3 6" xfId="10920" xr:uid="{ACDEA47F-A5C2-4C87-ABC2-DB318CB43EA2}"/>
    <cellStyle name="Style 71 2 2 2 3 6 2" xfId="29878" xr:uid="{E80BE84C-EAF7-44F9-8265-8AA8A9B958A9}"/>
    <cellStyle name="Style 71 2 2 2 3 7" xfId="10921" xr:uid="{E7FCEF8E-ECFD-41CE-9B7D-98AF1016B9F8}"/>
    <cellStyle name="Style 71 2 2 2 3 7 2" xfId="29879" xr:uid="{A6C17DA1-E198-4DCE-A3B9-0850AE163A19}"/>
    <cellStyle name="Style 71 2 2 2 3 8" xfId="10922" xr:uid="{A6AA8E1E-0CA3-42B4-B4C9-C9C44436E1E6}"/>
    <cellStyle name="Style 71 2 2 2 3 8 2" xfId="29880" xr:uid="{FFE7B3EF-5FEB-4D18-903C-950184327F9B}"/>
    <cellStyle name="Style 71 2 2 2 4" xfId="10923" xr:uid="{E494D628-4840-4EEA-9862-B5FB897F218E}"/>
    <cellStyle name="Style 71 2 2 2 4 2" xfId="10924" xr:uid="{8B3F4BB4-8218-4565-A2B3-260D70504320}"/>
    <cellStyle name="Style 71 2 2 2 4 2 2" xfId="29881" xr:uid="{78BB096C-6018-4298-B838-9BE64C2E2C89}"/>
    <cellStyle name="Style 71 2 2 2 5" xfId="10925" xr:uid="{AF061703-05C0-4F2A-ACB0-6009C60F132F}"/>
    <cellStyle name="Style 71 2 2 2 5 2" xfId="29882" xr:uid="{52F9DD9A-1964-45C6-9CA1-C1C2574F9BF9}"/>
    <cellStyle name="Style 71 2 2 2 6" xfId="10926" xr:uid="{D26B7AD2-9EFD-4370-BAAC-132823BD64E7}"/>
    <cellStyle name="Style 71 2 2 2 6 2" xfId="29883" xr:uid="{97DA3A8A-C014-43A4-96A8-98CA67BE805D}"/>
    <cellStyle name="Style 71 2 2 2 7" xfId="10927" xr:uid="{5EA80354-2084-48EF-BA90-00F49C2BA1DA}"/>
    <cellStyle name="Style 71 2 2 2 7 2" xfId="29884" xr:uid="{51C77B82-82A2-471A-A4D1-A07C00F5088D}"/>
    <cellStyle name="Style 71 2 2 2 8" xfId="10928" xr:uid="{4C6B6F03-0763-4D3C-8119-07BEC5457986}"/>
    <cellStyle name="Style 71 2 2 2 8 2" xfId="29885" xr:uid="{4FAE3B77-C112-4B79-8718-F67C6F8E2617}"/>
    <cellStyle name="Style 71 2 2 2 9" xfId="10929" xr:uid="{D2C46D81-DA80-4BD5-9B96-17105D6B6376}"/>
    <cellStyle name="Style 71 2 2 2 9 2" xfId="29886" xr:uid="{1E2F7AF9-FBEE-4ECF-A07A-874596C9346C}"/>
    <cellStyle name="Style 71 2 2 3" xfId="3199" xr:uid="{3DC218E5-8F85-4483-8234-199DE2C8D187}"/>
    <cellStyle name="Style 71 2 2 3 10" xfId="10930" xr:uid="{5358D98D-A87C-4C5E-A1BF-2CF403E2D3F2}"/>
    <cellStyle name="Style 71 2 2 3 10 2" xfId="29887" xr:uid="{F31E1313-F2AA-4186-9B1F-05330F6F00CE}"/>
    <cellStyle name="Style 71 2 2 3 2" xfId="3200" xr:uid="{A11A08C4-3D58-40B9-B011-2C08D97FD6C3}"/>
    <cellStyle name="Style 71 2 2 3 2 2" xfId="10931" xr:uid="{FD31ACB1-5485-4AD5-BE4A-4423A5AFCCB8}"/>
    <cellStyle name="Style 71 2 2 3 2 2 2" xfId="10932" xr:uid="{0430B71F-CE93-4EDF-933F-65848D6A1343}"/>
    <cellStyle name="Style 71 2 2 3 2 2 2 2" xfId="29888" xr:uid="{2BEB06F0-679D-48E7-8CDC-A71DEC7F7A64}"/>
    <cellStyle name="Style 71 2 2 3 2 3" xfId="10933" xr:uid="{A3B8BEE6-1F10-4E15-A4F2-21538FA46D03}"/>
    <cellStyle name="Style 71 2 2 3 2 3 2" xfId="29889" xr:uid="{BB0A4558-2C1C-4635-9565-13EBF77AE6B0}"/>
    <cellStyle name="Style 71 2 2 3 2 4" xfId="10934" xr:uid="{2374929F-0489-4CB5-A9A7-2CA110E0D591}"/>
    <cellStyle name="Style 71 2 2 3 2 4 2" xfId="29890" xr:uid="{03FFD456-F106-43B2-8E9C-FEB0821A24B3}"/>
    <cellStyle name="Style 71 2 2 3 2 5" xfId="10935" xr:uid="{2FCE0933-8E75-4BF9-832A-BA2536936F7E}"/>
    <cellStyle name="Style 71 2 2 3 2 5 2" xfId="29891" xr:uid="{32FBDB9A-C23C-46F2-97C0-BFA8C2A5DDEA}"/>
    <cellStyle name="Style 71 2 2 3 2 6" xfId="10936" xr:uid="{6EBE337E-26FA-4D0D-B577-E25AC8774379}"/>
    <cellStyle name="Style 71 2 2 3 2 6 2" xfId="29892" xr:uid="{9BC09CD5-C1EA-4641-B296-F00BE65C192B}"/>
    <cellStyle name="Style 71 2 2 3 2 7" xfId="10937" xr:uid="{41B63524-A05E-49AB-9BF5-0C1F69777AA4}"/>
    <cellStyle name="Style 71 2 2 3 2 7 2" xfId="29893" xr:uid="{58C8E026-4483-42F9-9E8B-43F764AF9ADF}"/>
    <cellStyle name="Style 71 2 2 3 2 8" xfId="10938" xr:uid="{E5596699-1644-4757-AD6B-D79352E73A2D}"/>
    <cellStyle name="Style 71 2 2 3 2 8 2" xfId="29894" xr:uid="{BD76E4FE-8A30-4982-B37B-8EB1E5D607DF}"/>
    <cellStyle name="Style 71 2 2 3 3" xfId="10939" xr:uid="{E8B6B827-BB32-4C98-899D-E6CBECF773BE}"/>
    <cellStyle name="Style 71 2 2 3 3 2" xfId="10940" xr:uid="{1FFD9115-918D-43D2-85B4-DED1AFB56B3A}"/>
    <cellStyle name="Style 71 2 2 3 3 2 2" xfId="29895" xr:uid="{81AA2882-6EFE-4ED6-A22A-9AEE82793162}"/>
    <cellStyle name="Style 71 2 2 3 4" xfId="10941" xr:uid="{DC313571-FFE1-4D38-8F87-4D32E9386C66}"/>
    <cellStyle name="Style 71 2 2 3 4 2" xfId="29896" xr:uid="{7DC37C84-6BE3-4418-AE84-5490E6302564}"/>
    <cellStyle name="Style 71 2 2 3 5" xfId="10942" xr:uid="{921F7FF3-072A-4C7A-99BB-88A49CD9C0C0}"/>
    <cellStyle name="Style 71 2 2 3 5 2" xfId="29897" xr:uid="{8A58873A-C131-4325-9D9F-3030B64181F8}"/>
    <cellStyle name="Style 71 2 2 3 6" xfId="10943" xr:uid="{08AB3071-C08A-4AF6-B934-2EBE91884E7A}"/>
    <cellStyle name="Style 71 2 2 3 6 2" xfId="29898" xr:uid="{EBED677A-784F-4AEC-AC67-4F0F9D3687C0}"/>
    <cellStyle name="Style 71 2 2 3 7" xfId="10944" xr:uid="{11939038-0E01-499C-A9B3-188C01600437}"/>
    <cellStyle name="Style 71 2 2 3 7 2" xfId="29899" xr:uid="{F2484051-E3C9-4F14-A905-EB9A11255AB4}"/>
    <cellStyle name="Style 71 2 2 3 8" xfId="10945" xr:uid="{54C3B70D-7F21-4815-B989-64E2306451DC}"/>
    <cellStyle name="Style 71 2 2 3 8 2" xfId="29900" xr:uid="{2F7C49EE-1C3F-4A07-A2E2-63BAF7488F97}"/>
    <cellStyle name="Style 71 2 2 3 9" xfId="10946" xr:uid="{1BBF011A-DAEE-4DAB-8BA4-B3BFA8D6DECB}"/>
    <cellStyle name="Style 71 2 2 3 9 2" xfId="29901" xr:uid="{16C92046-449B-4541-BBE0-F8E776BF85CF}"/>
    <cellStyle name="Style 71 2 2 4" xfId="3201" xr:uid="{F1C7913A-780B-41C7-A3ED-B24297475C7C}"/>
    <cellStyle name="Style 71 2 2 4 2" xfId="10947" xr:uid="{1AEE0CCB-A6CD-4C34-9B39-036CAF9BF9E4}"/>
    <cellStyle name="Style 71 2 2 4 2 2" xfId="10948" xr:uid="{0AD8F330-97A3-4EA9-A617-D35F6DE2DFEE}"/>
    <cellStyle name="Style 71 2 2 4 2 2 2" xfId="29902" xr:uid="{A1CC1ECA-84E6-4A25-BC01-944ED4DD2FB4}"/>
    <cellStyle name="Style 71 2 2 4 3" xfId="10949" xr:uid="{1D4B75D6-2589-4CD4-A716-ADA93FA10F1A}"/>
    <cellStyle name="Style 71 2 2 4 3 2" xfId="29903" xr:uid="{A8DD718A-DA61-4B8A-A083-68F5C6222AE5}"/>
    <cellStyle name="Style 71 2 2 4 4" xfId="10950" xr:uid="{7F1C668F-F5C0-4DF6-A619-42B7C96F5532}"/>
    <cellStyle name="Style 71 2 2 4 4 2" xfId="29904" xr:uid="{EA430DFD-67C8-43DC-BD72-77FD92B40E00}"/>
    <cellStyle name="Style 71 2 2 4 5" xfId="10951" xr:uid="{278BCA58-A4E5-49EC-8FF3-CA2EE641B89B}"/>
    <cellStyle name="Style 71 2 2 4 5 2" xfId="29905" xr:uid="{277E8F27-A399-40F4-9091-F9BFFFB7A178}"/>
    <cellStyle name="Style 71 2 2 4 6" xfId="10952" xr:uid="{74985F12-315A-45ED-9F72-3D1DEFD35C52}"/>
    <cellStyle name="Style 71 2 2 4 6 2" xfId="29906" xr:uid="{DA9CF6C1-D012-4513-87A8-6E887B96E321}"/>
    <cellStyle name="Style 71 2 2 4 7" xfId="10953" xr:uid="{9F6061C7-7E66-44E5-AEF2-7AEFE36C8A60}"/>
    <cellStyle name="Style 71 2 2 4 7 2" xfId="29907" xr:uid="{319D2009-E617-4D71-853A-56A6A144EB5B}"/>
    <cellStyle name="Style 71 2 2 4 8" xfId="10954" xr:uid="{1C1C8733-8979-48B5-BEA3-8D2767CCE30B}"/>
    <cellStyle name="Style 71 2 2 4 8 2" xfId="29908" xr:uid="{C4C3AC46-C004-4D6B-9C82-7BD36B3060D0}"/>
    <cellStyle name="Style 71 2 2 5" xfId="10955" xr:uid="{37E2AF75-FD01-41C5-A907-0D0CE8D8FA53}"/>
    <cellStyle name="Style 71 2 2 5 2" xfId="10956" xr:uid="{24EA924A-558A-438C-8E21-D087658AC4D5}"/>
    <cellStyle name="Style 71 2 2 5 2 2" xfId="29909" xr:uid="{DF77A22D-B15C-41B2-8068-A7F9C598E650}"/>
    <cellStyle name="Style 71 2 2 6" xfId="10957" xr:uid="{F10E851D-47F6-4660-AAA9-451E069FBEFF}"/>
    <cellStyle name="Style 71 2 2 6 2" xfId="29910" xr:uid="{2AF5D1A0-AB87-4598-AF34-FB15114EFC27}"/>
    <cellStyle name="Style 71 2 2 7" xfId="10958" xr:uid="{C5DC9D5C-A49E-4E52-A947-33A7D204444E}"/>
    <cellStyle name="Style 71 2 2 7 2" xfId="29911" xr:uid="{CF0EAA1F-EFA9-4DBF-A007-11CB7F208BA1}"/>
    <cellStyle name="Style 71 2 2 8" xfId="10959" xr:uid="{3F818005-4EDA-4B1F-8F65-1DE6A089E36C}"/>
    <cellStyle name="Style 71 2 2 8 2" xfId="29912" xr:uid="{A90ADBCA-0851-4415-98C6-D1362E5B1058}"/>
    <cellStyle name="Style 71 2 2 9" xfId="10960" xr:uid="{0E463153-8249-49B4-9F46-88E3FB561E24}"/>
    <cellStyle name="Style 71 2 2 9 2" xfId="29913" xr:uid="{030B0CDE-24C6-41C2-8B84-9A58EFDE1420}"/>
    <cellStyle name="Style 71 2 3" xfId="3202" xr:uid="{D673FDC7-C40A-4068-A245-8447BD5F4776}"/>
    <cellStyle name="Style 71 2 3 10" xfId="10961" xr:uid="{34E5DBB8-C5D1-4651-A4E2-78A333F7AF56}"/>
    <cellStyle name="Style 71 2 3 10 2" xfId="29914" xr:uid="{BF008226-6789-48F7-8736-4CD55972D8AA}"/>
    <cellStyle name="Style 71 2 3 11" xfId="10962" xr:uid="{EEC3D768-4643-493C-9E5A-BFA4C38C37C4}"/>
    <cellStyle name="Style 71 2 3 11 2" xfId="29915" xr:uid="{6C4AAD31-308C-4697-968D-F7737CDE63B8}"/>
    <cellStyle name="Style 71 2 3 2" xfId="3203" xr:uid="{B944BB98-68FB-43E5-A6E2-98735FF537F7}"/>
    <cellStyle name="Style 71 2 3 2 10" xfId="10963" xr:uid="{CE4BDF04-2D2C-4E70-B3DB-BF81F8575D56}"/>
    <cellStyle name="Style 71 2 3 2 10 2" xfId="29916" xr:uid="{BD214643-D4CF-43C6-80B5-4D1D95B06676}"/>
    <cellStyle name="Style 71 2 3 2 2" xfId="3204" xr:uid="{9B2CB19A-E562-4CB8-9B7E-A56B86AA3A88}"/>
    <cellStyle name="Style 71 2 3 2 2 2" xfId="10964" xr:uid="{4907568C-984E-4016-98B9-796289021EC5}"/>
    <cellStyle name="Style 71 2 3 2 2 2 2" xfId="10965" xr:uid="{0F8D4572-8256-45AC-866C-EEEA57703D81}"/>
    <cellStyle name="Style 71 2 3 2 2 2 2 2" xfId="29917" xr:uid="{CE7B7635-DC6A-446D-9F15-2A18D17B065B}"/>
    <cellStyle name="Style 71 2 3 2 2 3" xfId="10966" xr:uid="{89745A63-67EC-4280-8B45-81E6825FAE27}"/>
    <cellStyle name="Style 71 2 3 2 2 3 2" xfId="29918" xr:uid="{0A2D5FD2-3CCD-4486-B5C8-B153865C5A1D}"/>
    <cellStyle name="Style 71 2 3 2 2 4" xfId="10967" xr:uid="{2C11E6A1-0943-43DB-B703-BEE8F4494AD4}"/>
    <cellStyle name="Style 71 2 3 2 2 4 2" xfId="29919" xr:uid="{0F19BA74-63C3-4DCF-8674-FD2C7A874824}"/>
    <cellStyle name="Style 71 2 3 2 2 5" xfId="10968" xr:uid="{94DBC091-D992-47AF-8F5A-704D62DF5734}"/>
    <cellStyle name="Style 71 2 3 2 2 5 2" xfId="29920" xr:uid="{63BF0388-0F92-4686-82CD-376D742A6B25}"/>
    <cellStyle name="Style 71 2 3 2 2 6" xfId="10969" xr:uid="{982AB6AB-B0DF-4DCC-89A9-B61931D2089A}"/>
    <cellStyle name="Style 71 2 3 2 2 6 2" xfId="29921" xr:uid="{DC46362C-2F80-432E-B064-57F49DEE23B2}"/>
    <cellStyle name="Style 71 2 3 2 2 7" xfId="10970" xr:uid="{6D15414C-B363-4624-93D6-0F5BDD74DFE8}"/>
    <cellStyle name="Style 71 2 3 2 2 7 2" xfId="29922" xr:uid="{AD40361A-F633-4968-BE3D-45FF67D556FD}"/>
    <cellStyle name="Style 71 2 3 2 2 8" xfId="10971" xr:uid="{994C58BC-2E09-4A0F-B272-0E2D22DB8B21}"/>
    <cellStyle name="Style 71 2 3 2 2 8 2" xfId="29923" xr:uid="{E2A5F26B-5D90-4619-A1C4-9786076D0F5A}"/>
    <cellStyle name="Style 71 2 3 2 3" xfId="10972" xr:uid="{2D29E096-7EA7-43F8-9BB2-247A7D6697B5}"/>
    <cellStyle name="Style 71 2 3 2 3 2" xfId="10973" xr:uid="{1C0518EB-4A04-4B48-B1B4-5F2BF04229B5}"/>
    <cellStyle name="Style 71 2 3 2 3 2 2" xfId="29924" xr:uid="{73083EA2-2002-440C-BA04-56064FA6806E}"/>
    <cellStyle name="Style 71 2 3 2 4" xfId="10974" xr:uid="{9B1F0719-BEB7-450F-9F8B-BC0981A4E0CA}"/>
    <cellStyle name="Style 71 2 3 2 4 2" xfId="29925" xr:uid="{C3566E75-2B2C-4C6A-BAA6-0158FD68A2D4}"/>
    <cellStyle name="Style 71 2 3 2 5" xfId="10975" xr:uid="{BD2FDE23-CB71-4FF2-9D15-6A6094BF737D}"/>
    <cellStyle name="Style 71 2 3 2 5 2" xfId="29926" xr:uid="{9727EAA1-84AE-4C8C-87DA-D37BF6229846}"/>
    <cellStyle name="Style 71 2 3 2 6" xfId="10976" xr:uid="{64EE514F-3C4B-46FB-8B99-86E990D8FE17}"/>
    <cellStyle name="Style 71 2 3 2 6 2" xfId="29927" xr:uid="{46046406-493F-4FDE-99AE-0CA99CC3C4E2}"/>
    <cellStyle name="Style 71 2 3 2 7" xfId="10977" xr:uid="{F6CA5364-5CC2-4F8C-8F13-1E7D1D082860}"/>
    <cellStyle name="Style 71 2 3 2 7 2" xfId="29928" xr:uid="{8DBAE9C6-104C-463C-9198-10F01A2B25FB}"/>
    <cellStyle name="Style 71 2 3 2 8" xfId="10978" xr:uid="{F2617413-C6ED-485A-BD14-7789AB63C525}"/>
    <cellStyle name="Style 71 2 3 2 8 2" xfId="29929" xr:uid="{9BA48DEA-1CFA-41AF-978C-1EE6761900A2}"/>
    <cellStyle name="Style 71 2 3 2 9" xfId="10979" xr:uid="{982A3D46-41A1-4F4E-BCBA-289AB08CF9B2}"/>
    <cellStyle name="Style 71 2 3 2 9 2" xfId="29930" xr:uid="{25FC794A-2248-4CDB-9286-F368C454BF4D}"/>
    <cellStyle name="Style 71 2 3 3" xfId="3205" xr:uid="{ACC38069-503C-4DA0-9114-3F17AE61FF86}"/>
    <cellStyle name="Style 71 2 3 3 2" xfId="10980" xr:uid="{27514BBA-BC15-4DE6-AE17-366926CA279F}"/>
    <cellStyle name="Style 71 2 3 3 2 2" xfId="10981" xr:uid="{96D1B483-F521-4ADD-BF14-6DBB11AD44EF}"/>
    <cellStyle name="Style 71 2 3 3 2 2 2" xfId="29931" xr:uid="{CEC38C7C-BC38-43A0-BE6F-E3714167BB0D}"/>
    <cellStyle name="Style 71 2 3 3 3" xfId="10982" xr:uid="{E97D0545-BB49-49A4-862B-6E0EAD6E25B7}"/>
    <cellStyle name="Style 71 2 3 3 3 2" xfId="29932" xr:uid="{351AC958-5B32-4E2B-B21D-181E6CFFFEA2}"/>
    <cellStyle name="Style 71 2 3 3 4" xfId="10983" xr:uid="{C9632730-6FF1-48D1-925D-3F09B3D3FFE5}"/>
    <cellStyle name="Style 71 2 3 3 4 2" xfId="29933" xr:uid="{5952C633-A212-4A1D-97BB-51855D4BD416}"/>
    <cellStyle name="Style 71 2 3 3 5" xfId="10984" xr:uid="{45D92BFD-29C9-4B8B-A776-DD50573E3D82}"/>
    <cellStyle name="Style 71 2 3 3 5 2" xfId="29934" xr:uid="{3673EBED-2114-4FE0-9D2A-ABD2CE0338C4}"/>
    <cellStyle name="Style 71 2 3 3 6" xfId="10985" xr:uid="{F01670E4-7A6E-4231-AC2B-88905C6331EB}"/>
    <cellStyle name="Style 71 2 3 3 6 2" xfId="29935" xr:uid="{BC210AD8-3629-492D-B5D8-2836FAD68DFB}"/>
    <cellStyle name="Style 71 2 3 3 7" xfId="10986" xr:uid="{AE73C9AD-4FC0-44E8-A5B2-EA22DDBE76E3}"/>
    <cellStyle name="Style 71 2 3 3 7 2" xfId="29936" xr:uid="{4F418449-1BDD-439F-BB58-0C844487F266}"/>
    <cellStyle name="Style 71 2 3 3 8" xfId="10987" xr:uid="{B9F2BF06-585A-4615-9375-C34842553083}"/>
    <cellStyle name="Style 71 2 3 3 8 2" xfId="29937" xr:uid="{47BEF22D-862F-4117-8569-229AE96BE879}"/>
    <cellStyle name="Style 71 2 3 4" xfId="10988" xr:uid="{E0643697-0E3E-4FFE-8E80-2C91EC86C1FF}"/>
    <cellStyle name="Style 71 2 3 4 2" xfId="10989" xr:uid="{4B03CC9C-FAE5-4B22-8C0B-0BE06CCCA297}"/>
    <cellStyle name="Style 71 2 3 4 2 2" xfId="29938" xr:uid="{B32DA852-C4D2-4FBD-A243-A2028301A7DF}"/>
    <cellStyle name="Style 71 2 3 5" xfId="10990" xr:uid="{8876BA89-951A-4EE8-9977-77ECD2568E91}"/>
    <cellStyle name="Style 71 2 3 5 2" xfId="29939" xr:uid="{07EAE365-A4F3-493C-B00B-FF3F9DCAB33C}"/>
    <cellStyle name="Style 71 2 3 6" xfId="10991" xr:uid="{D4B52F05-2B42-448C-A0B3-0AD98D603E83}"/>
    <cellStyle name="Style 71 2 3 6 2" xfId="29940" xr:uid="{68E0A80D-6B1C-40A2-A7E9-5BD4ACE74206}"/>
    <cellStyle name="Style 71 2 3 7" xfId="10992" xr:uid="{AA3E8B45-EC1D-464E-A4CC-8A364CBA3FFA}"/>
    <cellStyle name="Style 71 2 3 7 2" xfId="29941" xr:uid="{FE23C575-1762-4B24-9C47-E276C18B8E20}"/>
    <cellStyle name="Style 71 2 3 8" xfId="10993" xr:uid="{4F713597-3965-4FD1-868E-B27D8EE95A55}"/>
    <cellStyle name="Style 71 2 3 8 2" xfId="29942" xr:uid="{DDE7A9CA-37B0-4D88-BD0D-CDB669318473}"/>
    <cellStyle name="Style 71 2 3 9" xfId="10994" xr:uid="{B03089F7-EF97-4F3D-9EC2-2BBD3138F7AF}"/>
    <cellStyle name="Style 71 2 3 9 2" xfId="29943" xr:uid="{56FC3AF8-1F51-4F50-A924-3CF77AD19086}"/>
    <cellStyle name="Style 71 2 4" xfId="3206" xr:uid="{D80CF2FE-D4A7-435C-B19F-E1DADE94FAB1}"/>
    <cellStyle name="Style 71 2 4 10" xfId="10995" xr:uid="{48CBE0DD-4854-4180-81EF-4CAC8772285D}"/>
    <cellStyle name="Style 71 2 4 10 2" xfId="29944" xr:uid="{DD7AE7CE-9360-4FD5-8D1F-3013BFE82759}"/>
    <cellStyle name="Style 71 2 4 2" xfId="3207" xr:uid="{25D23E09-1294-4617-B4BB-5E401E450EDC}"/>
    <cellStyle name="Style 71 2 4 2 2" xfId="10996" xr:uid="{C92ECF4E-32C8-4DD1-A7F1-C7393A99B518}"/>
    <cellStyle name="Style 71 2 4 2 2 2" xfId="10997" xr:uid="{76FC5765-D41E-430E-A826-51459F394B92}"/>
    <cellStyle name="Style 71 2 4 2 2 2 2" xfId="29945" xr:uid="{44B0F5D9-9B28-4982-A0F2-9AF38088F7BB}"/>
    <cellStyle name="Style 71 2 4 2 3" xfId="10998" xr:uid="{E25DF1F7-DAC4-49BD-9D3A-18E7439FF949}"/>
    <cellStyle name="Style 71 2 4 2 3 2" xfId="29946" xr:uid="{6FB5BA4C-654B-4ABB-AAD3-C85ED37C3496}"/>
    <cellStyle name="Style 71 2 4 2 4" xfId="10999" xr:uid="{B7079968-DAC5-4B0E-81DF-0723FCA96CE9}"/>
    <cellStyle name="Style 71 2 4 2 4 2" xfId="29947" xr:uid="{CB09FE84-AB76-44A9-9D6F-34F7E582FAA6}"/>
    <cellStyle name="Style 71 2 4 2 5" xfId="11000" xr:uid="{6AD64170-22DD-4211-AA92-20DE90B46624}"/>
    <cellStyle name="Style 71 2 4 2 5 2" xfId="29948" xr:uid="{5DE9AE5A-619E-4F5D-9861-537B270084FC}"/>
    <cellStyle name="Style 71 2 4 2 6" xfId="11001" xr:uid="{8F98C0B2-BAE7-4211-8E10-751873BEBEA3}"/>
    <cellStyle name="Style 71 2 4 2 6 2" xfId="29949" xr:uid="{F7C30029-01DD-42AB-92E3-2FE4E108A614}"/>
    <cellStyle name="Style 71 2 4 2 7" xfId="11002" xr:uid="{6F06606C-3CF2-414B-B651-CBFF5A44C96D}"/>
    <cellStyle name="Style 71 2 4 2 7 2" xfId="29950" xr:uid="{8B817EA8-2767-42D1-BAAD-B23283F79EB4}"/>
    <cellStyle name="Style 71 2 4 2 8" xfId="11003" xr:uid="{FFFFDB0B-8EAC-49C6-AFC3-22D66164FEC9}"/>
    <cellStyle name="Style 71 2 4 2 8 2" xfId="29951" xr:uid="{ED3DA7E1-ABF0-40B7-AE7E-9E903EE0CCB6}"/>
    <cellStyle name="Style 71 2 4 3" xfId="11004" xr:uid="{D4B184A3-F25D-4714-A4A7-5D75582C4783}"/>
    <cellStyle name="Style 71 2 4 3 2" xfId="11005" xr:uid="{E1054FD9-93E9-4914-B929-A7936073A87C}"/>
    <cellStyle name="Style 71 2 4 3 2 2" xfId="29952" xr:uid="{CC29EAC1-4BC8-4C4F-A71C-25CE0B62EC42}"/>
    <cellStyle name="Style 71 2 4 4" xfId="11006" xr:uid="{B77FABA0-C544-4CAC-AD29-3F72D4791D10}"/>
    <cellStyle name="Style 71 2 4 4 2" xfId="29953" xr:uid="{50701879-634A-4ECD-825D-C6D3DAD611D1}"/>
    <cellStyle name="Style 71 2 4 5" xfId="11007" xr:uid="{333EAA3B-66E5-445E-84AD-E9750AD4BC6A}"/>
    <cellStyle name="Style 71 2 4 5 2" xfId="29954" xr:uid="{85DDF4FA-114F-46B3-B6F0-FB49540D5539}"/>
    <cellStyle name="Style 71 2 4 6" xfId="11008" xr:uid="{2F227DD5-166B-473A-AE2B-FEBDF3A30068}"/>
    <cellStyle name="Style 71 2 4 6 2" xfId="29955" xr:uid="{599C486D-A956-40AA-9687-34A09CA1DC53}"/>
    <cellStyle name="Style 71 2 4 7" xfId="11009" xr:uid="{2466A8E0-750F-4788-BDCC-F442E5C4F0DF}"/>
    <cellStyle name="Style 71 2 4 7 2" xfId="29956" xr:uid="{04FD8769-723D-4159-BBCB-02C503F05CC3}"/>
    <cellStyle name="Style 71 2 4 8" xfId="11010" xr:uid="{4B172233-A834-4ECF-B2C7-3B8A37640845}"/>
    <cellStyle name="Style 71 2 4 8 2" xfId="29957" xr:uid="{C6CA3B33-821B-4938-ADFD-9801D27D1738}"/>
    <cellStyle name="Style 71 2 4 9" xfId="11011" xr:uid="{998569B8-9B41-41C5-9749-779D282E8C34}"/>
    <cellStyle name="Style 71 2 4 9 2" xfId="29958" xr:uid="{C223DFCC-6B42-4995-8658-661CC93CF50E}"/>
    <cellStyle name="Style 71 2 5" xfId="3208" xr:uid="{7231F462-6008-4708-AAD0-C2A876A3E33A}"/>
    <cellStyle name="Style 71 2 5 2" xfId="11012" xr:uid="{C246CDE8-36AB-4EBB-8EB9-609574568AD3}"/>
    <cellStyle name="Style 71 2 5 2 2" xfId="11013" xr:uid="{827DD5BB-05AD-4BED-8B42-725C492A1C58}"/>
    <cellStyle name="Style 71 2 5 2 2 2" xfId="29959" xr:uid="{47D94BC2-A954-452C-B800-8E8F417ADEDF}"/>
    <cellStyle name="Style 71 2 5 3" xfId="11014" xr:uid="{CD08B1A6-1502-4266-924B-41D911E126D6}"/>
    <cellStyle name="Style 71 2 5 3 2" xfId="29960" xr:uid="{82E3ECE8-F64E-4621-AEF8-CBA278A87B39}"/>
    <cellStyle name="Style 71 2 5 4" xfId="11015" xr:uid="{B1D3745B-DD5A-450A-8D07-0D8E96C80E8C}"/>
    <cellStyle name="Style 71 2 5 4 2" xfId="29961" xr:uid="{A3905B92-AB20-430A-89FC-2EBADA60C113}"/>
    <cellStyle name="Style 71 2 5 5" xfId="11016" xr:uid="{97E20C17-3930-471F-8F1B-00372F5FA996}"/>
    <cellStyle name="Style 71 2 5 5 2" xfId="29962" xr:uid="{6C3020B1-2591-4EF3-86C8-083F40623C48}"/>
    <cellStyle name="Style 71 2 5 6" xfId="11017" xr:uid="{37522DFC-1915-4418-8DB9-EDBEE13C105D}"/>
    <cellStyle name="Style 71 2 5 6 2" xfId="29963" xr:uid="{90FBC88C-F447-4BF8-9F71-389191221570}"/>
    <cellStyle name="Style 71 2 5 7" xfId="11018" xr:uid="{F1C32ECC-3EFD-4899-83A7-A43D93482DCC}"/>
    <cellStyle name="Style 71 2 5 7 2" xfId="29964" xr:uid="{0F537B7C-5E9D-4825-ABC0-56D9FDE93C8B}"/>
    <cellStyle name="Style 71 2 5 8" xfId="11019" xr:uid="{59702E07-A7D7-433A-A6DE-BF1559B331C0}"/>
    <cellStyle name="Style 71 2 5 8 2" xfId="29965" xr:uid="{53E1D83A-084E-4BFC-8014-9137A66E2345}"/>
    <cellStyle name="Style 71 2 6" xfId="11020" xr:uid="{01D803A1-9F55-49A9-8B3B-F1FDAC912A1D}"/>
    <cellStyle name="Style 71 2 6 2" xfId="11021" xr:uid="{568ABD29-FCB1-4F43-94D5-2EE925DD48F1}"/>
    <cellStyle name="Style 71 2 6 2 2" xfId="29966" xr:uid="{CDD627C7-FB1F-418D-BE18-0D333DD7F4D8}"/>
    <cellStyle name="Style 71 2 7" xfId="11022" xr:uid="{33C30D96-67FB-4FCB-A215-1529CBAC67AF}"/>
    <cellStyle name="Style 71 2 7 2" xfId="29967" xr:uid="{ED2F6BAB-1069-4A82-8415-7A15734AE2AC}"/>
    <cellStyle name="Style 71 2 8" xfId="11023" xr:uid="{714A1F8E-F27C-441C-A660-E83FEA3668E6}"/>
    <cellStyle name="Style 71 2 8 2" xfId="29968" xr:uid="{08FF5169-E753-41E4-B528-4A4AACFF1D93}"/>
    <cellStyle name="Style 71 2 9" xfId="11024" xr:uid="{50F918D3-019F-4B85-B7AA-F3BB538B798F}"/>
    <cellStyle name="Style 71 2 9 2" xfId="29969" xr:uid="{BB0AB7ED-694B-4A0C-9B29-E9697A9E845D}"/>
    <cellStyle name="Style 71 3" xfId="3209" xr:uid="{8FCE07A4-F25C-48BC-8D5C-A38DA3141892}"/>
    <cellStyle name="Style 71 3 10" xfId="11025" xr:uid="{61FA42E4-FA9A-400F-AEFE-D651C3CB87A5}"/>
    <cellStyle name="Style 71 3 10 2" xfId="29970" xr:uid="{752B9D97-D8DE-48EF-8E66-AEF9B5C97663}"/>
    <cellStyle name="Style 71 3 11" xfId="11026" xr:uid="{B8659260-A824-402D-A2B9-CAB06D5E2E16}"/>
    <cellStyle name="Style 71 3 11 2" xfId="29971" xr:uid="{1A3AFD7D-CC5D-4B1A-90B8-E966C6834251}"/>
    <cellStyle name="Style 71 3 12" xfId="11027" xr:uid="{01339F01-D153-486A-AA93-9AE5600047C4}"/>
    <cellStyle name="Style 71 3 12 2" xfId="29972" xr:uid="{A6E07B9C-9725-40C6-9D4D-4844B77BC963}"/>
    <cellStyle name="Style 71 3 13" xfId="11028" xr:uid="{8FE63FFC-B7D5-4A7C-9EAF-98213F4C79F2}"/>
    <cellStyle name="Style 71 3 13 2" xfId="29973" xr:uid="{015C630F-BB27-4DA1-8E67-ABDFB74088C7}"/>
    <cellStyle name="Style 71 3 2" xfId="3210" xr:uid="{3C5515F3-F4D3-4724-A011-FC2506A94209}"/>
    <cellStyle name="Style 71 3 2 10" xfId="11029" xr:uid="{100A6020-290E-48BB-A135-28CB438911B6}"/>
    <cellStyle name="Style 71 3 2 10 2" xfId="29974" xr:uid="{BCA916C6-283D-4380-979E-3040EC30469A}"/>
    <cellStyle name="Style 71 3 2 11" xfId="11030" xr:uid="{33E93141-A144-4013-ABF3-CA57D23AC763}"/>
    <cellStyle name="Style 71 3 2 11 2" xfId="29975" xr:uid="{5C2AD392-7DEB-451C-9283-87EEB26367AE}"/>
    <cellStyle name="Style 71 3 2 12" xfId="11031" xr:uid="{B0D032B6-2FF9-42B8-BFAD-159A682B4973}"/>
    <cellStyle name="Style 71 3 2 12 2" xfId="29976" xr:uid="{64F82398-BAF6-44AA-ACA5-EF8AD029D8AB}"/>
    <cellStyle name="Style 71 3 2 2" xfId="3211" xr:uid="{E52C263B-8147-4F8F-8591-34F6FBB5DE36}"/>
    <cellStyle name="Style 71 3 2 2 10" xfId="11032" xr:uid="{950F9F27-D4AA-441D-8DFF-0AE670DA3AAF}"/>
    <cellStyle name="Style 71 3 2 2 10 2" xfId="29977" xr:uid="{5EA85D2E-0F31-4182-9BEA-2B37CA40A719}"/>
    <cellStyle name="Style 71 3 2 2 11" xfId="11033" xr:uid="{E1A76506-81E5-4555-8DB4-1364C6DF044F}"/>
    <cellStyle name="Style 71 3 2 2 11 2" xfId="29978" xr:uid="{81356166-5E85-42FE-BDCD-89CAD243C3F1}"/>
    <cellStyle name="Style 71 3 2 2 2" xfId="3212" xr:uid="{B6B328A0-133B-4880-AFF4-E25E4D4CE41C}"/>
    <cellStyle name="Style 71 3 2 2 2 10" xfId="11034" xr:uid="{12BF814E-590C-47BF-B592-BB762A330ABD}"/>
    <cellStyle name="Style 71 3 2 2 2 10 2" xfId="29979" xr:uid="{2936CF9D-A92D-4459-8DCA-960834387C19}"/>
    <cellStyle name="Style 71 3 2 2 2 2" xfId="3213" xr:uid="{6B9883FA-1234-44AE-B9B0-DF16966F368F}"/>
    <cellStyle name="Style 71 3 2 2 2 2 2" xfId="11035" xr:uid="{F71C758F-ADAB-419D-A1FD-710A47A9E0DD}"/>
    <cellStyle name="Style 71 3 2 2 2 2 2 2" xfId="11036" xr:uid="{E8B3801D-5175-49D6-9367-A9E190FC8B65}"/>
    <cellStyle name="Style 71 3 2 2 2 2 2 2 2" xfId="29980" xr:uid="{0B37C2EC-FD0E-41E6-AD40-9FB2B511C6AD}"/>
    <cellStyle name="Style 71 3 2 2 2 2 3" xfId="11037" xr:uid="{16DF9A95-44F3-44F1-B4CB-EB909D5C6D98}"/>
    <cellStyle name="Style 71 3 2 2 2 2 3 2" xfId="29981" xr:uid="{1A204863-AF96-4956-8AAA-0547FEBE7FE4}"/>
    <cellStyle name="Style 71 3 2 2 2 2 4" xfId="11038" xr:uid="{3EAD87E3-24D1-434E-94CD-DD0A7EFEF10A}"/>
    <cellStyle name="Style 71 3 2 2 2 2 4 2" xfId="29982" xr:uid="{AC48D03B-6561-4A39-8C52-1B661215EDE7}"/>
    <cellStyle name="Style 71 3 2 2 2 2 5" xfId="11039" xr:uid="{5897507C-4AE2-4C0C-945C-2CCE105549B0}"/>
    <cellStyle name="Style 71 3 2 2 2 2 5 2" xfId="29983" xr:uid="{6B3552A7-460D-4A1D-ADEF-4A0BA9E32F8E}"/>
    <cellStyle name="Style 71 3 2 2 2 2 6" xfId="11040" xr:uid="{F0CC4524-66CD-47E7-97B2-FB8412A31939}"/>
    <cellStyle name="Style 71 3 2 2 2 2 6 2" xfId="29984" xr:uid="{D556D1EC-ADD3-49B6-96CC-ADB95E8EB70D}"/>
    <cellStyle name="Style 71 3 2 2 2 2 7" xfId="11041" xr:uid="{7287DAD8-52F8-444B-B8FF-CC2B83FE67F0}"/>
    <cellStyle name="Style 71 3 2 2 2 2 7 2" xfId="29985" xr:uid="{599D7B34-F7D1-403F-AD68-A145A59196E2}"/>
    <cellStyle name="Style 71 3 2 2 2 2 8" xfId="11042" xr:uid="{DA257D5D-9615-4D1F-8483-88CDB309CF22}"/>
    <cellStyle name="Style 71 3 2 2 2 2 8 2" xfId="29986" xr:uid="{787D1D32-50EE-443C-B1FF-2D05EBD3527F}"/>
    <cellStyle name="Style 71 3 2 2 2 3" xfId="11043" xr:uid="{C7EAE3F1-E165-41AE-B7F5-A4A5B1356656}"/>
    <cellStyle name="Style 71 3 2 2 2 3 2" xfId="11044" xr:uid="{4D73E6A0-9B39-4BA7-9A8D-47BED21E6B31}"/>
    <cellStyle name="Style 71 3 2 2 2 3 2 2" xfId="29987" xr:uid="{5971FBA7-F69A-44DA-998D-CFC9E4F3C2D7}"/>
    <cellStyle name="Style 71 3 2 2 2 4" xfId="11045" xr:uid="{3F3E8FA3-F913-4DC7-81D5-02B5085DAFE3}"/>
    <cellStyle name="Style 71 3 2 2 2 4 2" xfId="29988" xr:uid="{C4C662B6-F00F-4005-B273-1A7E1AAD107F}"/>
    <cellStyle name="Style 71 3 2 2 2 5" xfId="11046" xr:uid="{0FAE5B03-4492-4988-8394-8B98DABE8FEB}"/>
    <cellStyle name="Style 71 3 2 2 2 5 2" xfId="29989" xr:uid="{01FE6C15-2BF0-4AFB-9DD4-2EB613741256}"/>
    <cellStyle name="Style 71 3 2 2 2 6" xfId="11047" xr:uid="{99157268-740C-4DD3-8260-5EE20A0DB463}"/>
    <cellStyle name="Style 71 3 2 2 2 6 2" xfId="29990" xr:uid="{F0877CC4-7012-490D-BB54-E0F6D14F9E91}"/>
    <cellStyle name="Style 71 3 2 2 2 7" xfId="11048" xr:uid="{1DF6AC82-A27E-47C7-BC3A-B8D2EA07A447}"/>
    <cellStyle name="Style 71 3 2 2 2 7 2" xfId="29991" xr:uid="{5E7DBC29-B74E-46BD-91D5-A8CB51C4BAF9}"/>
    <cellStyle name="Style 71 3 2 2 2 8" xfId="11049" xr:uid="{A36CB3B0-DCF5-4A04-898F-6C6AD67BF987}"/>
    <cellStyle name="Style 71 3 2 2 2 8 2" xfId="29992" xr:uid="{386425AA-851F-4BC1-9DAB-FA9F72389FB9}"/>
    <cellStyle name="Style 71 3 2 2 2 9" xfId="11050" xr:uid="{64298E04-19F7-4771-B5A9-233BCC4E3E51}"/>
    <cellStyle name="Style 71 3 2 2 2 9 2" xfId="29993" xr:uid="{FCD31344-1DE5-490D-B4F4-87DB61698729}"/>
    <cellStyle name="Style 71 3 2 2 3" xfId="3214" xr:uid="{E0911E58-A652-4AA7-B430-24EC4A8F2609}"/>
    <cellStyle name="Style 71 3 2 2 3 2" xfId="11051" xr:uid="{A45A8143-2B0C-4EF3-A459-A7F8F845E6F5}"/>
    <cellStyle name="Style 71 3 2 2 3 2 2" xfId="11052" xr:uid="{43440A4F-A2B5-4B5A-8D36-099C46F94986}"/>
    <cellStyle name="Style 71 3 2 2 3 2 2 2" xfId="29994" xr:uid="{830CE1A3-566B-4B27-B930-A51A76184556}"/>
    <cellStyle name="Style 71 3 2 2 3 3" xfId="11053" xr:uid="{ACC2D2AB-8C5F-4317-9232-64326559686F}"/>
    <cellStyle name="Style 71 3 2 2 3 3 2" xfId="29995" xr:uid="{F99A26D6-CB94-419B-AE91-60570D276E51}"/>
    <cellStyle name="Style 71 3 2 2 3 4" xfId="11054" xr:uid="{03FF741C-77D0-4AAE-BED6-34A1B27A0844}"/>
    <cellStyle name="Style 71 3 2 2 3 4 2" xfId="29996" xr:uid="{F3E45B8F-3963-4719-89C9-5CBB0C1B51C0}"/>
    <cellStyle name="Style 71 3 2 2 3 5" xfId="11055" xr:uid="{A3032924-13E3-4B8A-A628-D995E5A84975}"/>
    <cellStyle name="Style 71 3 2 2 3 5 2" xfId="29997" xr:uid="{13DFBD05-7688-4356-A1C4-1663DD053C54}"/>
    <cellStyle name="Style 71 3 2 2 3 6" xfId="11056" xr:uid="{43CEE3D9-9837-4822-BD5B-EA217FD20D0B}"/>
    <cellStyle name="Style 71 3 2 2 3 6 2" xfId="29998" xr:uid="{949153C0-5365-4968-9D2D-8A0BAFB4D48A}"/>
    <cellStyle name="Style 71 3 2 2 3 7" xfId="11057" xr:uid="{2BB2434F-2DDE-4E64-83DE-39EBC0632606}"/>
    <cellStyle name="Style 71 3 2 2 3 7 2" xfId="29999" xr:uid="{ACDE7265-5DE5-41B1-83AC-B6D1D0FC17D0}"/>
    <cellStyle name="Style 71 3 2 2 3 8" xfId="11058" xr:uid="{0426792B-4CB7-43D1-9A2E-CAA5ED5A8104}"/>
    <cellStyle name="Style 71 3 2 2 3 8 2" xfId="30000" xr:uid="{70DD5593-EC7F-49C8-ABF2-35F32D0AF9F6}"/>
    <cellStyle name="Style 71 3 2 2 4" xfId="11059" xr:uid="{40CAB34F-0651-4A25-AE4E-38AAEF86282E}"/>
    <cellStyle name="Style 71 3 2 2 4 2" xfId="11060" xr:uid="{B1BA02EE-73B5-4E42-9CAC-7387ABEA2BD1}"/>
    <cellStyle name="Style 71 3 2 2 4 2 2" xfId="30001" xr:uid="{3C583D66-7254-4EA3-B49C-6A5B73E45FD1}"/>
    <cellStyle name="Style 71 3 2 2 5" xfId="11061" xr:uid="{C3528941-03E2-41F3-9620-BF8FB76E2E90}"/>
    <cellStyle name="Style 71 3 2 2 5 2" xfId="30002" xr:uid="{84C480CD-7862-4577-9EB8-F7FB475D189C}"/>
    <cellStyle name="Style 71 3 2 2 6" xfId="11062" xr:uid="{2020E634-7A68-4242-961D-BD211924976C}"/>
    <cellStyle name="Style 71 3 2 2 6 2" xfId="30003" xr:uid="{9A4B4EFF-44C4-4142-B7AD-38A823AA56D1}"/>
    <cellStyle name="Style 71 3 2 2 7" xfId="11063" xr:uid="{B08528F6-6C7E-45F7-BFE9-E2431D0055E2}"/>
    <cellStyle name="Style 71 3 2 2 7 2" xfId="30004" xr:uid="{0D5E63F5-1DE0-4B49-B2E8-6E4B4B0924F6}"/>
    <cellStyle name="Style 71 3 2 2 8" xfId="11064" xr:uid="{D3DCE959-8C11-4CFB-AC28-A908DE6EB062}"/>
    <cellStyle name="Style 71 3 2 2 8 2" xfId="30005" xr:uid="{B95DBA32-A788-4AE6-B346-C9CA88F442EA}"/>
    <cellStyle name="Style 71 3 2 2 9" xfId="11065" xr:uid="{EC89C9D1-4FB5-4233-95FC-1BDF6F3CB102}"/>
    <cellStyle name="Style 71 3 2 2 9 2" xfId="30006" xr:uid="{AF288F90-A26F-44A0-AD30-DD8A34455E2E}"/>
    <cellStyle name="Style 71 3 2 3" xfId="3215" xr:uid="{A258BB1A-54F2-44FD-A47D-21476E782955}"/>
    <cellStyle name="Style 71 3 2 3 10" xfId="11066" xr:uid="{D1286A5A-6EB5-490C-A0A3-163AD3CA4C75}"/>
    <cellStyle name="Style 71 3 2 3 10 2" xfId="30007" xr:uid="{83624222-918C-474F-855D-9E2E5EE81B2B}"/>
    <cellStyle name="Style 71 3 2 3 2" xfId="3216" xr:uid="{C00CE6A5-80B9-4FB3-BE96-DC0EFADE0884}"/>
    <cellStyle name="Style 71 3 2 3 2 2" xfId="11067" xr:uid="{994BEFDE-62B2-4376-B7EB-50477588794F}"/>
    <cellStyle name="Style 71 3 2 3 2 2 2" xfId="11068" xr:uid="{46D21DE5-057C-4078-A566-C2AB3BCF3E92}"/>
    <cellStyle name="Style 71 3 2 3 2 2 2 2" xfId="30008" xr:uid="{F07045A5-AA86-425C-A69B-C3EB0A688E7B}"/>
    <cellStyle name="Style 71 3 2 3 2 3" xfId="11069" xr:uid="{75353309-92FD-4028-B8CF-E4A6E23125C0}"/>
    <cellStyle name="Style 71 3 2 3 2 3 2" xfId="30009" xr:uid="{24F611F1-284E-4EAE-892F-D202DF5CD27D}"/>
    <cellStyle name="Style 71 3 2 3 2 4" xfId="11070" xr:uid="{FA76D2CA-4A82-4FF2-A0D0-86DF2A3BB1B5}"/>
    <cellStyle name="Style 71 3 2 3 2 4 2" xfId="30010" xr:uid="{23A58E3E-02BB-4569-8F5F-F26746D4BF00}"/>
    <cellStyle name="Style 71 3 2 3 2 5" xfId="11071" xr:uid="{59843981-A57C-4FB7-A00D-29E9461C0D95}"/>
    <cellStyle name="Style 71 3 2 3 2 5 2" xfId="30011" xr:uid="{EC4A3A59-69F2-4916-81C4-B48E9D0F699D}"/>
    <cellStyle name="Style 71 3 2 3 2 6" xfId="11072" xr:uid="{1EE8E05B-6B4B-482C-93A1-559E9FF842FF}"/>
    <cellStyle name="Style 71 3 2 3 2 6 2" xfId="30012" xr:uid="{5829182A-AEDB-4D0E-9403-8B95FC4ABCFC}"/>
    <cellStyle name="Style 71 3 2 3 2 7" xfId="11073" xr:uid="{8B5AB3F5-D081-4D4C-A06A-1C26A6516B2B}"/>
    <cellStyle name="Style 71 3 2 3 2 7 2" xfId="30013" xr:uid="{98B76A1E-15D3-499F-8127-2852630D4C23}"/>
    <cellStyle name="Style 71 3 2 3 2 8" xfId="11074" xr:uid="{613369D0-223A-40DE-A8D9-5376E7A86C10}"/>
    <cellStyle name="Style 71 3 2 3 2 8 2" xfId="30014" xr:uid="{E62C76D8-0A7C-4288-818F-5062D3AED4E3}"/>
    <cellStyle name="Style 71 3 2 3 3" xfId="11075" xr:uid="{2E2C739D-11AA-488C-8F7B-6AA84B889F0C}"/>
    <cellStyle name="Style 71 3 2 3 3 2" xfId="11076" xr:uid="{D844D5FE-669A-4DC9-8601-250AF8723E8B}"/>
    <cellStyle name="Style 71 3 2 3 3 2 2" xfId="30015" xr:uid="{85F70F7E-E881-4645-AA3A-20C81857F76A}"/>
    <cellStyle name="Style 71 3 2 3 4" xfId="11077" xr:uid="{27E58908-4642-476A-ABF0-7B44099810BD}"/>
    <cellStyle name="Style 71 3 2 3 4 2" xfId="30016" xr:uid="{B6C5C254-1782-493B-9AFA-FFEE4BF6E63F}"/>
    <cellStyle name="Style 71 3 2 3 5" xfId="11078" xr:uid="{DD8C61B2-354B-4EF0-B454-A8D30A572151}"/>
    <cellStyle name="Style 71 3 2 3 5 2" xfId="30017" xr:uid="{4C6C2413-F2EC-4795-91FE-4EB552F46269}"/>
    <cellStyle name="Style 71 3 2 3 6" xfId="11079" xr:uid="{654BDB22-1058-4BC1-8039-3A62A9CDEE8E}"/>
    <cellStyle name="Style 71 3 2 3 6 2" xfId="30018" xr:uid="{4DFF530D-95CF-415C-B1C9-8FB3AE4973AC}"/>
    <cellStyle name="Style 71 3 2 3 7" xfId="11080" xr:uid="{62502534-6F22-4F2D-AEAF-F654365B0474}"/>
    <cellStyle name="Style 71 3 2 3 7 2" xfId="30019" xr:uid="{67AFD991-1F30-45B6-9167-2627A1C5B7AA}"/>
    <cellStyle name="Style 71 3 2 3 8" xfId="11081" xr:uid="{B1326982-729D-49F6-AF3C-9721522C95DB}"/>
    <cellStyle name="Style 71 3 2 3 8 2" xfId="30020" xr:uid="{2AA71E86-969A-44CF-9722-0B5A7A65B624}"/>
    <cellStyle name="Style 71 3 2 3 9" xfId="11082" xr:uid="{ED74898F-BE3F-4AF4-9A06-1BF1B084C37E}"/>
    <cellStyle name="Style 71 3 2 3 9 2" xfId="30021" xr:uid="{32E9C213-D563-4CCC-80B7-07028C73CE6D}"/>
    <cellStyle name="Style 71 3 2 4" xfId="3217" xr:uid="{C9572F20-75AC-40C4-A57D-D8E522583B19}"/>
    <cellStyle name="Style 71 3 2 4 2" xfId="11083" xr:uid="{1D0768F4-93F5-4B64-87B7-08C1F00AD482}"/>
    <cellStyle name="Style 71 3 2 4 2 2" xfId="11084" xr:uid="{9E99089C-BA28-4AE1-9A32-A410FA3266ED}"/>
    <cellStyle name="Style 71 3 2 4 2 2 2" xfId="30022" xr:uid="{F046B64F-F199-498B-8A7D-3A5BB6929DDD}"/>
    <cellStyle name="Style 71 3 2 4 3" xfId="11085" xr:uid="{246C883F-806D-4B36-8214-4D2FB3C3B294}"/>
    <cellStyle name="Style 71 3 2 4 3 2" xfId="30023" xr:uid="{092B9EF0-3CCA-45E5-9E47-BDD81B2CF99F}"/>
    <cellStyle name="Style 71 3 2 4 4" xfId="11086" xr:uid="{459BF01B-4603-46FE-A8DD-E553E1EBD3E4}"/>
    <cellStyle name="Style 71 3 2 4 4 2" xfId="30024" xr:uid="{709525D3-39E2-424D-877B-31CB6D640CDE}"/>
    <cellStyle name="Style 71 3 2 4 5" xfId="11087" xr:uid="{6E91A92E-6454-4D79-B51E-328D5ED647B3}"/>
    <cellStyle name="Style 71 3 2 4 5 2" xfId="30025" xr:uid="{64AB830A-4589-4082-B7A5-254A20AE5D9B}"/>
    <cellStyle name="Style 71 3 2 4 6" xfId="11088" xr:uid="{407C9C84-E0B7-47FF-BA1C-C792362BCC90}"/>
    <cellStyle name="Style 71 3 2 4 6 2" xfId="30026" xr:uid="{878F93AF-7A8B-4EBF-B35F-B914B89DE750}"/>
    <cellStyle name="Style 71 3 2 4 7" xfId="11089" xr:uid="{4ABD9BE7-8389-47BE-8257-89CA31FB719D}"/>
    <cellStyle name="Style 71 3 2 4 7 2" xfId="30027" xr:uid="{B0C3AAF1-15FE-4654-A7E5-08C446BA6FA5}"/>
    <cellStyle name="Style 71 3 2 4 8" xfId="11090" xr:uid="{A23CBAB4-1ECF-456C-A9E7-E927EC7E8E1B}"/>
    <cellStyle name="Style 71 3 2 4 8 2" xfId="30028" xr:uid="{CA7ADF91-2D73-4164-A5EF-6BCA16E75940}"/>
    <cellStyle name="Style 71 3 2 5" xfId="11091" xr:uid="{AE95A5DE-EB5E-4556-91D9-5DF681C87A11}"/>
    <cellStyle name="Style 71 3 2 5 2" xfId="11092" xr:uid="{3F5F8226-6B18-454A-A1A3-47E5C97DBD7B}"/>
    <cellStyle name="Style 71 3 2 5 2 2" xfId="30029" xr:uid="{1AA55D4D-53AA-491F-94B2-EF7C4F89731F}"/>
    <cellStyle name="Style 71 3 2 6" xfId="11093" xr:uid="{F545BDD2-EFA6-4B3C-B3BE-A39DA3BEA00C}"/>
    <cellStyle name="Style 71 3 2 6 2" xfId="30030" xr:uid="{84D0B59E-3D40-4A77-8C47-E9E3F5CE141B}"/>
    <cellStyle name="Style 71 3 2 7" xfId="11094" xr:uid="{3DB8D298-CC47-432B-930D-68F801A8DCD6}"/>
    <cellStyle name="Style 71 3 2 7 2" xfId="30031" xr:uid="{568255F2-EF5F-4766-B7F4-4E5D3F860547}"/>
    <cellStyle name="Style 71 3 2 8" xfId="11095" xr:uid="{29476F7C-75E7-45DE-A323-F89A516BF47E}"/>
    <cellStyle name="Style 71 3 2 8 2" xfId="30032" xr:uid="{2341E4EB-3A3F-4DF8-BC1E-AA6745E40EB6}"/>
    <cellStyle name="Style 71 3 2 9" xfId="11096" xr:uid="{2DC9CF85-7D77-4471-B349-5728615B58C6}"/>
    <cellStyle name="Style 71 3 2 9 2" xfId="30033" xr:uid="{DA323D8D-9FCE-4417-8202-CA76AC2B5746}"/>
    <cellStyle name="Style 71 3 3" xfId="3218" xr:uid="{CD0F5BBE-8043-4C86-BF70-520F48297650}"/>
    <cellStyle name="Style 71 3 3 10" xfId="11097" xr:uid="{D4DA4871-A6B2-4253-9D4F-91E54CC0D399}"/>
    <cellStyle name="Style 71 3 3 10 2" xfId="30034" xr:uid="{060BE259-2668-4E81-9CF4-937F9546108D}"/>
    <cellStyle name="Style 71 3 3 11" xfId="11098" xr:uid="{EB849206-511F-4627-8391-E7EDDDA76E57}"/>
    <cellStyle name="Style 71 3 3 11 2" xfId="30035" xr:uid="{25FC4E49-A8BD-4515-BDA2-C10CEF1251D9}"/>
    <cellStyle name="Style 71 3 3 2" xfId="3219" xr:uid="{74CF1F5D-C762-4C3E-9F46-379ABBB121BB}"/>
    <cellStyle name="Style 71 3 3 2 10" xfId="11099" xr:uid="{C086527F-BDB1-46BE-8371-FDA11FCF1952}"/>
    <cellStyle name="Style 71 3 3 2 10 2" xfId="30036" xr:uid="{896580A9-9578-45EC-A325-646D31A2DC85}"/>
    <cellStyle name="Style 71 3 3 2 11" xfId="11100" xr:uid="{E0ECD5BB-4578-41B4-A802-908D1119055C}"/>
    <cellStyle name="Style 71 3 3 2 11 2" xfId="30037" xr:uid="{58BBE7C5-AC4F-4E7A-BC7C-978496AACE22}"/>
    <cellStyle name="Style 71 3 3 2 2" xfId="3220" xr:uid="{6624CBAE-8BFE-4025-8A28-8D847677035B}"/>
    <cellStyle name="Style 71 3 3 2 2 10" xfId="11101" xr:uid="{F2362ED0-8C59-4A33-8C43-B11ED5EBFCCF}"/>
    <cellStyle name="Style 71 3 3 2 2 10 2" xfId="30038" xr:uid="{C1E56A26-07A4-4864-BC5B-D10601670DD4}"/>
    <cellStyle name="Style 71 3 3 2 2 2" xfId="3221" xr:uid="{37C51AAF-3F1C-4E5A-9B64-70B91976BDE1}"/>
    <cellStyle name="Style 71 3 3 2 2 2 2" xfId="11102" xr:uid="{99270E49-47A0-4E94-8E92-B4B6E8297BBF}"/>
    <cellStyle name="Style 71 3 3 2 2 2 2 2" xfId="11103" xr:uid="{103B614B-375E-46A5-9834-AF4D235087E4}"/>
    <cellStyle name="Style 71 3 3 2 2 2 2 2 2" xfId="30039" xr:uid="{AF1F55DA-08C4-4690-866F-99C85F980F97}"/>
    <cellStyle name="Style 71 3 3 2 2 2 3" xfId="11104" xr:uid="{4B61AF06-85ED-4B39-9562-75A7890D7697}"/>
    <cellStyle name="Style 71 3 3 2 2 2 3 2" xfId="30040" xr:uid="{935EC6E8-A566-403A-921E-67543DCC59BB}"/>
    <cellStyle name="Style 71 3 3 2 2 2 4" xfId="11105" xr:uid="{042A19D0-D646-4D4F-8089-0AA115969095}"/>
    <cellStyle name="Style 71 3 3 2 2 2 4 2" xfId="30041" xr:uid="{3DB69161-2FD5-4F1E-9741-45F3111EF80F}"/>
    <cellStyle name="Style 71 3 3 2 2 2 5" xfId="11106" xr:uid="{4CA11086-6B6B-4D1C-AB0D-6B7562B3B567}"/>
    <cellStyle name="Style 71 3 3 2 2 2 5 2" xfId="30042" xr:uid="{3E174434-9AE1-4961-A16F-45ED037E1594}"/>
    <cellStyle name="Style 71 3 3 2 2 2 6" xfId="11107" xr:uid="{1F159F0C-5CA6-448D-861C-DD0DE35545F5}"/>
    <cellStyle name="Style 71 3 3 2 2 2 6 2" xfId="30043" xr:uid="{532ACF32-0608-4259-915F-98235DB49FC6}"/>
    <cellStyle name="Style 71 3 3 2 2 2 7" xfId="11108" xr:uid="{9E8A839F-A3C0-4A1A-B546-F9A35630A1EC}"/>
    <cellStyle name="Style 71 3 3 2 2 2 7 2" xfId="30044" xr:uid="{40AFB272-F744-4EF4-8126-7EEAA2E71660}"/>
    <cellStyle name="Style 71 3 3 2 2 2 8" xfId="11109" xr:uid="{D155F218-8BB6-4E7E-ACCD-481BCD5232CD}"/>
    <cellStyle name="Style 71 3 3 2 2 2 8 2" xfId="30045" xr:uid="{A80D9618-0778-4996-A613-A4F72CBD2449}"/>
    <cellStyle name="Style 71 3 3 2 2 3" xfId="11110" xr:uid="{2626B0C3-4F08-47F3-9DF1-DE9F9217A49E}"/>
    <cellStyle name="Style 71 3 3 2 2 3 2" xfId="11111" xr:uid="{6B947EF5-65B0-44D9-BD80-8D1DF7BA44DA}"/>
    <cellStyle name="Style 71 3 3 2 2 3 2 2" xfId="30046" xr:uid="{69729CD3-57AB-447C-81A6-5B2DF274C87B}"/>
    <cellStyle name="Style 71 3 3 2 2 4" xfId="11112" xr:uid="{C962BC38-E9E1-470A-8277-3E0C3C382981}"/>
    <cellStyle name="Style 71 3 3 2 2 4 2" xfId="30047" xr:uid="{F91F675A-E7D5-42C0-A123-AB549013E323}"/>
    <cellStyle name="Style 71 3 3 2 2 5" xfId="11113" xr:uid="{0AA7AED4-3EED-4017-A69A-A53AFF51DC63}"/>
    <cellStyle name="Style 71 3 3 2 2 5 2" xfId="30048" xr:uid="{4AB60478-4A34-4D6D-BA2B-CBAAD75AF17D}"/>
    <cellStyle name="Style 71 3 3 2 2 6" xfId="11114" xr:uid="{F5940592-0383-435C-B66D-5F995349CA46}"/>
    <cellStyle name="Style 71 3 3 2 2 6 2" xfId="30049" xr:uid="{2893EE77-5D82-4AC7-ABD4-59E3B6D9F8CB}"/>
    <cellStyle name="Style 71 3 3 2 2 7" xfId="11115" xr:uid="{F1F7BE02-A87B-453B-A3CE-D1F91360B9A8}"/>
    <cellStyle name="Style 71 3 3 2 2 7 2" xfId="30050" xr:uid="{371C4A4F-48CE-4E83-A3FC-A2CF9B51AA8C}"/>
    <cellStyle name="Style 71 3 3 2 2 8" xfId="11116" xr:uid="{FE611911-4692-467C-8478-3A967149D86E}"/>
    <cellStyle name="Style 71 3 3 2 2 8 2" xfId="30051" xr:uid="{18183FEB-1E2C-4E20-A55B-3BAE505C968D}"/>
    <cellStyle name="Style 71 3 3 2 2 9" xfId="11117" xr:uid="{052508A1-BEA4-4ED0-9921-7D68974EE609}"/>
    <cellStyle name="Style 71 3 3 2 2 9 2" xfId="30052" xr:uid="{03FF9016-1688-4FA7-9CC2-020A47CA5D97}"/>
    <cellStyle name="Style 71 3 3 2 3" xfId="3222" xr:uid="{905ED0D6-B2B8-47FE-953C-F51575D2414F}"/>
    <cellStyle name="Style 71 3 3 2 3 2" xfId="11118" xr:uid="{0E70F908-E801-49F3-ADE5-6C777523EC76}"/>
    <cellStyle name="Style 71 3 3 2 3 2 2" xfId="11119" xr:uid="{A237BB1C-F73F-4D51-92B4-D2B266374862}"/>
    <cellStyle name="Style 71 3 3 2 3 2 2 2" xfId="30053" xr:uid="{E0F6D6B8-6A96-472D-87B6-F4CD7E30928D}"/>
    <cellStyle name="Style 71 3 3 2 3 3" xfId="11120" xr:uid="{E97431B3-C2F9-4AC6-8D94-D273871ADECD}"/>
    <cellStyle name="Style 71 3 3 2 3 3 2" xfId="30054" xr:uid="{95C735AF-D5AC-406D-B69C-B0ACC15240F5}"/>
    <cellStyle name="Style 71 3 3 2 3 4" xfId="11121" xr:uid="{29C76E2F-0FFE-49AF-A3FA-D8309ED292B7}"/>
    <cellStyle name="Style 71 3 3 2 3 4 2" xfId="30055" xr:uid="{D1C9471E-5585-4660-83E5-B45BC9C08292}"/>
    <cellStyle name="Style 71 3 3 2 3 5" xfId="11122" xr:uid="{A92B1BF5-0D85-4C1B-A258-C3EB50EBA335}"/>
    <cellStyle name="Style 71 3 3 2 3 5 2" xfId="30056" xr:uid="{B1C90AA4-4A2F-4C34-803F-985C275962D7}"/>
    <cellStyle name="Style 71 3 3 2 3 6" xfId="11123" xr:uid="{4871DBE9-9673-4FF2-8267-0605F4475C3D}"/>
    <cellStyle name="Style 71 3 3 2 3 6 2" xfId="30057" xr:uid="{4A219C17-D54B-483E-BCEE-7D12207FCE1F}"/>
    <cellStyle name="Style 71 3 3 2 3 7" xfId="11124" xr:uid="{DEC6C225-EE39-4A50-9DF3-8558085369F2}"/>
    <cellStyle name="Style 71 3 3 2 3 7 2" xfId="30058" xr:uid="{B55EB658-9134-419C-8AB5-0BF98CBD3702}"/>
    <cellStyle name="Style 71 3 3 2 3 8" xfId="11125" xr:uid="{45D3B198-47F5-4DF2-919F-977BE038AD9C}"/>
    <cellStyle name="Style 71 3 3 2 3 8 2" xfId="30059" xr:uid="{6AFCA029-A751-4814-93E0-8A55DA81E8FC}"/>
    <cellStyle name="Style 71 3 3 2 4" xfId="11126" xr:uid="{F8F5E840-79B5-484B-A4CB-02888B597F44}"/>
    <cellStyle name="Style 71 3 3 2 4 2" xfId="11127" xr:uid="{2A0573BA-F17F-4D34-A872-4620C31B372A}"/>
    <cellStyle name="Style 71 3 3 2 4 2 2" xfId="30060" xr:uid="{25833D68-BCBC-4E82-B285-11E4EC543A87}"/>
    <cellStyle name="Style 71 3 3 2 5" xfId="11128" xr:uid="{116C0D5C-8FA3-47E1-A3BC-86396035BF9B}"/>
    <cellStyle name="Style 71 3 3 2 5 2" xfId="30061" xr:uid="{2DFC1CD7-0FC1-4CCB-A19E-14176593C8F8}"/>
    <cellStyle name="Style 71 3 3 2 6" xfId="11129" xr:uid="{BFADE8E5-3DEC-4C48-B8BD-A5D3B744C4A2}"/>
    <cellStyle name="Style 71 3 3 2 6 2" xfId="30062" xr:uid="{97F8DF31-0C7C-432C-B3A7-7EA71BE36424}"/>
    <cellStyle name="Style 71 3 3 2 7" xfId="11130" xr:uid="{412C1EDC-9AE8-447A-AC57-2E575737304C}"/>
    <cellStyle name="Style 71 3 3 2 7 2" xfId="30063" xr:uid="{04E421C2-C8B8-458C-A629-8D014590BDB6}"/>
    <cellStyle name="Style 71 3 3 2 8" xfId="11131" xr:uid="{68033F5E-6D70-4235-8F56-C07613F8FD99}"/>
    <cellStyle name="Style 71 3 3 2 8 2" xfId="30064" xr:uid="{27A13EAA-D42B-42ED-A3E4-8D783C975439}"/>
    <cellStyle name="Style 71 3 3 2 9" xfId="11132" xr:uid="{14658A08-37A0-4896-9252-4862987B98C9}"/>
    <cellStyle name="Style 71 3 3 2 9 2" xfId="30065" xr:uid="{318BEE6E-E975-44C3-BC44-D25BF3FE3B2D}"/>
    <cellStyle name="Style 71 3 3 3" xfId="3223" xr:uid="{C7850BE8-2AA8-4D89-80C9-BF03E132FD98}"/>
    <cellStyle name="Style 71 3 3 3 2" xfId="11133" xr:uid="{79B9E985-E156-43EE-A970-218A1D0196DC}"/>
    <cellStyle name="Style 71 3 3 3 2 2" xfId="11134" xr:uid="{451A3FEA-73DC-4C00-9962-839E8E7CD76F}"/>
    <cellStyle name="Style 71 3 3 3 2 2 2" xfId="30066" xr:uid="{F4ED8895-42EF-4F27-B3A4-799BA0319842}"/>
    <cellStyle name="Style 71 3 3 3 3" xfId="11135" xr:uid="{680FEAFA-7465-44FB-8E9A-CA1D4D48C75E}"/>
    <cellStyle name="Style 71 3 3 3 3 2" xfId="30067" xr:uid="{2B23A249-7B7F-4272-BF8C-DABC30636DAE}"/>
    <cellStyle name="Style 71 3 3 3 4" xfId="11136" xr:uid="{11FB137B-83AA-4939-9A6F-3AD5DE4302C0}"/>
    <cellStyle name="Style 71 3 3 3 4 2" xfId="30068" xr:uid="{757C099D-8E51-476E-AB59-6058AA087679}"/>
    <cellStyle name="Style 71 3 3 3 5" xfId="11137" xr:uid="{87712D2F-B8BB-43FB-A307-BBDBD11FEA9F}"/>
    <cellStyle name="Style 71 3 3 3 5 2" xfId="30069" xr:uid="{EA6541E1-3FA9-436D-903E-76057C8BE9E9}"/>
    <cellStyle name="Style 71 3 3 3 6" xfId="11138" xr:uid="{3D22479E-A7DC-4F0D-94F9-341F2DEA3803}"/>
    <cellStyle name="Style 71 3 3 3 6 2" xfId="30070" xr:uid="{EE9A71DB-80D5-415C-9842-06EDAABA22B6}"/>
    <cellStyle name="Style 71 3 3 3 7" xfId="11139" xr:uid="{4273DFF9-4F8F-4C55-9D80-E5CE0899056C}"/>
    <cellStyle name="Style 71 3 3 3 7 2" xfId="30071" xr:uid="{EF4D0FF4-3910-4FF0-9A6B-4140B4219540}"/>
    <cellStyle name="Style 71 3 3 3 8" xfId="11140" xr:uid="{B1AC1A06-24D2-4646-AE2D-7FF00ADCDE3F}"/>
    <cellStyle name="Style 71 3 3 3 8 2" xfId="30072" xr:uid="{3E1A6A0D-BD25-43AC-A421-30D25B207081}"/>
    <cellStyle name="Style 71 3 3 3 9" xfId="11141" xr:uid="{B413D55F-8110-4ABB-95DE-4ED4B068A1A2}"/>
    <cellStyle name="Style 71 3 3 3 9 2" xfId="30073" xr:uid="{90066B46-CFE1-4BEF-8A1B-12C443B67B5D}"/>
    <cellStyle name="Style 71 3 3 4" xfId="6676" xr:uid="{89DFCA7E-ABEF-4DCC-B626-746B40ED815F}"/>
    <cellStyle name="Style 71 3 3 4 2" xfId="11142" xr:uid="{BB1A5994-BEA5-4DFA-91D4-0E4AA60679A3}"/>
    <cellStyle name="Style 71 3 3 4 2 2" xfId="30074" xr:uid="{E53F55B4-E921-4833-BDA0-741C93906380}"/>
    <cellStyle name="Style 71 3 3 5" xfId="11143" xr:uid="{EE5933CA-502E-424A-B51E-00B5656DFFC8}"/>
    <cellStyle name="Style 71 3 3 5 2" xfId="11144" xr:uid="{EB8F226C-D43F-47A2-9D98-D08F18FB6DD0}"/>
    <cellStyle name="Style 71 3 3 5 2 2" xfId="30075" xr:uid="{27AFD61F-83B2-4ECA-B78E-BB9AEF1CA033}"/>
    <cellStyle name="Style 71 3 3 6" xfId="11145" xr:uid="{9FD7DFFA-F2DD-4DD5-937F-B34E6F620BC5}"/>
    <cellStyle name="Style 71 3 3 6 2" xfId="30076" xr:uid="{38AA8312-EFE3-4235-A16E-0A66BC85A6D9}"/>
    <cellStyle name="Style 71 3 3 7" xfId="11146" xr:uid="{B59988EB-7952-4368-A5C7-FF27027234D8}"/>
    <cellStyle name="Style 71 3 3 7 2" xfId="30077" xr:uid="{5D88E779-85C3-4612-9612-E25CCEC8C10B}"/>
    <cellStyle name="Style 71 3 3 8" xfId="11147" xr:uid="{F1214292-C39B-458C-A7D0-33EACCDE13F9}"/>
    <cellStyle name="Style 71 3 3 8 2" xfId="30078" xr:uid="{1DE1FD5D-0BAB-4D38-B144-305E5A73AE72}"/>
    <cellStyle name="Style 71 3 3 9" xfId="11148" xr:uid="{F924652F-3F0F-4FAB-B8A0-55A3694636BD}"/>
    <cellStyle name="Style 71 3 3 9 2" xfId="30079" xr:uid="{36794169-940F-4F08-AC49-998896E98E49}"/>
    <cellStyle name="Style 71 3 4" xfId="3224" xr:uid="{AD2B2095-1A68-489E-BE6F-E559795363D9}"/>
    <cellStyle name="Style 71 3 4 10" xfId="11149" xr:uid="{1790B5F4-C392-4702-B79A-F68374F85755}"/>
    <cellStyle name="Style 71 3 4 10 2" xfId="30080" xr:uid="{DDB6F01E-6C9B-4747-A6EA-553336D35E98}"/>
    <cellStyle name="Style 71 3 4 2" xfId="3225" xr:uid="{90FA8E05-F15A-4CDD-93F5-2E7C862732B3}"/>
    <cellStyle name="Style 71 3 4 2 2" xfId="11150" xr:uid="{004F164D-4CBF-4879-BC58-DC0D6E8DC01C}"/>
    <cellStyle name="Style 71 3 4 2 2 2" xfId="11151" xr:uid="{E26DA291-27DF-4D1E-81F9-05D6582C7042}"/>
    <cellStyle name="Style 71 3 4 2 2 2 2" xfId="30081" xr:uid="{89D5D5C3-4883-4903-8A94-4F17F7DEA866}"/>
    <cellStyle name="Style 71 3 4 2 3" xfId="11152" xr:uid="{EBC97C7D-8D35-4128-866B-0FF31677B62D}"/>
    <cellStyle name="Style 71 3 4 2 3 2" xfId="30082" xr:uid="{36388BD1-62DE-4756-AC95-4E853633710F}"/>
    <cellStyle name="Style 71 3 4 2 4" xfId="11153" xr:uid="{98B7CE33-3AC8-4FAC-9C57-4980F8E1DC98}"/>
    <cellStyle name="Style 71 3 4 2 4 2" xfId="30083" xr:uid="{776FC140-7F1D-4303-A729-AC2FBE110F8F}"/>
    <cellStyle name="Style 71 3 4 2 5" xfId="11154" xr:uid="{437CA7C7-92A1-49B6-AD91-CEE0B26046AC}"/>
    <cellStyle name="Style 71 3 4 2 5 2" xfId="30084" xr:uid="{4DCE34AC-EE42-4655-9B36-D8B50A7170DF}"/>
    <cellStyle name="Style 71 3 4 2 6" xfId="11155" xr:uid="{0182CDC3-D329-4AEC-8DBA-BA9C7BD56710}"/>
    <cellStyle name="Style 71 3 4 2 6 2" xfId="30085" xr:uid="{A3514416-C199-4703-86E5-CD9DC0E3C4ED}"/>
    <cellStyle name="Style 71 3 4 2 7" xfId="11156" xr:uid="{0190E8D1-FAEA-4C92-B7C1-C532359812F8}"/>
    <cellStyle name="Style 71 3 4 2 7 2" xfId="30086" xr:uid="{0D5F22DE-7F10-4258-884B-9A832742DA7E}"/>
    <cellStyle name="Style 71 3 4 2 8" xfId="11157" xr:uid="{6EBE5106-0592-4ECD-A01B-7C5EE5B824DF}"/>
    <cellStyle name="Style 71 3 4 2 8 2" xfId="30087" xr:uid="{2D90EC25-5E3A-482E-8E6A-8B7D67FC62E3}"/>
    <cellStyle name="Style 71 3 4 3" xfId="11158" xr:uid="{EEBE966F-82BE-4D91-AA5A-D536FB790637}"/>
    <cellStyle name="Style 71 3 4 3 2" xfId="11159" xr:uid="{C92CA915-F8CA-431C-BF4A-180D5C65A848}"/>
    <cellStyle name="Style 71 3 4 3 2 2" xfId="30088" xr:uid="{4E7AC73F-E055-4DE3-8273-4931E473339B}"/>
    <cellStyle name="Style 71 3 4 4" xfId="11160" xr:uid="{26DB29E7-A099-4A64-A2F4-E2B57834CD41}"/>
    <cellStyle name="Style 71 3 4 4 2" xfId="30089" xr:uid="{6D7D918C-A01A-4F2C-B38E-D7BE4539F8EF}"/>
    <cellStyle name="Style 71 3 4 5" xfId="11161" xr:uid="{925A86AF-7B7E-46EF-A50D-EA154F111D25}"/>
    <cellStyle name="Style 71 3 4 5 2" xfId="30090" xr:uid="{A7FA4307-D30F-4A32-94A7-5CB805B2FB7F}"/>
    <cellStyle name="Style 71 3 4 6" xfId="11162" xr:uid="{1D2A881A-9BD4-4A1B-BFAE-0CE590A38629}"/>
    <cellStyle name="Style 71 3 4 6 2" xfId="30091" xr:uid="{CAB2CCDF-ABD1-4E26-A3EE-C7BF9F7A0630}"/>
    <cellStyle name="Style 71 3 4 7" xfId="11163" xr:uid="{0738FC72-7AF7-41FE-A799-30600E3951CE}"/>
    <cellStyle name="Style 71 3 4 7 2" xfId="30092" xr:uid="{36DFD611-9954-4B47-A687-FFAE795AFA3B}"/>
    <cellStyle name="Style 71 3 4 8" xfId="11164" xr:uid="{A2EBFCF5-B3F9-4CDD-8E6C-C47F76A458B0}"/>
    <cellStyle name="Style 71 3 4 8 2" xfId="30093" xr:uid="{34C9014E-0B07-46C1-8ABB-ADF7DABEF10A}"/>
    <cellStyle name="Style 71 3 4 9" xfId="11165" xr:uid="{640451F8-DCCB-46D6-A33D-3D8D32C4FBFA}"/>
    <cellStyle name="Style 71 3 4 9 2" xfId="30094" xr:uid="{3EF1D23E-067A-4B36-A815-851178B7A0C0}"/>
    <cellStyle name="Style 71 3 5" xfId="3226" xr:uid="{F09D7683-1307-4D38-A747-A1500A3C7E8E}"/>
    <cellStyle name="Style 71 3 5 2" xfId="11166" xr:uid="{6426F8A2-6509-4E3C-9327-49847B45D72E}"/>
    <cellStyle name="Style 71 3 5 2 2" xfId="11167" xr:uid="{E7750C3E-E409-44FE-8B79-3484C51FD07B}"/>
    <cellStyle name="Style 71 3 5 2 2 2" xfId="30095" xr:uid="{95191AEA-8966-4F90-B844-20ABF137D81F}"/>
    <cellStyle name="Style 71 3 5 3" xfId="11168" xr:uid="{7AE1084A-1210-4B92-A8DF-9BBFC0418EE6}"/>
    <cellStyle name="Style 71 3 5 3 2" xfId="30096" xr:uid="{89D2EED2-CFBC-4157-847C-77EEBEB89E73}"/>
    <cellStyle name="Style 71 3 5 4" xfId="11169" xr:uid="{4904DF63-A4F9-43B5-9B18-0B1681ED1B2E}"/>
    <cellStyle name="Style 71 3 5 4 2" xfId="30097" xr:uid="{BE78DEA2-4E41-43BF-96D1-3B31FC972509}"/>
    <cellStyle name="Style 71 3 5 5" xfId="11170" xr:uid="{925EDD8F-8553-487F-B91D-CD18DD026488}"/>
    <cellStyle name="Style 71 3 5 5 2" xfId="30098" xr:uid="{D0B99919-C15D-4CD5-B186-1F013A21015B}"/>
    <cellStyle name="Style 71 3 5 6" xfId="11171" xr:uid="{839AB0FA-76E8-4D66-94E7-569193974FDE}"/>
    <cellStyle name="Style 71 3 5 6 2" xfId="30099" xr:uid="{EEE4595B-5E1B-44A5-B9FB-78D4703FE98A}"/>
    <cellStyle name="Style 71 3 5 7" xfId="11172" xr:uid="{53D7C2CA-7938-4CDE-81B8-1D29F4BAE1BD}"/>
    <cellStyle name="Style 71 3 5 7 2" xfId="30100" xr:uid="{944272C6-0D05-4BDA-B41A-7D175ED14B00}"/>
    <cellStyle name="Style 71 3 5 8" xfId="11173" xr:uid="{4AEC0B60-8897-43F2-B066-D02657985CD6}"/>
    <cellStyle name="Style 71 3 5 8 2" xfId="30101" xr:uid="{B85521B6-4266-4CB1-82C6-90C5C11762CB}"/>
    <cellStyle name="Style 71 3 5 9" xfId="11174" xr:uid="{236CA595-94F2-4C8E-93F7-AA9CC100B0F9}"/>
    <cellStyle name="Style 71 3 5 9 2" xfId="30102" xr:uid="{C02710F3-3419-4C35-961B-DDF05FB929A3}"/>
    <cellStyle name="Style 71 3 6" xfId="11175" xr:uid="{BA2F2983-73A8-44A0-BD01-AEB62DBE36FB}"/>
    <cellStyle name="Style 71 3 6 2" xfId="11176" xr:uid="{AF7B16E0-B721-4EFD-ADD9-55ECF35E943D}"/>
    <cellStyle name="Style 71 3 6 2 2" xfId="30103" xr:uid="{73E4FE02-BBDE-4DC8-BA0C-D0CA66EBE533}"/>
    <cellStyle name="Style 71 3 7" xfId="11177" xr:uid="{FA408F50-FE69-43A2-8155-80F6378E12FF}"/>
    <cellStyle name="Style 71 3 7 2" xfId="30104" xr:uid="{58AB78FF-0E0F-46BC-8F07-DA3F973BCB8E}"/>
    <cellStyle name="Style 71 3 8" xfId="11178" xr:uid="{DE3CDA6F-A546-4458-B278-893C6079DB0A}"/>
    <cellStyle name="Style 71 3 8 2" xfId="30105" xr:uid="{DD409FB2-5DE9-42FA-8D37-E4E19EBBDC04}"/>
    <cellStyle name="Style 71 3 9" xfId="11179" xr:uid="{1ACDFC4D-E52C-4D3C-A52C-3B4BD4393870}"/>
    <cellStyle name="Style 71 3 9 2" xfId="30106" xr:uid="{FCB600EE-3AD7-4EB7-9B77-ECE691C61EC5}"/>
    <cellStyle name="Style 71 4" xfId="3227" xr:uid="{8D092096-6C6F-4E8B-8C72-F01A32F8814D}"/>
    <cellStyle name="Style 71 4 10" xfId="11180" xr:uid="{FBE52A40-3C84-40B8-9511-A2F0996C028E}"/>
    <cellStyle name="Style 71 4 10 2" xfId="30107" xr:uid="{2572E130-D6BD-4A27-8352-40448E693526}"/>
    <cellStyle name="Style 71 4 11" xfId="11181" xr:uid="{2D6CA1E5-650F-4672-BF0B-C789325613C8}"/>
    <cellStyle name="Style 71 4 11 2" xfId="30108" xr:uid="{9E7B7712-11CC-4A5E-979B-D9AC4857B045}"/>
    <cellStyle name="Style 71 4 2" xfId="3228" xr:uid="{58AD9601-4694-4738-9EEB-11201054B3F4}"/>
    <cellStyle name="Style 71 4 2 10" xfId="11182" xr:uid="{FA9E7615-FB06-4CBD-A56A-5BFC76D23D0E}"/>
    <cellStyle name="Style 71 4 2 10 2" xfId="30109" xr:uid="{97C2F174-9882-465C-A66E-79004E768902}"/>
    <cellStyle name="Style 71 4 2 11" xfId="11183" xr:uid="{C237E2CB-DA56-42CE-8F19-E58AFFA34C07}"/>
    <cellStyle name="Style 71 4 2 11 2" xfId="30110" xr:uid="{C4AD54B2-9A9B-4B6E-A4B1-456CC56852EA}"/>
    <cellStyle name="Style 71 4 2 2" xfId="3229" xr:uid="{7445C046-BEB1-437C-9802-935A8406B1E7}"/>
    <cellStyle name="Style 71 4 2 2 10" xfId="11184" xr:uid="{8739BF86-5F93-46FC-8FBA-A40EC4B15242}"/>
    <cellStyle name="Style 71 4 2 2 10 2" xfId="30111" xr:uid="{84200E78-C40C-4ABE-8EC9-27F3E65E89DB}"/>
    <cellStyle name="Style 71 4 2 2 2" xfId="3230" xr:uid="{9E3C36A5-A0F7-40CF-B69D-D824CC03D79E}"/>
    <cellStyle name="Style 71 4 2 2 2 2" xfId="11185" xr:uid="{16B76F06-B70A-48CE-A6EB-F0616234EDF7}"/>
    <cellStyle name="Style 71 4 2 2 2 2 2" xfId="11186" xr:uid="{7876C4E0-1A3A-450B-8B39-1C9F9ABC95EC}"/>
    <cellStyle name="Style 71 4 2 2 2 2 2 2" xfId="30112" xr:uid="{8D50690A-D049-41A6-A118-2DC8A1DE8A2B}"/>
    <cellStyle name="Style 71 4 2 2 2 3" xfId="11187" xr:uid="{B27D73D6-1185-45EE-B635-CCC2C918700F}"/>
    <cellStyle name="Style 71 4 2 2 2 3 2" xfId="30113" xr:uid="{5AAC4762-2B32-4F18-9B29-046CCAD135D6}"/>
    <cellStyle name="Style 71 4 2 2 2 4" xfId="11188" xr:uid="{6185C3AE-7E39-4688-A861-79CA4C5C02F0}"/>
    <cellStyle name="Style 71 4 2 2 2 4 2" xfId="30114" xr:uid="{F4128D48-6302-4DB7-9186-80B474B9A0AA}"/>
    <cellStyle name="Style 71 4 2 2 2 5" xfId="11189" xr:uid="{32FD60A5-8532-41E7-8859-E92F268F5F0F}"/>
    <cellStyle name="Style 71 4 2 2 2 5 2" xfId="30115" xr:uid="{E82C647A-34D8-4CDC-9CAC-2242B9BD9578}"/>
    <cellStyle name="Style 71 4 2 2 2 6" xfId="11190" xr:uid="{10C96106-88BA-4FB5-90AF-59FCA4B2B7E8}"/>
    <cellStyle name="Style 71 4 2 2 2 6 2" xfId="30116" xr:uid="{D9444DBE-71F5-4DDF-A779-CAA4A984FCAB}"/>
    <cellStyle name="Style 71 4 2 2 2 7" xfId="11191" xr:uid="{94F5DDB0-F9C1-4B60-95A3-3DE81E0FDD55}"/>
    <cellStyle name="Style 71 4 2 2 2 7 2" xfId="30117" xr:uid="{E91295E9-D152-4F21-8604-B124AB6D1721}"/>
    <cellStyle name="Style 71 4 2 2 2 8" xfId="11192" xr:uid="{4D49FF60-CA0E-4508-9E2E-37B3A5FEA80C}"/>
    <cellStyle name="Style 71 4 2 2 2 8 2" xfId="30118" xr:uid="{EB5ECE85-CC0C-45D2-B55A-D5BC1A647360}"/>
    <cellStyle name="Style 71 4 2 2 3" xfId="11193" xr:uid="{A310B04D-0CE8-4DF5-8087-797E3879ACBF}"/>
    <cellStyle name="Style 71 4 2 2 3 2" xfId="11194" xr:uid="{E0C0A430-91F3-4D38-A09F-AFC8D20A37D9}"/>
    <cellStyle name="Style 71 4 2 2 3 2 2" xfId="30119" xr:uid="{BA1EE28A-939F-4803-8BD4-36ABC3036FD5}"/>
    <cellStyle name="Style 71 4 2 2 4" xfId="11195" xr:uid="{61CF1A16-EF88-4A55-9F64-1ACAB3258A7D}"/>
    <cellStyle name="Style 71 4 2 2 4 2" xfId="30120" xr:uid="{D16744B1-2964-45D2-9F71-F28EFF35328A}"/>
    <cellStyle name="Style 71 4 2 2 5" xfId="11196" xr:uid="{07D63693-CC45-4465-82FD-ED83298D64D6}"/>
    <cellStyle name="Style 71 4 2 2 5 2" xfId="30121" xr:uid="{8413DC3E-5EB7-4B87-89D4-4B3F62717F4A}"/>
    <cellStyle name="Style 71 4 2 2 6" xfId="11197" xr:uid="{C496CC61-39B9-4A18-9B46-898D582CF39B}"/>
    <cellStyle name="Style 71 4 2 2 6 2" xfId="30122" xr:uid="{6DE4654C-8D61-4957-B8D6-5F807127ACEA}"/>
    <cellStyle name="Style 71 4 2 2 7" xfId="11198" xr:uid="{9687C615-78F9-4626-B935-88032A160760}"/>
    <cellStyle name="Style 71 4 2 2 7 2" xfId="30123" xr:uid="{F0FEECBD-F8F6-489E-84AC-EB6D1C504E6C}"/>
    <cellStyle name="Style 71 4 2 2 8" xfId="11199" xr:uid="{66C53B58-2860-47DF-A8FE-20D2FFB8C860}"/>
    <cellStyle name="Style 71 4 2 2 8 2" xfId="30124" xr:uid="{C0185ACB-DEE6-4C39-875D-6745AB8050F5}"/>
    <cellStyle name="Style 71 4 2 2 9" xfId="11200" xr:uid="{03A2728B-DFA7-4B43-B885-1D446E25FDF7}"/>
    <cellStyle name="Style 71 4 2 2 9 2" xfId="30125" xr:uid="{8DF17D23-FB15-4FBD-A497-88B5B421A83D}"/>
    <cellStyle name="Style 71 4 2 3" xfId="3231" xr:uid="{15215D24-A416-4CEF-85FD-C52C75EF0A4D}"/>
    <cellStyle name="Style 71 4 2 3 2" xfId="11201" xr:uid="{DD6C2D9D-21EE-4B09-804D-DC18CC3078A0}"/>
    <cellStyle name="Style 71 4 2 3 2 2" xfId="11202" xr:uid="{CBA6EB2B-D007-4947-9A0F-6ABB491538E9}"/>
    <cellStyle name="Style 71 4 2 3 2 2 2" xfId="30126" xr:uid="{6A2E8EE0-62BC-40C6-AF7D-899744B37392}"/>
    <cellStyle name="Style 71 4 2 3 3" xfId="11203" xr:uid="{C5637697-7871-47B8-8FF8-1DE3473C9563}"/>
    <cellStyle name="Style 71 4 2 3 3 2" xfId="30127" xr:uid="{9E3F1B41-A5F2-4697-ABE1-7B1A357B1D33}"/>
    <cellStyle name="Style 71 4 2 3 4" xfId="11204" xr:uid="{310A0608-09FE-4570-9D53-037FD7EB5CEC}"/>
    <cellStyle name="Style 71 4 2 3 4 2" xfId="30128" xr:uid="{9428B19D-A00F-44F6-95AD-294053E90FF3}"/>
    <cellStyle name="Style 71 4 2 3 5" xfId="11205" xr:uid="{A32CB7B8-099B-4A96-A53B-59DD0A82F263}"/>
    <cellStyle name="Style 71 4 2 3 5 2" xfId="30129" xr:uid="{2C8EC6CA-7D41-40BD-A557-0E0FF7DA7DF9}"/>
    <cellStyle name="Style 71 4 2 3 6" xfId="11206" xr:uid="{62024C0F-56B7-466E-B675-43F500F055AA}"/>
    <cellStyle name="Style 71 4 2 3 6 2" xfId="30130" xr:uid="{4D58D38F-65B0-4848-9B71-DFAF96E7AF64}"/>
    <cellStyle name="Style 71 4 2 3 7" xfId="11207" xr:uid="{0C36F53F-D835-451A-8168-72DE1855ED93}"/>
    <cellStyle name="Style 71 4 2 3 7 2" xfId="30131" xr:uid="{EBBD5312-344B-4646-B004-9718B07E859A}"/>
    <cellStyle name="Style 71 4 2 3 8" xfId="11208" xr:uid="{4D327641-315A-46B2-B5FF-E5F5151E3429}"/>
    <cellStyle name="Style 71 4 2 3 8 2" xfId="30132" xr:uid="{7F192FEF-E321-422D-B55C-74724FDDF060}"/>
    <cellStyle name="Style 71 4 2 4" xfId="11209" xr:uid="{2C393645-EC30-4D38-8096-7DDBFA8AB7AB}"/>
    <cellStyle name="Style 71 4 2 4 2" xfId="11210" xr:uid="{FB934C35-6BB5-4FEE-9988-E0A3B5D9B45F}"/>
    <cellStyle name="Style 71 4 2 4 2 2" xfId="30133" xr:uid="{2BBE4E09-4CE4-4D5F-B05C-E420DA2D075D}"/>
    <cellStyle name="Style 71 4 2 5" xfId="11211" xr:uid="{B00B1CC8-1870-4BCB-AFB9-87BFD3D30C05}"/>
    <cellStyle name="Style 71 4 2 5 2" xfId="30134" xr:uid="{F2455FE4-588F-4669-B9BE-1160086566F2}"/>
    <cellStyle name="Style 71 4 2 6" xfId="11212" xr:uid="{16A6FE05-F038-4793-880F-54405E81918D}"/>
    <cellStyle name="Style 71 4 2 6 2" xfId="30135" xr:uid="{22263F61-76AA-4883-8719-EDC490128307}"/>
    <cellStyle name="Style 71 4 2 7" xfId="11213" xr:uid="{40541AB4-90E5-4D41-8BB7-729E57832368}"/>
    <cellStyle name="Style 71 4 2 7 2" xfId="30136" xr:uid="{4EEDD6B3-5CBC-4B50-8BE0-5064EACA440B}"/>
    <cellStyle name="Style 71 4 2 8" xfId="11214" xr:uid="{1265937D-2EB1-439F-8DCA-7DDDE9B0F4CD}"/>
    <cellStyle name="Style 71 4 2 8 2" xfId="30137" xr:uid="{4E643D90-7369-44B6-9370-85003A900A69}"/>
    <cellStyle name="Style 71 4 2 9" xfId="11215" xr:uid="{93179094-90DC-482B-9903-F55DD013FB27}"/>
    <cellStyle name="Style 71 4 2 9 2" xfId="30138" xr:uid="{CB421F83-3175-451B-AA4D-1C54D8A7F51F}"/>
    <cellStyle name="Style 71 4 3" xfId="3232" xr:uid="{0980B7F3-8CC3-4536-942D-C45AC91D3337}"/>
    <cellStyle name="Style 71 4 3 2" xfId="11216" xr:uid="{BA618772-D564-471B-9E84-C5494905E539}"/>
    <cellStyle name="Style 71 4 3 2 2" xfId="11217" xr:uid="{BD02AC20-E8AD-43CB-9577-47F72471EA22}"/>
    <cellStyle name="Style 71 4 3 2 2 2" xfId="30139" xr:uid="{8FD75A7A-043E-4570-A054-26385C7C24FC}"/>
    <cellStyle name="Style 71 4 3 3" xfId="11218" xr:uid="{807EF302-1B2A-44B9-AF5B-31E1BFBF2FD3}"/>
    <cellStyle name="Style 71 4 3 3 2" xfId="30140" xr:uid="{A7023E11-E276-4FDE-99B4-F44336836FC7}"/>
    <cellStyle name="Style 71 4 3 4" xfId="11219" xr:uid="{A42109F9-443C-4D57-B5C4-A255C8C7C8D2}"/>
    <cellStyle name="Style 71 4 3 4 2" xfId="30141" xr:uid="{40CC545D-5B90-4F3A-9617-B59AB8523201}"/>
    <cellStyle name="Style 71 4 3 5" xfId="11220" xr:uid="{CB403110-191F-4FA0-84A7-1310A4BF6DE2}"/>
    <cellStyle name="Style 71 4 3 5 2" xfId="30142" xr:uid="{93FFD493-C6C6-487F-BE9D-512CE1AD9432}"/>
    <cellStyle name="Style 71 4 3 6" xfId="11221" xr:uid="{A619467A-CE2F-42F6-9059-039EB04E2E40}"/>
    <cellStyle name="Style 71 4 3 6 2" xfId="30143" xr:uid="{C15D8A4C-A38E-4A18-A49B-847152364706}"/>
    <cellStyle name="Style 71 4 3 7" xfId="11222" xr:uid="{4B826E83-3CBE-4753-A353-E77EAA100552}"/>
    <cellStyle name="Style 71 4 3 7 2" xfId="30144" xr:uid="{6299EFE5-1649-42BC-A6C5-D8B6E10EFAF0}"/>
    <cellStyle name="Style 71 4 3 8" xfId="11223" xr:uid="{C5592F7F-3F8F-4E2C-91E9-CE6889CDD0A4}"/>
    <cellStyle name="Style 71 4 3 8 2" xfId="30145" xr:uid="{8B180F36-B99F-4A94-9136-B81E9E909F15}"/>
    <cellStyle name="Style 71 4 3 9" xfId="11224" xr:uid="{45B85D26-3A7B-49C1-AC68-AF6B9C3B3C7B}"/>
    <cellStyle name="Style 71 4 3 9 2" xfId="30146" xr:uid="{A52A8269-5095-41D5-85C4-D8E97C84FDFD}"/>
    <cellStyle name="Style 71 4 4" xfId="6677" xr:uid="{BEF37900-CE70-4EE0-AAB6-81B1CBCCB60D}"/>
    <cellStyle name="Style 71 4 4 2" xfId="11225" xr:uid="{D73A38D4-D811-4F6E-9D30-C48E752B9B07}"/>
    <cellStyle name="Style 71 4 4 2 2" xfId="30147" xr:uid="{57C95D29-550D-487F-8657-015AFA9C8FA2}"/>
    <cellStyle name="Style 71 4 5" xfId="11226" xr:uid="{64F4025A-0CA7-428F-A080-BDF32400DC23}"/>
    <cellStyle name="Style 71 4 5 2" xfId="11227" xr:uid="{8C7F980E-5974-4282-A632-4005A14F6BB7}"/>
    <cellStyle name="Style 71 4 5 2 2" xfId="30148" xr:uid="{329E99BC-466C-4C76-801F-7A87E64C9612}"/>
    <cellStyle name="Style 71 4 6" xfId="11228" xr:uid="{7E07D017-FF4C-45A9-85F6-FBA5A605680C}"/>
    <cellStyle name="Style 71 4 6 2" xfId="30149" xr:uid="{A783C0D7-17A5-4506-90F4-AA382FC31303}"/>
    <cellStyle name="Style 71 4 7" xfId="11229" xr:uid="{6E2E2B2A-553D-43A8-8B82-059BEC86CE12}"/>
    <cellStyle name="Style 71 4 7 2" xfId="30150" xr:uid="{772E51AC-5768-49D2-A48B-A99DD9462E0F}"/>
    <cellStyle name="Style 71 4 8" xfId="11230" xr:uid="{5C7FB80C-9512-445C-B658-44E72B4517CD}"/>
    <cellStyle name="Style 71 4 8 2" xfId="30151" xr:uid="{DFA0FBFA-5536-4B6D-878E-AC2BAC35AA71}"/>
    <cellStyle name="Style 71 4 9" xfId="11231" xr:uid="{06452366-FB63-429F-BC2F-DDAACA2DEE65}"/>
    <cellStyle name="Style 71 4 9 2" xfId="30152" xr:uid="{57B5CB26-1589-4365-B165-8FFCA5349D42}"/>
    <cellStyle name="Style 71 5" xfId="3233" xr:uid="{967D91BB-CF5E-4963-BB7D-A1A272F8C20F}"/>
    <cellStyle name="Style 71 5 10" xfId="11232" xr:uid="{14887C30-A3E7-4DFB-A504-6BDED24A5183}"/>
    <cellStyle name="Style 71 5 10 2" xfId="30153" xr:uid="{BB710F7C-E759-4A2F-B5DD-0F867BFEAD00}"/>
    <cellStyle name="Style 71 5 2" xfId="3234" xr:uid="{BC4D548C-CBB9-404A-9451-E35055C66BF4}"/>
    <cellStyle name="Style 71 5 2 2" xfId="11233" xr:uid="{1F58704D-1BF0-4B78-BA61-4808DD4B48E4}"/>
    <cellStyle name="Style 71 5 2 2 2" xfId="11234" xr:uid="{35FF7A40-5163-4A35-B1A3-3CCBEC93DE47}"/>
    <cellStyle name="Style 71 5 2 2 2 2" xfId="30154" xr:uid="{45774D93-691E-4379-B7E7-28EDA273C82D}"/>
    <cellStyle name="Style 71 5 2 3" xfId="11235" xr:uid="{8B7C481C-51F4-4A87-8D3A-1AACDD0DB13B}"/>
    <cellStyle name="Style 71 5 2 3 2" xfId="30155" xr:uid="{938E2EBB-82B8-429B-8DF1-05A96578C4F0}"/>
    <cellStyle name="Style 71 5 2 4" xfId="11236" xr:uid="{B2195EBA-A80D-4E9E-A1F0-BA1F8B20B9F2}"/>
    <cellStyle name="Style 71 5 2 4 2" xfId="30156" xr:uid="{DE956593-6696-4F5A-B07F-F973A796E4CB}"/>
    <cellStyle name="Style 71 5 2 5" xfId="11237" xr:uid="{BA83D8AE-AAA3-4293-BFDA-6912B48C821D}"/>
    <cellStyle name="Style 71 5 2 5 2" xfId="30157" xr:uid="{871DF0A7-7CFF-4E9E-BE5F-9D6ED44A5D6B}"/>
    <cellStyle name="Style 71 5 2 6" xfId="11238" xr:uid="{E3AA281F-DA1B-4C37-B50D-B47791011EAA}"/>
    <cellStyle name="Style 71 5 2 6 2" xfId="30158" xr:uid="{C80A73AD-B668-4C09-88D0-AB2224C3B57E}"/>
    <cellStyle name="Style 71 5 2 7" xfId="11239" xr:uid="{FAB266D3-0BEC-4565-8522-B4E067AB2538}"/>
    <cellStyle name="Style 71 5 2 7 2" xfId="30159" xr:uid="{4C63C615-C883-4BAD-AF35-A37260A1D975}"/>
    <cellStyle name="Style 71 5 2 8" xfId="11240" xr:uid="{F100D453-0FBF-47D5-BA83-68F92E50BEC8}"/>
    <cellStyle name="Style 71 5 2 8 2" xfId="30160" xr:uid="{6D769F03-08D0-4043-9EC2-B0FAA7F1EC3F}"/>
    <cellStyle name="Style 71 5 3" xfId="11241" xr:uid="{83F947A8-1808-4F48-B687-9235AC9B7569}"/>
    <cellStyle name="Style 71 5 3 2" xfId="11242" xr:uid="{087F2231-731D-4509-A581-A239B16430CF}"/>
    <cellStyle name="Style 71 5 3 2 2" xfId="30161" xr:uid="{EBE39711-B21B-4069-AF0B-3C8E885A98A7}"/>
    <cellStyle name="Style 71 5 4" xfId="11243" xr:uid="{4B47EA58-1E56-4F02-8EAE-01E83619FAC1}"/>
    <cellStyle name="Style 71 5 4 2" xfId="30162" xr:uid="{AB2F6F55-3BA9-4D9B-9792-CF029863568E}"/>
    <cellStyle name="Style 71 5 5" xfId="11244" xr:uid="{EA0803E0-5068-42AD-9524-F41C9CCD453E}"/>
    <cellStyle name="Style 71 5 5 2" xfId="30163" xr:uid="{83C2E4E8-05D2-45B2-B929-7441B420928C}"/>
    <cellStyle name="Style 71 5 6" xfId="11245" xr:uid="{49C6DD21-D8C2-4B5C-8626-30E6BD7C9114}"/>
    <cellStyle name="Style 71 5 6 2" xfId="30164" xr:uid="{7E00AFCE-DDCA-42ED-B22E-763C683F46BA}"/>
    <cellStyle name="Style 71 5 7" xfId="11246" xr:uid="{A9AB608C-124C-4B0E-923C-80B4CD044CF8}"/>
    <cellStyle name="Style 71 5 7 2" xfId="30165" xr:uid="{5712C010-FADB-4DAA-837A-A68118CF4D69}"/>
    <cellStyle name="Style 71 5 8" xfId="11247" xr:uid="{3B638252-0E3D-47D3-BBD5-C4B85C098A43}"/>
    <cellStyle name="Style 71 5 8 2" xfId="30166" xr:uid="{01772DC6-7580-4BCF-9260-007776A6E391}"/>
    <cellStyle name="Style 71 5 9" xfId="11248" xr:uid="{7A6CECC4-190F-4531-8894-C1F9C56CFA79}"/>
    <cellStyle name="Style 71 5 9 2" xfId="30167" xr:uid="{101DB800-42D4-461B-A617-2FEB686A4CC2}"/>
    <cellStyle name="Style 71 6" xfId="3235" xr:uid="{E2A8A990-BAFF-474B-84C5-A5047E4FC1D5}"/>
    <cellStyle name="Style 71 6 2" xfId="4195" xr:uid="{356A8287-51E3-4B7B-88F9-233606E1FC8E}"/>
    <cellStyle name="Style 71 6 2 2" xfId="6678" xr:uid="{61102B83-0229-4BCF-A9CA-0D77B0F5DB77}"/>
    <cellStyle name="Style 71 6 2 2 2" xfId="30168" xr:uid="{C74D7F44-15F1-4F52-A255-9D90B7C0E10B}"/>
    <cellStyle name="Style 71 6 3" xfId="11249" xr:uid="{B5BD8887-9B27-4257-93D5-0DF88CB49968}"/>
    <cellStyle name="Style 71 6 3 2" xfId="11250" xr:uid="{2291D5F5-587F-41DA-B193-ADAA27E930B6}"/>
    <cellStyle name="Style 71 6 3 2 2" xfId="30169" xr:uid="{50F74FAC-D517-47D6-97D5-9515D3DDA43F}"/>
    <cellStyle name="Style 71 6 4" xfId="11251" xr:uid="{0393E656-FB7D-42AB-A7AF-6CD5BC4E31CE}"/>
    <cellStyle name="Style 71 6 4 2" xfId="30170" xr:uid="{83342BD4-5510-408B-B06F-1B0D83CF9B0C}"/>
    <cellStyle name="Style 71 6 5" xfId="11252" xr:uid="{F29210C4-BC30-4020-809C-4C4166CEA264}"/>
    <cellStyle name="Style 71 6 5 2" xfId="30171" xr:uid="{36CCFC67-881E-4618-811E-5C570215DFEE}"/>
    <cellStyle name="Style 71 6 6" xfId="11253" xr:uid="{15771459-CC07-4B8F-B35F-8CB49BADDEA0}"/>
    <cellStyle name="Style 71 6 6 2" xfId="30172" xr:uid="{62F117C3-8135-467B-A8C3-275162E762B5}"/>
    <cellStyle name="Style 71 6 7" xfId="11254" xr:uid="{60EC4C87-2BB1-46A3-AC9D-7F3CC34DF979}"/>
    <cellStyle name="Style 71 6 7 2" xfId="30173" xr:uid="{6B3F818B-37BF-46A3-B2CD-924F6796E3BA}"/>
    <cellStyle name="Style 71 6 8" xfId="11255" xr:uid="{25092AEA-B642-4A2B-A06A-40D3F1E93FB5}"/>
    <cellStyle name="Style 71 6 8 2" xfId="30174" xr:uid="{F8FFCCBB-D69B-4726-82B9-7E84BB396B0E}"/>
    <cellStyle name="Style 71 6 9" xfId="11256" xr:uid="{B547BD55-3C83-432A-8403-38FDAA41ECEB}"/>
    <cellStyle name="Style 71 6 9 2" xfId="30175" xr:uid="{D006F0C9-9425-4974-AB61-0543CD0E389C}"/>
    <cellStyle name="Style 71 7" xfId="4194" xr:uid="{FCA508D2-11BC-410A-B33F-3A0358F34EAD}"/>
    <cellStyle name="Style 71 7 2" xfId="6680" xr:uid="{89B22E73-AD07-4586-97B0-691AD0D8AFF0}"/>
    <cellStyle name="Style 71 7 3" xfId="6679" xr:uid="{E828669F-1074-4F9F-89B9-26BD6302402A}"/>
    <cellStyle name="Style 71 7 3 2" xfId="30176" xr:uid="{B47DE982-F4A3-4362-80CF-E24E1B54D884}"/>
    <cellStyle name="Style 71 8" xfId="6681" xr:uid="{84AED682-85B4-455F-8023-DEDD2396C743}"/>
    <cellStyle name="Style 71 8 2" xfId="11257" xr:uid="{92B470A4-5919-48F6-8B43-531240477E9C}"/>
    <cellStyle name="Style 71 8 2 2" xfId="30177" xr:uid="{5DB5AFF4-12C1-4EFC-9377-B57DBE476E8E}"/>
    <cellStyle name="Style 71 9" xfId="11258" xr:uid="{A27C10C1-B9F0-42F3-8FFC-EA86B3AEEB81}"/>
    <cellStyle name="Style 71 9 2" xfId="11259" xr:uid="{DE1F444A-57E8-490D-8D41-CFC8065A7C41}"/>
    <cellStyle name="Style 71 9 2 2" xfId="30178" xr:uid="{EC43FEF2-E3AB-4BFA-B00F-CBE420BF4CD3}"/>
    <cellStyle name="Style 71 9 3" xfId="26685" xr:uid="{15E79BB6-E81A-4E91-B420-85DBCEBDD04E}"/>
    <cellStyle name="Style 71_ADDON" xfId="25805" xr:uid="{0818B553-A5BE-4EDA-A1DA-30513363E53F}"/>
    <cellStyle name="Style 72" xfId="3236" xr:uid="{823EFFF8-2C7D-4023-B5C5-60019767F85E}"/>
    <cellStyle name="Style 72 10" xfId="11260" xr:uid="{CD7F469C-4F92-43F6-9F6D-01F6D12D3586}"/>
    <cellStyle name="Style 72 10 2" xfId="30179" xr:uid="{FD059E30-3D3E-4AA9-A00C-077425896539}"/>
    <cellStyle name="Style 72 11" xfId="11261" xr:uid="{618D39A4-4578-4338-A573-287C98776D0F}"/>
    <cellStyle name="Style 72 11 2" xfId="30180" xr:uid="{77BEBCFB-17AB-4224-ABAB-09F9CE2B6854}"/>
    <cellStyle name="Style 72 12" xfId="11262" xr:uid="{72AFE8F9-6901-4CB8-9BD1-D364A0C3A52A}"/>
    <cellStyle name="Style 72 12 2" xfId="30181" xr:uid="{F8AB4141-57F8-4483-807B-88813AB762A8}"/>
    <cellStyle name="Style 72 13" xfId="11263" xr:uid="{846F3C8A-99F4-43CD-A7B8-E98FF4AA8E39}"/>
    <cellStyle name="Style 72 13 2" xfId="30182" xr:uid="{9B3AE982-9B5E-46F0-A40A-217C822311AD}"/>
    <cellStyle name="Style 72 14" xfId="11264" xr:uid="{8BC0D6FE-5C2E-408E-A116-2D43E88DFD9D}"/>
    <cellStyle name="Style 72 14 2" xfId="30183" xr:uid="{351EAC05-D969-4014-BD20-919ADB3E2DAC}"/>
    <cellStyle name="Style 72 15" xfId="11265" xr:uid="{1DBB0C6E-004E-4ED7-80A0-9F44185B38CA}"/>
    <cellStyle name="Style 72 15 2" xfId="30184" xr:uid="{7A70A230-F10C-41ED-BE0D-1AEF5D2D36D4}"/>
    <cellStyle name="Style 72 16" xfId="23906" xr:uid="{4C439D76-FBA2-42F9-B976-D1095DE68515}"/>
    <cellStyle name="Style 72 2" xfId="3237" xr:uid="{A3D2DA41-0025-4B69-B518-EDB0E1F1C874}"/>
    <cellStyle name="Style 72 2 10" xfId="11266" xr:uid="{31DA83D1-25AC-47FE-93BD-3BC61C0BCB3F}"/>
    <cellStyle name="Style 72 2 10 2" xfId="30185" xr:uid="{E6DE47BC-99DC-4675-A791-CEA59813FBB0}"/>
    <cellStyle name="Style 72 2 11" xfId="23907" xr:uid="{41FBCC7E-1D52-4EB0-A098-75111970F0E3}"/>
    <cellStyle name="Style 72 2 2" xfId="11267" xr:uid="{4759F50F-47DA-4B53-A107-DCD6DB1A1903}"/>
    <cellStyle name="Style 72 2 2 2" xfId="11268" xr:uid="{31B9DCA8-575E-46AB-B49F-F71146A83377}"/>
    <cellStyle name="Style 72 2 2 2 2" xfId="30187" xr:uid="{5352ABC5-760E-4878-8D27-B002E0D2F229}"/>
    <cellStyle name="Style 72 2 2 3" xfId="11269" xr:uid="{B446DDC2-448F-4D23-95FA-4B1DB95A7C1D}"/>
    <cellStyle name="Style 72 2 2 3 2" xfId="30188" xr:uid="{DD202F10-B0C4-4302-ADD0-F0182B6CFF2E}"/>
    <cellStyle name="Style 72 2 2 4" xfId="30186" xr:uid="{5866026E-1430-4393-A1CB-DEE109095C65}"/>
    <cellStyle name="Style 72 2 3" xfId="11270" xr:uid="{963C96C6-18E0-476A-9B99-532D68496D5D}"/>
    <cellStyle name="Style 72 2 3 2" xfId="30189" xr:uid="{E9236B7E-8BB2-4216-97F3-A949CDA16975}"/>
    <cellStyle name="Style 72 2 4" xfId="11271" xr:uid="{B2685F2C-5CF8-486A-A514-C4DDC038E1FC}"/>
    <cellStyle name="Style 72 2 4 2" xfId="30190" xr:uid="{F6CF9C83-3BD7-4B4E-810B-E5C636FB0817}"/>
    <cellStyle name="Style 72 2 5" xfId="11272" xr:uid="{72644443-B279-4D90-876C-297D8F047E7B}"/>
    <cellStyle name="Style 72 2 5 2" xfId="30191" xr:uid="{C7AD578E-513D-4E71-8A4C-A294002204B1}"/>
    <cellStyle name="Style 72 2 6" xfId="11273" xr:uid="{C88A3AFA-5F69-43C9-A955-15C374D230F8}"/>
    <cellStyle name="Style 72 2 6 2" xfId="30192" xr:uid="{803DD9EC-FA8D-4FAB-A566-30CDB5D0CE24}"/>
    <cellStyle name="Style 72 2 7" xfId="11274" xr:uid="{D1C409A0-007E-48F6-AB25-7BF98976CE60}"/>
    <cellStyle name="Style 72 2 7 2" xfId="30193" xr:uid="{4D81ADA7-EEBC-4747-9F99-B497F2107AF3}"/>
    <cellStyle name="Style 72 2 8" xfId="11275" xr:uid="{F6F7A392-7CDF-4129-9007-217359764BC5}"/>
    <cellStyle name="Style 72 2 8 2" xfId="30194" xr:uid="{6B3559F1-3C6C-470E-81DC-CEE4C9C99313}"/>
    <cellStyle name="Style 72 2 9" xfId="11276" xr:uid="{27CB4D16-01BC-49CD-AA71-5D7CD67F1237}"/>
    <cellStyle name="Style 72 2 9 2" xfId="30195" xr:uid="{B71023A9-764F-4038-AF87-A6C0306B7B10}"/>
    <cellStyle name="Style 72 3" xfId="3238" xr:uid="{3F2A78F1-7DC8-44A3-8844-D81C256CFA60}"/>
    <cellStyle name="Style 72 3 10" xfId="11277" xr:uid="{C0199EF4-90A9-46CC-AA3B-57A06AB8174F}"/>
    <cellStyle name="Style 72 3 10 2" xfId="30196" xr:uid="{F9F549C3-1E38-4EA3-83B7-5D197D9B84CD}"/>
    <cellStyle name="Style 72 3 11" xfId="11278" xr:uid="{161A34E9-3EB9-40F8-9595-874E7AB8A7CA}"/>
    <cellStyle name="Style 72 3 11 2" xfId="30197" xr:uid="{CFFDF4AA-71C4-47CD-934F-EAB05B26185F}"/>
    <cellStyle name="Style 72 3 12" xfId="11279" xr:uid="{909789A8-9F50-4AA7-9F73-D4C025CA4BC3}"/>
    <cellStyle name="Style 72 3 12 2" xfId="30198" xr:uid="{45193C6E-698F-4F27-A19D-E95426FEB817}"/>
    <cellStyle name="Style 72 3 13" xfId="11280" xr:uid="{FDB154AF-2F37-4EE4-9D62-F4B346F582BE}"/>
    <cellStyle name="Style 72 3 13 2" xfId="30199" xr:uid="{CADEB8EB-9027-4584-833C-BAA4B4495CF1}"/>
    <cellStyle name="Style 72 3 14" xfId="23908" xr:uid="{A3CA9B95-51D6-4902-896D-2F0AC4E43F72}"/>
    <cellStyle name="Style 72 3 2" xfId="3239" xr:uid="{7D51513A-1C1B-4944-9ED2-E6D10FA64D3D}"/>
    <cellStyle name="Style 72 3 2 10" xfId="23909" xr:uid="{8E7AA5AF-B435-4366-96EF-994393932433}"/>
    <cellStyle name="Style 72 3 2 2" xfId="11281" xr:uid="{7B63BE5C-ED92-481D-8685-D059FF2A1171}"/>
    <cellStyle name="Style 72 3 2 2 2" xfId="30200" xr:uid="{316AF9FA-66D6-450F-9D9B-74D6134065A5}"/>
    <cellStyle name="Style 72 3 2 3" xfId="11282" xr:uid="{A878798C-4362-44AE-A603-F9604F590B3C}"/>
    <cellStyle name="Style 72 3 2 3 2" xfId="30201" xr:uid="{F86E76BF-590D-43BA-8F36-0B72F117606C}"/>
    <cellStyle name="Style 72 3 2 4" xfId="11283" xr:uid="{9B00E885-15A5-430F-9F44-07258A2D265A}"/>
    <cellStyle name="Style 72 3 2 4 2" xfId="30202" xr:uid="{6E096E54-410F-4518-860F-D7EBF992BD30}"/>
    <cellStyle name="Style 72 3 2 5" xfId="11284" xr:uid="{4ED71A80-4C62-48D1-B024-C468CD21D654}"/>
    <cellStyle name="Style 72 3 2 5 2" xfId="30203" xr:uid="{DD652150-B8D0-4903-BB60-BF1B2A1539C1}"/>
    <cellStyle name="Style 72 3 2 6" xfId="11285" xr:uid="{1DEB54CB-FA1C-46E9-BE6F-AAAEE34592FF}"/>
    <cellStyle name="Style 72 3 2 6 2" xfId="30204" xr:uid="{842A985C-78B2-4A2B-B1C3-83E59250C0CF}"/>
    <cellStyle name="Style 72 3 2 7" xfId="11286" xr:uid="{87631E39-A3B3-4583-958B-4BAC3A07BA4D}"/>
    <cellStyle name="Style 72 3 2 7 2" xfId="30205" xr:uid="{1DADF943-5206-4225-A01D-6E650E9B653E}"/>
    <cellStyle name="Style 72 3 2 8" xfId="11287" xr:uid="{BA6BE5AF-E8EB-4664-852E-01C93832B087}"/>
    <cellStyle name="Style 72 3 2 8 2" xfId="30206" xr:uid="{849C77EA-F9EB-4C64-8880-730759B1B5C6}"/>
    <cellStyle name="Style 72 3 2 9" xfId="11288" xr:uid="{B1568E7B-FDBA-499A-8E9E-0A0A0AF9275D}"/>
    <cellStyle name="Style 72 3 2 9 2" xfId="30207" xr:uid="{4759913F-A456-460B-B3E3-F5AFD86C635A}"/>
    <cellStyle name="Style 72 3 3" xfId="3240" xr:uid="{B50167FA-19A8-48D2-A108-3C6569A4447A}"/>
    <cellStyle name="Style 72 3 3 10" xfId="11289" xr:uid="{796EAD4D-8E1F-49AA-8D1F-6848953897AD}"/>
    <cellStyle name="Style 72 3 3 10 2" xfId="30208" xr:uid="{4E757FF8-3F53-4C31-A638-092560564431}"/>
    <cellStyle name="Style 72 3 3 11" xfId="11290" xr:uid="{7F64EBFB-FB11-496B-AE12-A930544EFAFC}"/>
    <cellStyle name="Style 72 3 3 11 2" xfId="30209" xr:uid="{3FD77DA8-60A3-4D0C-A971-22C2DD07313E}"/>
    <cellStyle name="Style 72 3 3 12" xfId="23910" xr:uid="{049EAE79-9EDE-4991-8827-4C638096CC6C}"/>
    <cellStyle name="Style 72 3 3 2" xfId="3241" xr:uid="{16F7814E-9303-4631-966B-EEED9AD2B285}"/>
    <cellStyle name="Style 72 3 3 2 10" xfId="23911" xr:uid="{8FB0F56F-E2CB-46CC-BC4A-697481E9B3C5}"/>
    <cellStyle name="Style 72 3 3 2 2" xfId="11291" xr:uid="{E4E83B00-B908-4EE5-9E3B-AADDD12F25F2}"/>
    <cellStyle name="Style 72 3 3 2 2 2" xfId="30210" xr:uid="{D9777ED0-25CC-4F14-B1B0-1521A224FBD3}"/>
    <cellStyle name="Style 72 3 3 2 3" xfId="11292" xr:uid="{1ABB0DEE-7DFF-4558-83FC-8CF5034348F1}"/>
    <cellStyle name="Style 72 3 3 2 3 2" xfId="30211" xr:uid="{36D46283-EBD8-4497-8504-547C7639F9D6}"/>
    <cellStyle name="Style 72 3 3 2 4" xfId="11293" xr:uid="{1CD7E598-F06F-481D-A36A-124D5F809F41}"/>
    <cellStyle name="Style 72 3 3 2 4 2" xfId="30212" xr:uid="{850E9C28-18F2-403A-8F9E-A0B4A7096FE7}"/>
    <cellStyle name="Style 72 3 3 2 5" xfId="11294" xr:uid="{A0B10569-5F21-4874-AAFB-9B633BD684A0}"/>
    <cellStyle name="Style 72 3 3 2 5 2" xfId="30213" xr:uid="{4786E49A-B887-4BCB-9AEE-DD8C8449DA61}"/>
    <cellStyle name="Style 72 3 3 2 6" xfId="11295" xr:uid="{EDB05A7D-D63D-43E0-9F46-9A763AE97400}"/>
    <cellStyle name="Style 72 3 3 2 6 2" xfId="30214" xr:uid="{833C9F51-0018-4B0A-9504-B763DC6B6991}"/>
    <cellStyle name="Style 72 3 3 2 7" xfId="11296" xr:uid="{41BE67EA-35D9-46C3-AD70-DE13076A8D26}"/>
    <cellStyle name="Style 72 3 3 2 7 2" xfId="30215" xr:uid="{E1C28839-5FF6-4CEE-9F07-1EC9044E6E28}"/>
    <cellStyle name="Style 72 3 3 2 8" xfId="11297" xr:uid="{73CA0FA0-2BB3-4015-B7C0-D4294D83F975}"/>
    <cellStyle name="Style 72 3 3 2 8 2" xfId="30216" xr:uid="{716E77A1-F8C0-48D4-B41A-82A212F17F22}"/>
    <cellStyle name="Style 72 3 3 2 9" xfId="11298" xr:uid="{511679EB-5BF4-44C6-8AD1-DBC881374D85}"/>
    <cellStyle name="Style 72 3 3 2 9 2" xfId="30217" xr:uid="{A6525400-C06F-480A-BB1E-EF086A1DE394}"/>
    <cellStyle name="Style 72 3 3 3" xfId="6682" xr:uid="{A9A6A8A7-FA47-4C8D-B871-F336E4C7989E}"/>
    <cellStyle name="Style 72 3 3 3 2" xfId="11299" xr:uid="{74818DEC-E143-44C3-A792-DE49F747C4FE}"/>
    <cellStyle name="Style 72 3 3 3 2 2" xfId="30218" xr:uid="{04F5E1F7-2DAD-46F1-A223-70EEA58BFDCF}"/>
    <cellStyle name="Style 72 3 3 3 3" xfId="11300" xr:uid="{4C61B7A0-EFC1-40F2-A696-2C512B143EAC}"/>
    <cellStyle name="Style 72 3 3 3 3 2" xfId="30219" xr:uid="{CE487FBB-54A9-458C-97CF-E1F009472DF8}"/>
    <cellStyle name="Style 72 3 3 3 4" xfId="11301" xr:uid="{3D388309-D9B6-46CF-8407-67955046B817}"/>
    <cellStyle name="Style 72 3 3 3 4 2" xfId="30220" xr:uid="{C99E477B-2890-4550-B315-5C153DE7F217}"/>
    <cellStyle name="Style 72 3 3 3 5" xfId="23912" xr:uid="{B529BC00-ECF8-4756-8C69-B124896591DC}"/>
    <cellStyle name="Style 72 3 3 4" xfId="6683" xr:uid="{8E0C4E1C-391F-4B0A-8EC9-E057EABBA451}"/>
    <cellStyle name="Style 72 3 3 4 2" xfId="11302" xr:uid="{22B97862-B425-4E02-A87B-0E3A2B66D6B5}"/>
    <cellStyle name="Style 72 3 3 4 2 2" xfId="30221" xr:uid="{E1586CA9-9D72-49A2-9593-426C6C28B30C}"/>
    <cellStyle name="Style 72 3 3 4 3" xfId="24827" xr:uid="{CA636939-8199-45DB-968E-4087C46FC9BC}"/>
    <cellStyle name="Style 72 3 3 5" xfId="11303" xr:uid="{A985C2EA-82BF-4655-BE5C-A2A9021C17D7}"/>
    <cellStyle name="Style 72 3 3 5 2" xfId="30222" xr:uid="{3B650539-7B9D-4286-89D6-D747410127E2}"/>
    <cellStyle name="Style 72 3 3 6" xfId="11304" xr:uid="{74A56C42-4B11-4FC0-AF76-53CCA9812D96}"/>
    <cellStyle name="Style 72 3 3 6 2" xfId="30223" xr:uid="{0054735B-C8DD-4761-9DE9-184949FCC1BF}"/>
    <cellStyle name="Style 72 3 3 7" xfId="11305" xr:uid="{EE86EBDF-BF40-4193-B6BF-B9D5B5AF7ABD}"/>
    <cellStyle name="Style 72 3 3 7 2" xfId="30224" xr:uid="{FD953DEF-23B1-420F-AF54-FA1FA56011D9}"/>
    <cellStyle name="Style 72 3 3 8" xfId="11306" xr:uid="{00B4FBBD-0EFE-48EA-A58A-4FEEF7843A23}"/>
    <cellStyle name="Style 72 3 3 8 2" xfId="30225" xr:uid="{5196769C-0FDC-4237-80FD-EC5028CEAC17}"/>
    <cellStyle name="Style 72 3 3 9" xfId="11307" xr:uid="{64E346A8-29BF-4CA0-9612-5ADFFD2A5539}"/>
    <cellStyle name="Style 72 3 3 9 2" xfId="30226" xr:uid="{27E28710-9927-48BE-B0B0-76E64C696753}"/>
    <cellStyle name="Style 72 3 4" xfId="3242" xr:uid="{8AA7A666-CE9B-4A31-92F7-1941067E643B}"/>
    <cellStyle name="Style 72 3 4 10" xfId="11308" xr:uid="{3E5E0FE0-6995-4E19-8FBD-7CAFC8B84491}"/>
    <cellStyle name="Style 72 3 4 10 2" xfId="30227" xr:uid="{D53CD91B-898D-4518-94AD-30B9DD697DB0}"/>
    <cellStyle name="Style 72 3 4 11" xfId="23913" xr:uid="{F2F3032B-2130-4D5B-996B-B390FA6A4D68}"/>
    <cellStyle name="Style 72 3 4 2" xfId="3243" xr:uid="{16276438-72B3-4900-AD4E-F24D772967E0}"/>
    <cellStyle name="Style 72 3 4 2 10" xfId="23914" xr:uid="{B86B2D88-9713-404F-BCCB-32F368DE37C3}"/>
    <cellStyle name="Style 72 3 4 2 2" xfId="11309" xr:uid="{18CD3C12-BE9B-4C7E-B2CD-CEA104BBD91B}"/>
    <cellStyle name="Style 72 3 4 2 2 2" xfId="30228" xr:uid="{6CC32EAB-1ED0-42B1-BF8F-2DD92335E673}"/>
    <cellStyle name="Style 72 3 4 2 3" xfId="11310" xr:uid="{857B10A3-D8C0-49AE-9879-40022B94D276}"/>
    <cellStyle name="Style 72 3 4 2 3 2" xfId="30229" xr:uid="{B8EC598C-4D70-4B05-84C2-92B7E61D5530}"/>
    <cellStyle name="Style 72 3 4 2 4" xfId="11311" xr:uid="{6EBD401E-4F1B-456E-835D-CFCA1C062016}"/>
    <cellStyle name="Style 72 3 4 2 4 2" xfId="30230" xr:uid="{568DAB0E-1185-443F-B221-FA8CAB9D769B}"/>
    <cellStyle name="Style 72 3 4 2 5" xfId="11312" xr:uid="{26F285D2-C7ED-4185-A101-282BCE3158D6}"/>
    <cellStyle name="Style 72 3 4 2 5 2" xfId="30231" xr:uid="{A8484946-407B-4763-AFC9-11EF927279F7}"/>
    <cellStyle name="Style 72 3 4 2 6" xfId="11313" xr:uid="{7B37F8EB-88CB-4AE9-B39B-B10B6D77E16F}"/>
    <cellStyle name="Style 72 3 4 2 6 2" xfId="30232" xr:uid="{2412E24C-814D-4779-85FF-C77C01E79EDA}"/>
    <cellStyle name="Style 72 3 4 2 7" xfId="11314" xr:uid="{B5DB077E-1773-4FBC-A054-692A62F8708A}"/>
    <cellStyle name="Style 72 3 4 2 7 2" xfId="30233" xr:uid="{B0CC8D84-322F-4074-9012-5AB6463FBD67}"/>
    <cellStyle name="Style 72 3 4 2 8" xfId="11315" xr:uid="{951C7877-EC77-43CB-B582-A6C4ECEF2DFD}"/>
    <cellStyle name="Style 72 3 4 2 8 2" xfId="30234" xr:uid="{8F4056C6-CD73-4CCF-A483-DAAC79D698B9}"/>
    <cellStyle name="Style 72 3 4 2 9" xfId="11316" xr:uid="{5774DC02-6617-4C23-816B-0505DEA447E3}"/>
    <cellStyle name="Style 72 3 4 2 9 2" xfId="30235" xr:uid="{9D585194-292C-415B-BCA0-732ABFF6F109}"/>
    <cellStyle name="Style 72 3 4 3" xfId="11317" xr:uid="{80F99F57-51E3-453E-8298-F183E36130A5}"/>
    <cellStyle name="Style 72 3 4 3 2" xfId="30236" xr:uid="{529B2D93-8C98-4907-A209-0F055CDA0D32}"/>
    <cellStyle name="Style 72 3 4 4" xfId="11318" xr:uid="{4A0FCBF3-54CC-44DB-8AF0-4B2A99166712}"/>
    <cellStyle name="Style 72 3 4 4 2" xfId="30237" xr:uid="{19220B1A-03FE-4828-BE56-99A72A667A4F}"/>
    <cellStyle name="Style 72 3 4 5" xfId="11319" xr:uid="{512C4D1C-3FDB-42F3-95F1-722299C4C286}"/>
    <cellStyle name="Style 72 3 4 5 2" xfId="30238" xr:uid="{7A3C7BE4-0F56-4026-A676-FB56457A16D8}"/>
    <cellStyle name="Style 72 3 4 6" xfId="11320" xr:uid="{6D7D0D28-DEB9-4FB2-ABBE-CBCC720DA731}"/>
    <cellStyle name="Style 72 3 4 6 2" xfId="30239" xr:uid="{417B99EA-AA32-4B9D-85B8-DE16B0A998E3}"/>
    <cellStyle name="Style 72 3 4 7" xfId="11321" xr:uid="{4A40EEB3-FDCD-409C-ABE1-031952E1E17D}"/>
    <cellStyle name="Style 72 3 4 7 2" xfId="30240" xr:uid="{9CD09B03-D0C6-4F75-AB52-572DA99F01AF}"/>
    <cellStyle name="Style 72 3 4 8" xfId="11322" xr:uid="{35D829FB-9063-4BD0-BB6A-24F269FB0753}"/>
    <cellStyle name="Style 72 3 4 8 2" xfId="30241" xr:uid="{957552E7-01E6-4C8A-A9FC-CD646C696976}"/>
    <cellStyle name="Style 72 3 4 9" xfId="11323" xr:uid="{EDD21095-DE04-4BBC-BB96-9C25AC0D6683}"/>
    <cellStyle name="Style 72 3 4 9 2" xfId="30242" xr:uid="{47DD7201-0756-4AE4-B9E4-26065662E541}"/>
    <cellStyle name="Style 72 3 5" xfId="6684" xr:uid="{C42C656D-A24D-4DF7-BF5D-7E934BDDA4D9}"/>
    <cellStyle name="Style 72 3 5 2" xfId="11324" xr:uid="{43E80952-EE8E-4E51-8E02-F7EBD77E2C3D}"/>
    <cellStyle name="Style 72 3 5 2 2" xfId="30243" xr:uid="{4AE50E36-05B9-413D-AD58-5B255600E57B}"/>
    <cellStyle name="Style 72 3 5 3" xfId="11325" xr:uid="{D88982D6-6EC5-4090-9F56-D2F9F1BA4121}"/>
    <cellStyle name="Style 72 3 5 3 2" xfId="30244" xr:uid="{B2662D5A-4031-481A-92FA-D577813A9992}"/>
    <cellStyle name="Style 72 3 5 4" xfId="11326" xr:uid="{F011A463-E07B-493B-9725-69AE1185E9BA}"/>
    <cellStyle name="Style 72 3 5 4 2" xfId="30245" xr:uid="{1E04B1A7-345F-4171-B687-AAA8EC74E9ED}"/>
    <cellStyle name="Style 72 3 5 5" xfId="24828" xr:uid="{C00A2FF1-160D-42F6-8D99-79F5D8E8A3BC}"/>
    <cellStyle name="Style 72 3 6" xfId="11327" xr:uid="{B0C239A7-A5AB-45F0-9F8D-AB91E3ECC1CD}"/>
    <cellStyle name="Style 72 3 6 2" xfId="30246" xr:uid="{ACC73B73-3333-4BE8-94C3-1C0D6F715D72}"/>
    <cellStyle name="Style 72 3 7" xfId="11328" xr:uid="{EED24DD7-B64E-4718-8587-B61B5FA798D1}"/>
    <cellStyle name="Style 72 3 7 2" xfId="30247" xr:uid="{8EE1AD04-C9A7-4D2B-B027-34493D7854A6}"/>
    <cellStyle name="Style 72 3 8" xfId="11329" xr:uid="{A75DCC95-1E1B-48EC-A2DF-2FB88CE44FDB}"/>
    <cellStyle name="Style 72 3 8 2" xfId="30248" xr:uid="{D0602FF2-A662-4273-B0D6-07E59FA8B39A}"/>
    <cellStyle name="Style 72 3 9" xfId="11330" xr:uid="{62175B2C-5182-4DF8-8230-EF6B76E5C0D6}"/>
    <cellStyle name="Style 72 3 9 2" xfId="30249" xr:uid="{E60BF82E-BC41-4353-8589-65A8C40717BC}"/>
    <cellStyle name="Style 72 4" xfId="3244" xr:uid="{C840A8B2-9360-42BA-AD3A-598CD26C823F}"/>
    <cellStyle name="Style 72 4 10" xfId="11331" xr:uid="{A922DED9-D698-421C-8A1C-D180EFED0344}"/>
    <cellStyle name="Style 72 4 10 2" xfId="30250" xr:uid="{6C958660-5F25-4D3D-8268-9238F5FD3B61}"/>
    <cellStyle name="Style 72 4 11" xfId="11332" xr:uid="{D2146313-EA14-4B90-BC97-CA7562567DB7}"/>
    <cellStyle name="Style 72 4 11 2" xfId="30251" xr:uid="{36161462-C1E7-451F-9434-F1E10276F0AE}"/>
    <cellStyle name="Style 72 4 12" xfId="23915" xr:uid="{C7A15222-A43B-44C6-B8A2-D844BFF48CA6}"/>
    <cellStyle name="Style 72 4 2" xfId="3245" xr:uid="{A585D347-CB3E-456D-8BE7-A2D7E5B29D17}"/>
    <cellStyle name="Style 72 4 2 10" xfId="23916" xr:uid="{61C4DC6A-21B6-4129-B904-D4BD95D30ACA}"/>
    <cellStyle name="Style 72 4 2 2" xfId="11333" xr:uid="{119FB913-2E78-4863-82DB-D3B2B706404B}"/>
    <cellStyle name="Style 72 4 2 2 2" xfId="30252" xr:uid="{AE3F6FD1-91B3-43EF-A8A3-DA11E0C625BB}"/>
    <cellStyle name="Style 72 4 2 3" xfId="11334" xr:uid="{28678B47-3AEB-4F0D-AC30-B3FED45BDA69}"/>
    <cellStyle name="Style 72 4 2 3 2" xfId="30253" xr:uid="{E1886012-2C71-4779-AE67-1092440BEBC6}"/>
    <cellStyle name="Style 72 4 2 4" xfId="11335" xr:uid="{17B3D844-D37F-489F-9872-A3722D530765}"/>
    <cellStyle name="Style 72 4 2 4 2" xfId="30254" xr:uid="{59503D06-D7A9-4F7B-A80A-4DF9ED88BDEB}"/>
    <cellStyle name="Style 72 4 2 5" xfId="11336" xr:uid="{348FFE29-0214-4832-B1F7-CFE7DE90C137}"/>
    <cellStyle name="Style 72 4 2 5 2" xfId="30255" xr:uid="{FCAB7F98-076F-4C84-9334-4DCFC07D0045}"/>
    <cellStyle name="Style 72 4 2 6" xfId="11337" xr:uid="{1EEB3748-CC00-4A03-B265-735D8A26202E}"/>
    <cellStyle name="Style 72 4 2 6 2" xfId="30256" xr:uid="{59868A89-30BD-4554-A5A3-F7848E1DAEC2}"/>
    <cellStyle name="Style 72 4 2 7" xfId="11338" xr:uid="{B7EC881A-22B1-4154-B796-9A8453DECED6}"/>
    <cellStyle name="Style 72 4 2 7 2" xfId="30257" xr:uid="{96481727-8E7A-4CF0-9BDB-DFF3E666D2A1}"/>
    <cellStyle name="Style 72 4 2 8" xfId="11339" xr:uid="{EBAE36D5-9558-4159-B822-5692D744FA00}"/>
    <cellStyle name="Style 72 4 2 8 2" xfId="30258" xr:uid="{414BEB6B-E86F-442D-9C35-6E8747070451}"/>
    <cellStyle name="Style 72 4 2 9" xfId="11340" xr:uid="{67945BF6-54AE-48A0-A0E7-C6603ABE50AC}"/>
    <cellStyle name="Style 72 4 2 9 2" xfId="30259" xr:uid="{0D99A871-B57E-4FF9-B1C2-6564E91410D9}"/>
    <cellStyle name="Style 72 4 3" xfId="6685" xr:uid="{180A8B4C-1291-4B9E-AC65-5FA786C32EC5}"/>
    <cellStyle name="Style 72 4 3 2" xfId="11341" xr:uid="{32F9892C-D035-4D1A-A15A-1044F32123C9}"/>
    <cellStyle name="Style 72 4 3 2 2" xfId="30260" xr:uid="{3CA182A4-F1A1-4BA4-8198-1AE4747A5959}"/>
    <cellStyle name="Style 72 4 3 3" xfId="11342" xr:uid="{A396A241-6653-4CA9-89B2-65280C16D372}"/>
    <cellStyle name="Style 72 4 3 3 2" xfId="30261" xr:uid="{7D7C3FA7-5D02-424C-A995-ECA3166583CD}"/>
    <cellStyle name="Style 72 4 3 4" xfId="11343" xr:uid="{46395F24-4D50-4A1D-A5CD-B67E11B6152C}"/>
    <cellStyle name="Style 72 4 3 4 2" xfId="30262" xr:uid="{2E0F8F7A-ECCC-4DF7-9A51-A81E502B6782}"/>
    <cellStyle name="Style 72 4 3 5" xfId="23917" xr:uid="{2327F706-1210-451F-B966-ADFFE0DFC97A}"/>
    <cellStyle name="Style 72 4 4" xfId="6686" xr:uid="{0E570207-A598-422F-A300-28C39215E636}"/>
    <cellStyle name="Style 72 4 4 2" xfId="11344" xr:uid="{82E49E86-7ABB-4EFD-9334-41C6CDF99583}"/>
    <cellStyle name="Style 72 4 4 2 2" xfId="30263" xr:uid="{AB8CD0C1-97A5-4FD6-B627-7A80AEA704E4}"/>
    <cellStyle name="Style 72 4 4 3" xfId="24829" xr:uid="{AE04003B-D04E-4B27-BF69-4AA37978D131}"/>
    <cellStyle name="Style 72 4 5" xfId="11345" xr:uid="{F0C06303-D412-4AE5-9546-E73F87DD931C}"/>
    <cellStyle name="Style 72 4 5 2" xfId="30264" xr:uid="{2BF0561D-C475-4D15-9E94-BD5689782F62}"/>
    <cellStyle name="Style 72 4 6" xfId="11346" xr:uid="{3717EFE2-9C29-4263-A5DE-0821CB1EE97D}"/>
    <cellStyle name="Style 72 4 6 2" xfId="30265" xr:uid="{C1E2DF8A-7C52-41D3-8B6F-52F2FBB04575}"/>
    <cellStyle name="Style 72 4 7" xfId="11347" xr:uid="{889902A3-83E4-474A-BFA9-8FD563BBC440}"/>
    <cellStyle name="Style 72 4 7 2" xfId="30266" xr:uid="{642AB288-E1CE-44EF-840F-544BA05B92D7}"/>
    <cellStyle name="Style 72 4 8" xfId="11348" xr:uid="{F64277C8-86AC-4A34-971F-29E3E4F14629}"/>
    <cellStyle name="Style 72 4 8 2" xfId="30267" xr:uid="{4121BE97-AA9D-4EF7-8F99-148A5A897345}"/>
    <cellStyle name="Style 72 4 9" xfId="11349" xr:uid="{C1682DF5-750F-429B-8720-A78FD9CC1EC3}"/>
    <cellStyle name="Style 72 4 9 2" xfId="30268" xr:uid="{39231FB2-ED72-42C9-809C-BF06DBAEB85F}"/>
    <cellStyle name="Style 72 5" xfId="3246" xr:uid="{1B21FDCB-C94F-4417-BC31-91A32E0722D4}"/>
    <cellStyle name="Style 72 5 10" xfId="11350" xr:uid="{E2818560-49B1-499E-9312-BFA50B4E0002}"/>
    <cellStyle name="Style 72 5 10 2" xfId="30269" xr:uid="{97028C14-7E9C-4CDC-8E1D-59820BB75FF8}"/>
    <cellStyle name="Style 72 5 11" xfId="23918" xr:uid="{DEDBEA75-0B2B-4F16-B651-95AA4E93AAAA}"/>
    <cellStyle name="Style 72 5 2" xfId="3247" xr:uid="{E1D763CD-D33A-4DCE-9F33-51540B375B50}"/>
    <cellStyle name="Style 72 5 2 10" xfId="23919" xr:uid="{88C3A7A4-CF8A-42AB-9C65-7F91DCE3F0E2}"/>
    <cellStyle name="Style 72 5 2 2" xfId="11351" xr:uid="{ED69730F-FDBC-45E4-8547-0E1BE0B08F63}"/>
    <cellStyle name="Style 72 5 2 2 2" xfId="30270" xr:uid="{BAAFF906-0D52-4588-9F4E-A4D6A1C20771}"/>
    <cellStyle name="Style 72 5 2 3" xfId="11352" xr:uid="{59E84D1E-08A2-4E39-B501-CB6BDE77E933}"/>
    <cellStyle name="Style 72 5 2 3 2" xfId="30271" xr:uid="{DB6C8E59-24D1-4DA8-A436-78AB6F1DCC7F}"/>
    <cellStyle name="Style 72 5 2 4" xfId="11353" xr:uid="{D30411C8-184C-4578-8FC4-670C240068B1}"/>
    <cellStyle name="Style 72 5 2 4 2" xfId="30272" xr:uid="{3DDC59CD-EE40-49B1-84D3-55378310777C}"/>
    <cellStyle name="Style 72 5 2 5" xfId="11354" xr:uid="{5DDB9CD0-FBAE-4754-A122-7028B18A3D9E}"/>
    <cellStyle name="Style 72 5 2 5 2" xfId="30273" xr:uid="{C6B5E341-0460-4E41-BD6B-0F670F50AF01}"/>
    <cellStyle name="Style 72 5 2 6" xfId="11355" xr:uid="{1E6AAB83-6CBC-4FC6-8AF9-24ECA77DDD86}"/>
    <cellStyle name="Style 72 5 2 6 2" xfId="30274" xr:uid="{32E0D2CD-DE6E-41EA-9028-2CB84648E86C}"/>
    <cellStyle name="Style 72 5 2 7" xfId="11356" xr:uid="{7F73E709-B7DA-4CEE-857E-E6AE10C90169}"/>
    <cellStyle name="Style 72 5 2 7 2" xfId="30275" xr:uid="{61F857DB-00D0-47F4-8D7C-03CA33662C5A}"/>
    <cellStyle name="Style 72 5 2 8" xfId="11357" xr:uid="{A654839E-465F-411D-9FA0-F8F8C8F46153}"/>
    <cellStyle name="Style 72 5 2 8 2" xfId="30276" xr:uid="{7877FB07-F32E-4A90-B0E4-C6EC541915C0}"/>
    <cellStyle name="Style 72 5 2 9" xfId="11358" xr:uid="{98C3DE6F-DBC5-4471-B56F-3C941D88995A}"/>
    <cellStyle name="Style 72 5 2 9 2" xfId="30277" xr:uid="{F2CDC0DE-5C72-4767-B5BE-32369F031FA0}"/>
    <cellStyle name="Style 72 5 3" xfId="11359" xr:uid="{6B49648C-B8AB-4142-A55E-42D112E7D40A}"/>
    <cellStyle name="Style 72 5 3 2" xfId="30278" xr:uid="{454F76A6-00F2-4C51-833C-FAAF0BEB6A8D}"/>
    <cellStyle name="Style 72 5 4" xfId="11360" xr:uid="{4D898422-7FBB-47DC-8B12-241726C60A0C}"/>
    <cellStyle name="Style 72 5 4 2" xfId="30279" xr:uid="{5C1ECD16-1E59-4EB6-8B87-44D7070FD2BA}"/>
    <cellStyle name="Style 72 5 5" xfId="11361" xr:uid="{681A00DC-1E0F-4587-B4A5-ACD7358260CA}"/>
    <cellStyle name="Style 72 5 5 2" xfId="30280" xr:uid="{E16D269E-BDC6-45DE-8E4C-1F3B6270D8CF}"/>
    <cellStyle name="Style 72 5 6" xfId="11362" xr:uid="{0E96068E-4C9D-4318-96B6-5DB3FACE0D91}"/>
    <cellStyle name="Style 72 5 6 2" xfId="30281" xr:uid="{5B4CA64D-B9E5-4917-8515-80AEC02D8EED}"/>
    <cellStyle name="Style 72 5 7" xfId="11363" xr:uid="{A7639301-0EAA-49A4-BB02-3368C51C0743}"/>
    <cellStyle name="Style 72 5 7 2" xfId="30282" xr:uid="{20A604DE-9FC5-4631-8E99-D3CF2789FAB7}"/>
    <cellStyle name="Style 72 5 8" xfId="11364" xr:uid="{8C23D9A0-4140-42F0-B6D5-FB2E135E3AD7}"/>
    <cellStyle name="Style 72 5 8 2" xfId="30283" xr:uid="{A809A40C-784B-43AF-9F39-15CEC9D3A05C}"/>
    <cellStyle name="Style 72 5 9" xfId="11365" xr:uid="{09302F96-5122-4918-9C6C-1C3CCE3FF5DB}"/>
    <cellStyle name="Style 72 5 9 2" xfId="30284" xr:uid="{9150A72C-F386-4034-874D-0227753AAB5A}"/>
    <cellStyle name="Style 72 6" xfId="3248" xr:uid="{23E775FC-3176-4149-9001-67CC6976773C}"/>
    <cellStyle name="Style 72 6 10" xfId="11366" xr:uid="{564F1E60-65BC-4C3F-A004-234F6F60C424}"/>
    <cellStyle name="Style 72 6 10 2" xfId="30285" xr:uid="{0247EAFB-8458-4A99-9F1A-5974835296C1}"/>
    <cellStyle name="Style 72 6 11" xfId="23920" xr:uid="{36EED615-CAA5-4E8E-A2A8-A2A1CCAF412B}"/>
    <cellStyle name="Style 72 6 2" xfId="3249" xr:uid="{7749A27D-9068-4105-97B4-B579B95C0447}"/>
    <cellStyle name="Style 72 6 2 2" xfId="11367" xr:uid="{7AF9E5DD-ADFD-4710-8884-A036E60F62EA}"/>
    <cellStyle name="Style 72 6 2 2 2" xfId="30286" xr:uid="{CB257DDB-CA5E-4C01-A92E-404C72065400}"/>
    <cellStyle name="Style 72 6 2 3" xfId="11368" xr:uid="{8A94191A-C49B-45F7-AD0A-E8E341E92180}"/>
    <cellStyle name="Style 72 6 2 3 2" xfId="30287" xr:uid="{C199CECF-FABA-4981-B10D-B8856CED2FEF}"/>
    <cellStyle name="Style 72 6 2 4" xfId="11369" xr:uid="{9B151FF4-27D7-4888-AB6C-473D45747895}"/>
    <cellStyle name="Style 72 6 2 4 2" xfId="30288" xr:uid="{FF800E46-BBF1-4FF2-862C-7B3792AF6A68}"/>
    <cellStyle name="Style 72 6 2 5" xfId="11370" xr:uid="{100A3D5B-BD68-4256-BADB-0BB333CFB8BD}"/>
    <cellStyle name="Style 72 6 2 5 2" xfId="30289" xr:uid="{E45C1F45-C0ED-47B5-8B9F-4446D9A43BCE}"/>
    <cellStyle name="Style 72 6 2 6" xfId="11371" xr:uid="{26E4EED1-648F-4172-91E7-1672F2C35CFF}"/>
    <cellStyle name="Style 72 6 2 6 2" xfId="30290" xr:uid="{97E2D3FE-9A22-4E43-9D76-2BAE43FFCE81}"/>
    <cellStyle name="Style 72 6 2 7" xfId="11372" xr:uid="{29DADEA1-73E0-4305-8DAD-23F7793ED495}"/>
    <cellStyle name="Style 72 6 2 7 2" xfId="30291" xr:uid="{50CF81D3-6696-41DD-B14F-32351BCCECEE}"/>
    <cellStyle name="Style 72 6 2 8" xfId="11373" xr:uid="{1E478E90-22B0-4FED-8B1D-0AF7148EC43D}"/>
    <cellStyle name="Style 72 6 2 8 2" xfId="30292" xr:uid="{DAE5BAE6-73E8-4214-A7D0-390C5899CD26}"/>
    <cellStyle name="Style 72 6 2 9" xfId="24830" xr:uid="{8B325400-87DB-4391-8475-96A52B960E85}"/>
    <cellStyle name="Style 72 6 3" xfId="4197" xr:uid="{FBFFA9CE-A2FC-41DD-BB50-C2CDED19F833}"/>
    <cellStyle name="Style 72 6 3 2" xfId="11374" xr:uid="{9A803747-0B0A-454B-890C-C0736CE30EFC}"/>
    <cellStyle name="Style 72 6 3 2 2" xfId="30293" xr:uid="{2BE63FE5-289F-4A17-AEFA-8D0141CCAD08}"/>
    <cellStyle name="Style 72 6 3 3" xfId="28332" xr:uid="{A21DE495-3823-4687-8FCB-7F2AAC9FCB47}"/>
    <cellStyle name="Style 72 6 4" xfId="11375" xr:uid="{C67CA1C3-B317-4D59-8272-DF96F1109447}"/>
    <cellStyle name="Style 72 6 4 2" xfId="30294" xr:uid="{14DDADB5-D47A-4B5B-8BBD-96103150876A}"/>
    <cellStyle name="Style 72 6 5" xfId="11376" xr:uid="{98AAE7F1-27EE-4C24-9273-4129574FE641}"/>
    <cellStyle name="Style 72 6 5 2" xfId="30295" xr:uid="{8C14D593-011F-44E6-9746-8F0F08B6F39C}"/>
    <cellStyle name="Style 72 6 6" xfId="11377" xr:uid="{D4902238-DCE3-4431-8206-FF9F4E61031B}"/>
    <cellStyle name="Style 72 6 6 2" xfId="30296" xr:uid="{5DE53D8C-0224-4870-8219-C865E33352DC}"/>
    <cellStyle name="Style 72 6 7" xfId="11378" xr:uid="{C9B965C9-939A-4C3C-8A3F-877DC2034E8A}"/>
    <cellStyle name="Style 72 6 7 2" xfId="30297" xr:uid="{6B7BE66C-E0F7-4161-9620-AC79EE7CA826}"/>
    <cellStyle name="Style 72 6 8" xfId="11379" xr:uid="{403ACE4A-7330-43E0-AECC-0A0A53C9D153}"/>
    <cellStyle name="Style 72 6 8 2" xfId="30298" xr:uid="{83E2C7C6-A20F-4165-9F15-19F920C02A0E}"/>
    <cellStyle name="Style 72 6 9" xfId="11380" xr:uid="{F223D14B-1BE8-46B4-95FA-65B7BE92CF8C}"/>
    <cellStyle name="Style 72 6 9 2" xfId="30299" xr:uid="{DCE9CEDC-ED63-481A-8974-2B41B9B12E48}"/>
    <cellStyle name="Style 72 7" xfId="4196" xr:uid="{0462A34D-8927-44B4-916C-3E43217AA685}"/>
    <cellStyle name="Style 72 7 2" xfId="6688" xr:uid="{3C41ACB0-8D89-41FC-8E75-FD2B9172D857}"/>
    <cellStyle name="Style 72 7 2 2" xfId="24831" xr:uid="{715D7E7C-3E59-4635-A740-FB04785739B3}"/>
    <cellStyle name="Style 72 7 3" xfId="6687" xr:uid="{EA02726F-89FE-44CA-BD61-A7767A3C4EDD}"/>
    <cellStyle name="Style 72 7 3 2" xfId="30300" xr:uid="{9F1ED9DB-D581-4901-8AD6-3931564649F5}"/>
    <cellStyle name="Style 72 7 4" xfId="23921" xr:uid="{11FFE077-04B7-497A-96B2-076149AABAA6}"/>
    <cellStyle name="Style 72 8" xfId="6689" xr:uid="{5328D7D0-E01E-4D1D-8912-75AA7CE6E726}"/>
    <cellStyle name="Style 72 8 2" xfId="11381" xr:uid="{B7328272-85A3-4A61-ACA0-448BD4469FE1}"/>
    <cellStyle name="Style 72 8 2 2" xfId="30301" xr:uid="{E8596395-212F-4AE1-9149-FD23C76758E8}"/>
    <cellStyle name="Style 72 8 3" xfId="24832" xr:uid="{F77C5FCD-B6BC-4D95-9EA8-583AED34E9DD}"/>
    <cellStyle name="Style 72 9" xfId="11382" xr:uid="{E1DFBA80-0454-478A-957B-0F9ABF10662A}"/>
    <cellStyle name="Style 72 9 2" xfId="11383" xr:uid="{D3BFAC49-7E59-4A51-981C-17D26CFDB92D}"/>
    <cellStyle name="Style 72 9 2 2" xfId="30302" xr:uid="{071CFFAD-B518-4466-BBB8-6CBB1D4848F4}"/>
    <cellStyle name="Style 72 9 3" xfId="26686" xr:uid="{94A7DE31-9E12-4F68-92D6-E4D51A7822AC}"/>
    <cellStyle name="Style 72_ADDON" xfId="25751" xr:uid="{F7643D58-3B46-447B-8BBC-0EDEBA93854A}"/>
    <cellStyle name="Style 73" xfId="3250" xr:uid="{E24D5EC6-64A9-4A96-896F-34E47A75D33E}"/>
    <cellStyle name="Style 73 10" xfId="3251" xr:uid="{8719B14D-3799-4E29-800B-2BA9F5EBE7DA}"/>
    <cellStyle name="Style 73 10 10" xfId="11384" xr:uid="{00B83F5D-4B36-4819-8DE3-6F5469886139}"/>
    <cellStyle name="Style 73 10 10 2" xfId="30303" xr:uid="{8BDE3827-3E20-433E-BBEA-A7362F81877A}"/>
    <cellStyle name="Style 73 10 11" xfId="23923" xr:uid="{29AC44B8-9879-479E-9761-2144011ACBF5}"/>
    <cellStyle name="Style 73 10 2" xfId="3252" xr:uid="{FBFBBFA5-465D-4931-8A1F-89FB8DA37FDE}"/>
    <cellStyle name="Style 73 10 2 2" xfId="6690" xr:uid="{9C784628-F457-4F34-86B1-3C861E8A16CF}"/>
    <cellStyle name="Style 73 10 2 2 2" xfId="11385" xr:uid="{C25C5BCB-DAFE-4815-9DCF-FD20D2917369}"/>
    <cellStyle name="Style 73 10 2 2 2 2" xfId="30304" xr:uid="{072DCC80-9A9B-4B94-ADE5-B2588F723369}"/>
    <cellStyle name="Style 73 10 2 2 3" xfId="27849" xr:uid="{96B40656-0C8F-4B87-96DE-489DDA7CE9D0}"/>
    <cellStyle name="Style 73 10 2 3" xfId="11386" xr:uid="{834C4B34-9C54-4AFD-9DC4-ED506CFF40A6}"/>
    <cellStyle name="Style 73 10 2 3 2" xfId="30305" xr:uid="{B43669A0-1C24-4F2F-8E9F-21E31E49FDD2}"/>
    <cellStyle name="Style 73 10 2 4" xfId="11387" xr:uid="{5E1E6260-D683-4E9D-9F26-547D4751600B}"/>
    <cellStyle name="Style 73 10 2 4 2" xfId="30306" xr:uid="{C47CDC50-1F47-4E81-9FC4-288F55480113}"/>
    <cellStyle name="Style 73 10 2 5" xfId="11388" xr:uid="{013BC336-2BC3-424A-8618-06563E76C711}"/>
    <cellStyle name="Style 73 10 2 5 2" xfId="30307" xr:uid="{D811A1DB-AD20-42AC-A280-56E19F791866}"/>
    <cellStyle name="Style 73 10 2 6" xfId="11389" xr:uid="{30856005-7086-4FF0-BA9E-0B4041872281}"/>
    <cellStyle name="Style 73 10 2 6 2" xfId="30308" xr:uid="{CD8E8202-C127-46AB-B73D-B067B9B53C3C}"/>
    <cellStyle name="Style 73 10 2 7" xfId="11390" xr:uid="{32CBF980-F13B-4736-8ADC-003B3AABCEA0}"/>
    <cellStyle name="Style 73 10 2 7 2" xfId="30309" xr:uid="{35F00C9B-3F88-4289-9022-0D1FA09AE489}"/>
    <cellStyle name="Style 73 10 2 8" xfId="11391" xr:uid="{BAE000B6-8726-4E55-A12D-94F4E9F237B3}"/>
    <cellStyle name="Style 73 10 2 8 2" xfId="30310" xr:uid="{D70D6E2D-61E9-4A01-9141-4CBB1767CF5B}"/>
    <cellStyle name="Style 73 10 2 9" xfId="24833" xr:uid="{B1211623-249C-462C-BC3B-68BA73959925}"/>
    <cellStyle name="Style 73 10 3" xfId="4198" xr:uid="{AB3DEE87-B31D-4ADE-86D5-FD16593AD25B}"/>
    <cellStyle name="Style 73 10 3 2" xfId="11392" xr:uid="{F54B1AA6-1D6C-4AF2-A4CE-6DC79922C080}"/>
    <cellStyle name="Style 73 10 3 2 2" xfId="30311" xr:uid="{9485C9FF-F953-4A43-BF7F-B5F11C599D3E}"/>
    <cellStyle name="Style 73 10 3 3" xfId="27848" xr:uid="{4C7A7019-BB12-433B-9B46-4E4C69452069}"/>
    <cellStyle name="Style 73 10 4" xfId="11393" xr:uid="{C794C216-F540-4ADB-A80C-AAF6F33F16A4}"/>
    <cellStyle name="Style 73 10 4 2" xfId="30312" xr:uid="{22D75FE3-8AE1-437C-9A03-B33D38D9DE53}"/>
    <cellStyle name="Style 73 10 5" xfId="11394" xr:uid="{C929E333-5BAF-42A7-8666-8DF8EF569127}"/>
    <cellStyle name="Style 73 10 5 2" xfId="30313" xr:uid="{1EB9EB98-1726-492A-9AB7-83DFA178A627}"/>
    <cellStyle name="Style 73 10 6" xfId="11395" xr:uid="{74122515-E824-4591-BAE5-304698A0037C}"/>
    <cellStyle name="Style 73 10 6 2" xfId="30314" xr:uid="{086F982B-91B6-4076-BA19-EA36B881FEE5}"/>
    <cellStyle name="Style 73 10 7" xfId="11396" xr:uid="{177DC5A2-0D3C-49C7-BA37-A5B94D222CBC}"/>
    <cellStyle name="Style 73 10 7 2" xfId="30315" xr:uid="{68EDFAEC-3678-4B48-B6D8-65FA72973C73}"/>
    <cellStyle name="Style 73 10 8" xfId="11397" xr:uid="{6894A202-7D6D-488F-BF60-F0111EA1EA9F}"/>
    <cellStyle name="Style 73 10 8 2" xfId="30316" xr:uid="{9EF54E9A-3EBA-40EC-B288-AB6072E32573}"/>
    <cellStyle name="Style 73 10 9" xfId="11398" xr:uid="{F3031A60-F8F2-47D3-AFEB-ACBA14241ED8}"/>
    <cellStyle name="Style 73 10 9 2" xfId="30317" xr:uid="{42348794-DAF5-4C5A-998B-DE66829E124A}"/>
    <cellStyle name="Style 73 11" xfId="3253" xr:uid="{0BD4D977-AA6A-4DD2-BE07-49FE3457D246}"/>
    <cellStyle name="Style 73 11 10" xfId="11399" xr:uid="{DC09AD7B-4437-4E8A-AFF4-B1D57AE7CF04}"/>
    <cellStyle name="Style 73 11 10 2" xfId="30318" xr:uid="{AA79BB60-F975-4798-9F01-CD9CB7A5F9CE}"/>
    <cellStyle name="Style 73 11 11" xfId="23924" xr:uid="{4D627091-10DD-4F76-A6AF-8BDEDE3E2EFE}"/>
    <cellStyle name="Style 73 11 2" xfId="3254" xr:uid="{7BA7CB8B-7E46-46D3-BF3D-505CA2B892D2}"/>
    <cellStyle name="Style 73 11 2 2" xfId="6692" xr:uid="{476A03C0-2089-4C91-B5FF-AFBEEA2F6E39}"/>
    <cellStyle name="Style 73 11 2 2 2" xfId="11400" xr:uid="{E516084C-A54E-4610-88BC-1CD794B1BECD}"/>
    <cellStyle name="Style 73 11 2 2 2 2" xfId="30319" xr:uid="{A453F7F8-C3DA-4AB2-B27A-50B4CAC03A50}"/>
    <cellStyle name="Style 73 11 2 2 3" xfId="27851" xr:uid="{893D9277-84E4-42EC-928A-A3B810528AA2}"/>
    <cellStyle name="Style 73 11 2 3" xfId="11401" xr:uid="{A7FD0939-4861-4A9C-B8E1-6F1D0E8EEB53}"/>
    <cellStyle name="Style 73 11 2 3 2" xfId="30320" xr:uid="{66C8C46A-E09E-4BF6-85E5-436A7609CC06}"/>
    <cellStyle name="Style 73 11 2 4" xfId="11402" xr:uid="{D92125B7-2C7A-4465-B929-5D7E5F9F5B3E}"/>
    <cellStyle name="Style 73 11 2 4 2" xfId="30321" xr:uid="{D5B3D6BB-27BE-4FDD-BD7D-899CEA911ECE}"/>
    <cellStyle name="Style 73 11 2 5" xfId="11403" xr:uid="{AC3BE9E5-8E1A-48E9-A636-82ADC55ECC79}"/>
    <cellStyle name="Style 73 11 2 5 2" xfId="30322" xr:uid="{D75C57D9-0203-4F2E-AAEC-E399075995F8}"/>
    <cellStyle name="Style 73 11 2 6" xfId="11404" xr:uid="{8C4868CA-A88E-4702-8C96-6727F916B7CA}"/>
    <cellStyle name="Style 73 11 2 6 2" xfId="30323" xr:uid="{F53D4F2A-1334-45F8-AE27-04626A738CCB}"/>
    <cellStyle name="Style 73 11 2 7" xfId="11405" xr:uid="{9C5D4182-5FFC-4FB6-8A24-D60B1A2CEE7D}"/>
    <cellStyle name="Style 73 11 2 7 2" xfId="30324" xr:uid="{5A00E87B-E21D-4CDB-A425-F2593D552BF0}"/>
    <cellStyle name="Style 73 11 2 8" xfId="11406" xr:uid="{DBB737D3-6FEA-4FA7-A658-CBB3E768EB93}"/>
    <cellStyle name="Style 73 11 2 8 2" xfId="30325" xr:uid="{BBB59A78-D6A6-48B7-AD8D-A3DA32A52779}"/>
    <cellStyle name="Style 73 11 2 9" xfId="24834" xr:uid="{15F01F5B-BB99-4CCC-9895-0972FF2589A2}"/>
    <cellStyle name="Style 73 11 3" xfId="6691" xr:uid="{4F33811D-1AAB-4E67-A51F-781829CF7FE9}"/>
    <cellStyle name="Style 73 11 3 2" xfId="11407" xr:uid="{BB1C59E5-234B-45CD-9A31-0FFDFCB9C80C}"/>
    <cellStyle name="Style 73 11 3 2 2" xfId="30326" xr:uid="{A19F1C0A-7B29-445D-9492-DD2BE930E83E}"/>
    <cellStyle name="Style 73 11 3 3" xfId="27850" xr:uid="{8BE71E64-8717-49F1-BEE5-09163A9CB021}"/>
    <cellStyle name="Style 73 11 4" xfId="11408" xr:uid="{7842D3B6-BDEB-4EFC-A437-5F04C972C63B}"/>
    <cellStyle name="Style 73 11 4 2" xfId="30327" xr:uid="{61162B70-9755-4101-9B32-2BD644FAE381}"/>
    <cellStyle name="Style 73 11 5" xfId="11409" xr:uid="{8383969E-2485-4496-AE04-55A28B8D8084}"/>
    <cellStyle name="Style 73 11 5 2" xfId="30328" xr:uid="{D4C74CD7-E873-457B-8F7F-BEACC192B5E2}"/>
    <cellStyle name="Style 73 11 6" xfId="11410" xr:uid="{9117FD2E-25DF-4FCE-A578-A1811D92AD38}"/>
    <cellStyle name="Style 73 11 6 2" xfId="30329" xr:uid="{BB99D811-213E-47A6-A37F-6A6DC1524D7B}"/>
    <cellStyle name="Style 73 11 7" xfId="11411" xr:uid="{265BE3F1-5EFD-4996-8304-C6AAD8F14CF0}"/>
    <cellStyle name="Style 73 11 7 2" xfId="30330" xr:uid="{359B0CA5-7305-46FE-9278-F8C04258825A}"/>
    <cellStyle name="Style 73 11 8" xfId="11412" xr:uid="{FE8BA20D-4A2E-41D8-AF9A-22E5D946E25B}"/>
    <cellStyle name="Style 73 11 8 2" xfId="30331" xr:uid="{E048C5CD-FD00-42B9-8B48-BDF367C4964F}"/>
    <cellStyle name="Style 73 11 9" xfId="11413" xr:uid="{AB344558-72EB-4A92-A041-EA3A9F11DCF2}"/>
    <cellStyle name="Style 73 11 9 2" xfId="30332" xr:uid="{206861E2-661D-439A-9CD7-DABD22C290DD}"/>
    <cellStyle name="Style 73 12" xfId="3255" xr:uid="{7D1EF61B-985D-4832-B41E-830B05BB33ED}"/>
    <cellStyle name="Style 73 12 10" xfId="11414" xr:uid="{CAA22087-2EB1-4EA9-A0EA-F24F19EAD2FE}"/>
    <cellStyle name="Style 73 12 10 2" xfId="30333" xr:uid="{8269CB9B-EA95-4845-B0D4-CBC1EAEC19B5}"/>
    <cellStyle name="Style 73 12 11" xfId="11415" xr:uid="{1FE8731F-5AA5-4CB3-9136-6FD271E80CF7}"/>
    <cellStyle name="Style 73 12 11 2" xfId="30334" xr:uid="{260B31DD-E4BB-4DE9-9E53-2E2CC9006A48}"/>
    <cellStyle name="Style 73 12 12" xfId="24835" xr:uid="{213B5FD0-E170-44DC-B761-845E1FA2C837}"/>
    <cellStyle name="Style 73 12 2" xfId="6693" xr:uid="{4DA40005-6215-4657-A7C2-6317B931C9A0}"/>
    <cellStyle name="Style 73 12 2 2" xfId="11416" xr:uid="{0AF96349-272A-4F00-928E-343421C25CE5}"/>
    <cellStyle name="Style 73 12 2 2 2" xfId="30335" xr:uid="{A67EC490-ABC2-4690-8E28-4B50691E4AC1}"/>
    <cellStyle name="Style 73 12 2 3" xfId="11417" xr:uid="{CE85D7C1-86A0-4B08-B69B-3B47A429BE72}"/>
    <cellStyle name="Style 73 12 2 3 2" xfId="30336" xr:uid="{65348500-977C-4CE9-AED9-78DDD6240949}"/>
    <cellStyle name="Style 73 12 2 4" xfId="11418" xr:uid="{A413B607-A48A-4BAF-8DCB-BC6A24ADB076}"/>
    <cellStyle name="Style 73 12 2 4 2" xfId="30337" xr:uid="{83275BE5-E1D2-4D3E-9858-874A6E8CC17B}"/>
    <cellStyle name="Style 73 12 2 5" xfId="11419" xr:uid="{5375323D-23C6-4DA5-8393-CBE9B326AD91}"/>
    <cellStyle name="Style 73 12 2 5 2" xfId="30338" xr:uid="{80317171-91E0-4C6A-85ED-69A12C4E0151}"/>
    <cellStyle name="Style 73 12 2 6" xfId="11420" xr:uid="{45D7D95E-AA2A-4E25-9DA3-73872C03A475}"/>
    <cellStyle name="Style 73 12 2 6 2" xfId="30339" xr:uid="{35FAE8C7-9947-4708-AACC-A112EC801933}"/>
    <cellStyle name="Style 73 12 2 7" xfId="11421" xr:uid="{CE75DF19-FFAE-4DF3-8872-F15CFCAF6F5E}"/>
    <cellStyle name="Style 73 12 2 7 2" xfId="30340" xr:uid="{919B3AE5-E5E0-497D-90CC-67B9B78FB642}"/>
    <cellStyle name="Style 73 12 2 8" xfId="27852" xr:uid="{A25CAFAC-7A22-455B-B536-83078A954FD4}"/>
    <cellStyle name="Style 73 12 3" xfId="11422" xr:uid="{BCE32381-B63D-482A-8B9D-0CFF2393BE71}"/>
    <cellStyle name="Style 73 12 3 2" xfId="11423" xr:uid="{7D59A348-3430-4F06-8768-B616C08340F3}"/>
    <cellStyle name="Style 73 12 3 2 2" xfId="30342" xr:uid="{6DBB47C2-A5AE-43E9-A69C-58F9E6138DB1}"/>
    <cellStyle name="Style 73 12 3 3" xfId="11424" xr:uid="{DABAAD4B-F8FF-43EC-9720-1905D54385DA}"/>
    <cellStyle name="Style 73 12 3 3 2" xfId="30343" xr:uid="{F41474ED-CA3A-43DD-B49F-02B88B6ED233}"/>
    <cellStyle name="Style 73 12 3 4" xfId="11425" xr:uid="{BCEF2BD2-1D41-4F0C-9A8D-7B5EC468418B}"/>
    <cellStyle name="Style 73 12 3 4 2" xfId="30344" xr:uid="{5D0D7ED8-8FEE-4C32-8612-8C89EDE23FA2}"/>
    <cellStyle name="Style 73 12 3 5" xfId="11426" xr:uid="{CCAE0447-9652-4E5E-9BEC-E22435FC218B}"/>
    <cellStyle name="Style 73 12 3 5 2" xfId="30345" xr:uid="{530AE3DB-25B1-40E7-AFD7-6C473D6A1040}"/>
    <cellStyle name="Style 73 12 3 6" xfId="11427" xr:uid="{8C82E8F1-9E6A-4CF5-AF3C-B058CD04D5EF}"/>
    <cellStyle name="Style 73 12 3 6 2" xfId="30346" xr:uid="{F22662C5-6DEC-400F-9E9B-A3CB1E6A49D0}"/>
    <cellStyle name="Style 73 12 3 7" xfId="30341" xr:uid="{85AC2615-EDCE-4057-B903-C5508A139493}"/>
    <cellStyle name="Style 73 12 4" xfId="11428" xr:uid="{80595769-6B13-4DD3-82BF-E35E8AA3E637}"/>
    <cellStyle name="Style 73 12 4 2" xfId="11429" xr:uid="{77F0E509-ACAC-4150-A5F4-190560D00BBC}"/>
    <cellStyle name="Style 73 12 4 2 2" xfId="30348" xr:uid="{7646CDA6-FE6F-489F-9D1E-0260DC717484}"/>
    <cellStyle name="Style 73 12 4 3" xfId="11430" xr:uid="{E4E08FC2-0538-4656-A138-9412B780D658}"/>
    <cellStyle name="Style 73 12 4 3 2" xfId="30349" xr:uid="{E33A23FA-7CC0-48A1-A948-C8058BD1EEBB}"/>
    <cellStyle name="Style 73 12 4 4" xfId="11431" xr:uid="{2D1D6288-3E51-4043-A8CF-1D9511603B89}"/>
    <cellStyle name="Style 73 12 4 4 2" xfId="30350" xr:uid="{6BA56E73-EE99-4CFE-ACE4-730FB9B22011}"/>
    <cellStyle name="Style 73 12 4 5" xfId="11432" xr:uid="{AA3A84C2-5CA6-43DC-A152-58DDFA2D6860}"/>
    <cellStyle name="Style 73 12 4 5 2" xfId="30351" xr:uid="{61F442CE-016F-481B-8842-169DC447E89D}"/>
    <cellStyle name="Style 73 12 4 6" xfId="11433" xr:uid="{309F1EA3-C77C-4870-B8A3-5246A8D689F9}"/>
    <cellStyle name="Style 73 12 4 6 2" xfId="30352" xr:uid="{3C62EA50-61E4-4753-B2DD-DE40A14659D9}"/>
    <cellStyle name="Style 73 12 4 7" xfId="30347" xr:uid="{111F9FD5-6B2B-46DD-8601-8B89B445BB17}"/>
    <cellStyle name="Style 73 12 5" xfId="11434" xr:uid="{707E335D-81B6-4BC3-8106-10840339E2B8}"/>
    <cellStyle name="Style 73 12 5 2" xfId="30353" xr:uid="{9C9AD459-7323-49D1-8D01-D6034D1E34C8}"/>
    <cellStyle name="Style 73 12 6" xfId="11435" xr:uid="{912EC5E8-6D3C-49A8-9A87-FD6D1562F516}"/>
    <cellStyle name="Style 73 12 6 2" xfId="30354" xr:uid="{F26459EA-92B8-43D2-ACBF-635EE2FCAE68}"/>
    <cellStyle name="Style 73 12 7" xfId="11436" xr:uid="{9901D2FD-5BCC-407E-BA0E-86A2044BE500}"/>
    <cellStyle name="Style 73 12 7 2" xfId="30355" xr:uid="{93ACD0AB-34EC-44B8-9C10-27B88079F8D8}"/>
    <cellStyle name="Style 73 12 8" xfId="11437" xr:uid="{15D66C6E-D939-48F2-A5C1-226E5EA0F428}"/>
    <cellStyle name="Style 73 12 8 2" xfId="30356" xr:uid="{9DA1A345-E138-4011-9C32-3E95CB23F954}"/>
    <cellStyle name="Style 73 12 9" xfId="11438" xr:uid="{A257FC42-5C84-4D55-A6B8-DB9B9AF0B821}"/>
    <cellStyle name="Style 73 12 9 2" xfId="30357" xr:uid="{6C795DE0-1341-4206-9A63-6F6773E74F6A}"/>
    <cellStyle name="Style 73 13" xfId="11439" xr:uid="{AB0FE9CD-4E51-4F5C-9BA1-DAC72F182F15}"/>
    <cellStyle name="Style 73 13 2" xfId="11440" xr:uid="{D83D0999-CFE3-40E3-853C-F928F264F336}"/>
    <cellStyle name="Style 73 13 2 2" xfId="30358" xr:uid="{107678A6-4F7D-49DB-B182-3872727D7E5C}"/>
    <cellStyle name="Style 73 13 3" xfId="11441" xr:uid="{692DC41F-D54E-439B-8C33-2C4D3FEA8BA4}"/>
    <cellStyle name="Style 73 13 3 2" xfId="30359" xr:uid="{80239DDD-C4C9-4AA3-8484-6464C6428AB7}"/>
    <cellStyle name="Style 73 13 4" xfId="11442" xr:uid="{184072DC-F7C1-4DC9-9532-AFE9FF6BE251}"/>
    <cellStyle name="Style 73 13 4 2" xfId="30360" xr:uid="{0A99AC77-CA47-48B2-A9CD-2BF7EFA34EB4}"/>
    <cellStyle name="Style 73 13 5" xfId="11443" xr:uid="{F73C0A5D-AD8C-4A29-938E-60FB2FF15F8E}"/>
    <cellStyle name="Style 73 13 5 2" xfId="30361" xr:uid="{F7EC77FE-5A40-4CE5-9621-68E84F9593CC}"/>
    <cellStyle name="Style 73 13 6" xfId="11444" xr:uid="{1D208C4D-738C-401D-ABE2-05FF60DB13E2}"/>
    <cellStyle name="Style 73 13 6 2" xfId="30362" xr:uid="{9C5EC57E-6CF7-4B6D-8C67-B0901AD9D2CE}"/>
    <cellStyle name="Style 73 13 7" xfId="11445" xr:uid="{A15106FA-9827-42D2-B6C0-9E1BA93834BE}"/>
    <cellStyle name="Style 73 13 7 2" xfId="30363" xr:uid="{73A8E5E0-2B23-46CB-A765-D5ADA6A7E317}"/>
    <cellStyle name="Style 73 13 8" xfId="11446" xr:uid="{56A84B71-9F3C-4CD7-B39C-559D54DB18D0}"/>
    <cellStyle name="Style 73 13 8 2" xfId="30364" xr:uid="{4B1E7CBF-26E0-4C4A-9F60-25DAA0EACBBC}"/>
    <cellStyle name="Style 73 13 9" xfId="26687" xr:uid="{B1AF5956-8421-4B84-B733-48BF6BEB3049}"/>
    <cellStyle name="Style 73 14" xfId="11447" xr:uid="{0DD19041-5633-47F6-AAD5-FDB046741B58}"/>
    <cellStyle name="Style 73 14 2" xfId="11448" xr:uid="{CDB999BB-5851-4FC2-AC0B-63DD633568C8}"/>
    <cellStyle name="Style 73 14 2 2" xfId="30366" xr:uid="{6FDB1BC5-BB0F-440C-BE30-590942701D0C}"/>
    <cellStyle name="Style 73 14 3" xfId="11449" xr:uid="{61E29884-970E-4ACA-938B-D8EF29B93942}"/>
    <cellStyle name="Style 73 14 3 2" xfId="30367" xr:uid="{F56D9396-4276-4A72-AD05-5BC6723D393C}"/>
    <cellStyle name="Style 73 14 4" xfId="11450" xr:uid="{81207B5C-A996-4376-B2E2-526E0DFC77FB}"/>
    <cellStyle name="Style 73 14 4 2" xfId="30368" xr:uid="{24553763-EF58-49D7-B550-B842F4545531}"/>
    <cellStyle name="Style 73 14 5" xfId="11451" xr:uid="{722252BF-ACF5-4A4E-9C0A-DB4D9A86CCA8}"/>
    <cellStyle name="Style 73 14 5 2" xfId="30369" xr:uid="{DB900CD3-E462-4381-AAAE-07095D1EFC14}"/>
    <cellStyle name="Style 73 14 6" xfId="11452" xr:uid="{706EE49B-C185-4FC3-B0AD-A5212E37C0BE}"/>
    <cellStyle name="Style 73 14 6 2" xfId="30370" xr:uid="{6BACD492-36AA-4C40-AB77-17715505196C}"/>
    <cellStyle name="Style 73 14 7" xfId="11453" xr:uid="{3BE1E5AD-169F-4210-AB10-DE8CA4174318}"/>
    <cellStyle name="Style 73 14 7 2" xfId="30371" xr:uid="{B206506A-306A-4146-9974-ADCFC56E480F}"/>
    <cellStyle name="Style 73 14 8" xfId="30365" xr:uid="{CD8532F8-7847-43FE-971D-94E79C4CDF88}"/>
    <cellStyle name="Style 73 15" xfId="11454" xr:uid="{327CF2E8-51C8-4E98-A4E6-9E224696D079}"/>
    <cellStyle name="Style 73 15 2" xfId="11455" xr:uid="{B865198D-3B84-45F8-B59A-427308B46BF0}"/>
    <cellStyle name="Style 73 15 2 2" xfId="30373" xr:uid="{FEB33E34-77B4-49FC-8CDD-4E06994899C7}"/>
    <cellStyle name="Style 73 15 3" xfId="11456" xr:uid="{55C7C969-B7E9-4C8B-9E57-A0E221969920}"/>
    <cellStyle name="Style 73 15 3 2" xfId="30374" xr:uid="{54437E81-AD72-4702-8684-3A0923BA9DA9}"/>
    <cellStyle name="Style 73 15 4" xfId="11457" xr:uid="{7277A446-48DE-47C2-ABF8-6FAF645444AA}"/>
    <cellStyle name="Style 73 15 4 2" xfId="30375" xr:uid="{15BFC524-3BF3-4B00-A9D3-53CFCF76A67C}"/>
    <cellStyle name="Style 73 15 5" xfId="11458" xr:uid="{45BE207A-0DDB-4C0E-A805-BC891CB42906}"/>
    <cellStyle name="Style 73 15 5 2" xfId="30376" xr:uid="{37EB21C5-C853-4ECF-948D-B9EAA6775DD9}"/>
    <cellStyle name="Style 73 15 6" xfId="11459" xr:uid="{B02DB651-C85F-4BAC-BC71-ED5638375505}"/>
    <cellStyle name="Style 73 15 6 2" xfId="30377" xr:uid="{14078B4D-9125-434D-A9CF-3AD0C9824547}"/>
    <cellStyle name="Style 73 15 7" xfId="30372" xr:uid="{4180C899-5D95-468F-A28C-6A2639091A31}"/>
    <cellStyle name="Style 73 16" xfId="11460" xr:uid="{52F5450E-7D3B-4D6B-BF56-23C75BC25E26}"/>
    <cellStyle name="Style 73 16 2" xfId="30378" xr:uid="{FC7A143C-ACD3-4C81-940A-7A62B854224A}"/>
    <cellStyle name="Style 73 17" xfId="11461" xr:uid="{AC3CE815-F960-455A-AA83-10CB7BE5BD23}"/>
    <cellStyle name="Style 73 17 2" xfId="30379" xr:uid="{68FE6F0E-6911-463D-A9BF-6B24B2B0FFED}"/>
    <cellStyle name="Style 73 18" xfId="11462" xr:uid="{60AB758B-E10F-49C9-B1D2-8E328E41E5E6}"/>
    <cellStyle name="Style 73 18 2" xfId="30380" xr:uid="{7BB1ABE6-1C40-4340-B065-1ACB4601A944}"/>
    <cellStyle name="Style 73 19" xfId="11463" xr:uid="{5E1EDBB0-FA55-4B86-9C4A-78C348F88B71}"/>
    <cellStyle name="Style 73 19 2" xfId="30381" xr:uid="{98B3D732-24CC-4053-9ED8-D8D0418D6396}"/>
    <cellStyle name="Style 73 2" xfId="3256" xr:uid="{F0DDE7A2-A974-419B-9C6E-DC808819899E}"/>
    <cellStyle name="Style 73 2 10" xfId="23925" xr:uid="{A86DC6F6-A005-49D0-85AF-814770A9029E}"/>
    <cellStyle name="Style 73 2 2" xfId="4430" xr:uid="{94EA84C1-3561-4286-8D71-FFA5E1032E09}"/>
    <cellStyle name="Style 73 2 2 2" xfId="11464" xr:uid="{6C9418B3-BB1C-4275-996B-754D2D8DC180}"/>
    <cellStyle name="Style 73 2 2 2 2" xfId="30382" xr:uid="{8873D1FE-98BB-447C-BC73-0A73F094E42A}"/>
    <cellStyle name="Style 73 2 2 3" xfId="26688" xr:uid="{25EF6D92-C67D-4E6D-BD75-6D4B0872C5AA}"/>
    <cellStyle name="Style 73 2 3" xfId="11465" xr:uid="{23EC6DE6-C773-4209-AB34-53688D63EA2E}"/>
    <cellStyle name="Style 73 2 3 2" xfId="30383" xr:uid="{5A110974-D339-4C4C-A962-634903F8297F}"/>
    <cellStyle name="Style 73 2 4" xfId="11466" xr:uid="{367449B3-0193-482A-AA4F-59E47B368AA2}"/>
    <cellStyle name="Style 73 2 4 2" xfId="30384" xr:uid="{216D60CD-9E0C-4B61-85CA-E7D27E93C2F6}"/>
    <cellStyle name="Style 73 2 5" xfId="11467" xr:uid="{C94A51EB-7165-4E77-8253-55832E1F9AD5}"/>
    <cellStyle name="Style 73 2 5 2" xfId="30385" xr:uid="{2E485A29-788A-435F-B3F9-B90001D42DE4}"/>
    <cellStyle name="Style 73 2 6" xfId="11468" xr:uid="{4A9B0E83-948E-4B05-AA65-D64C0ECBEF3B}"/>
    <cellStyle name="Style 73 2 6 2" xfId="30386" xr:uid="{17EECAC4-7DC9-453D-B49D-1CEA77640FF0}"/>
    <cellStyle name="Style 73 2 7" xfId="11469" xr:uid="{5B707920-267E-41CD-B4A0-199474D329D5}"/>
    <cellStyle name="Style 73 2 7 2" xfId="30387" xr:uid="{70C8314F-D6DB-4998-BF39-8870A4104C50}"/>
    <cellStyle name="Style 73 2 8" xfId="11470" xr:uid="{DE08BF73-A89B-4761-8DFF-13AD5FB04667}"/>
    <cellStyle name="Style 73 2 8 2" xfId="30388" xr:uid="{EA2C7FBD-2A2A-40CD-92D2-0A50F7029102}"/>
    <cellStyle name="Style 73 2 9" xfId="11471" xr:uid="{74842F7F-63E2-41C6-BE6B-FCC48446733C}"/>
    <cellStyle name="Style 73 2 9 2" xfId="30389" xr:uid="{549230F3-12BE-4971-B3D0-629C4863A4E0}"/>
    <cellStyle name="Style 73 20" xfId="11472" xr:uid="{6FF195EF-2541-4073-B195-9C514F6786E1}"/>
    <cellStyle name="Style 73 20 2" xfId="30390" xr:uid="{43757F9C-711E-43C9-9379-35E5B9C067EF}"/>
    <cellStyle name="Style 73 21" xfId="11473" xr:uid="{497B99F9-2AFB-4FB8-A0FA-BF624E402F89}"/>
    <cellStyle name="Style 73 21 2" xfId="30391" xr:uid="{9CF6F5AB-C4BC-482A-8F70-DAB3C91B6850}"/>
    <cellStyle name="Style 73 22" xfId="11474" xr:uid="{DB1BECDB-7D01-4117-9742-9429E7C8B078}"/>
    <cellStyle name="Style 73 22 2" xfId="30392" xr:uid="{9C834725-F613-4FDD-8913-BDB787F6CB8E}"/>
    <cellStyle name="Style 73 23" xfId="23922" xr:uid="{021FA913-6AF9-432D-BA5B-F4DCCC75DACB}"/>
    <cellStyle name="Style 73 3" xfId="3257" xr:uid="{4A3FF299-87C9-4485-9078-3D948BA66BBF}"/>
    <cellStyle name="Style 73 3 10" xfId="11475" xr:uid="{CB55F730-43DF-4F00-AC7F-C5F5D14CCCDB}"/>
    <cellStyle name="Style 73 3 10 2" xfId="30393" xr:uid="{6B304EE7-4980-4C51-B1A3-21F1F9FB542F}"/>
    <cellStyle name="Style 73 3 11" xfId="11476" xr:uid="{C4D95702-33D8-490C-A106-137B09C3BC62}"/>
    <cellStyle name="Style 73 3 11 2" xfId="30394" xr:uid="{A6C86846-2AED-4039-BD82-2842F249DF2D}"/>
    <cellStyle name="Style 73 3 12" xfId="11477" xr:uid="{13F11ADB-6E19-4823-850E-471757E96A7A}"/>
    <cellStyle name="Style 73 3 12 2" xfId="30395" xr:uid="{49AF222D-FEE2-4733-9390-B907C1D89B85}"/>
    <cellStyle name="Style 73 3 13" xfId="11478" xr:uid="{4C5B003B-D4BF-4617-A91A-BB86A9309F62}"/>
    <cellStyle name="Style 73 3 13 2" xfId="30396" xr:uid="{CA2CD156-15D1-4B20-B555-5CFC0A9621B8}"/>
    <cellStyle name="Style 73 3 14" xfId="23926" xr:uid="{ACABED6B-D480-48BF-9F40-419351FAC4F7}"/>
    <cellStyle name="Style 73 3 2" xfId="3258" xr:uid="{0019999C-662F-4EC9-B883-53DB9B70B5C8}"/>
    <cellStyle name="Style 73 3 2 10" xfId="11479" xr:uid="{BD230942-31DD-4F49-A598-1B55DB604041}"/>
    <cellStyle name="Style 73 3 2 10 2" xfId="30397" xr:uid="{0315A4C5-98ED-45C1-A384-9FAEC2324FA2}"/>
    <cellStyle name="Style 73 3 2 11" xfId="23927" xr:uid="{380AA7E8-DF9A-42CD-9FB7-C28F45F996DD}"/>
    <cellStyle name="Style 73 3 2 2" xfId="3259" xr:uid="{19ABA003-4697-441D-B52E-D13DC59BDCBB}"/>
    <cellStyle name="Style 73 3 2 2 10" xfId="23928" xr:uid="{7AAAE7C5-2244-4A55-80C8-A4395AB5FF11}"/>
    <cellStyle name="Style 73 3 2 2 2" xfId="6694" xr:uid="{BD16E4A7-A332-4062-89C0-488368FBA0C2}"/>
    <cellStyle name="Style 73 3 2 2 2 2" xfId="11480" xr:uid="{A2508D2F-C60D-4D6F-95B4-4E39953E0196}"/>
    <cellStyle name="Style 73 3 2 2 2 2 2" xfId="30398" xr:uid="{91BBACC6-D546-4275-BE0B-38200765A7E2}"/>
    <cellStyle name="Style 73 3 2 2 2 3" xfId="27853" xr:uid="{24A02D61-6899-410B-96DB-E4D10A4E3ECA}"/>
    <cellStyle name="Style 73 3 2 2 3" xfId="11481" xr:uid="{D724A31F-117C-4F90-957C-D1008D42421B}"/>
    <cellStyle name="Style 73 3 2 2 3 2" xfId="30399" xr:uid="{63116D7E-2DBD-4FDE-BEC8-C11570B1A4A8}"/>
    <cellStyle name="Style 73 3 2 2 4" xfId="11482" xr:uid="{5990E61F-6312-475B-AD41-3D6B5748F029}"/>
    <cellStyle name="Style 73 3 2 2 4 2" xfId="30400" xr:uid="{32CE6B8B-F5D4-443E-8251-2D1480F6D7E3}"/>
    <cellStyle name="Style 73 3 2 2 5" xfId="11483" xr:uid="{970B7C8B-4AFD-495E-BBC2-2BFD9213B3C6}"/>
    <cellStyle name="Style 73 3 2 2 5 2" xfId="30401" xr:uid="{2CB757D6-6560-4D31-A6AC-8C05759AF207}"/>
    <cellStyle name="Style 73 3 2 2 6" xfId="11484" xr:uid="{EBDD4456-3D52-4293-8867-6636C126F684}"/>
    <cellStyle name="Style 73 3 2 2 6 2" xfId="30402" xr:uid="{FB1CDF84-8F51-4B75-9523-DCEF73762069}"/>
    <cellStyle name="Style 73 3 2 2 7" xfId="11485" xr:uid="{3DC7DF59-8896-4855-BDD1-630CA798E3B1}"/>
    <cellStyle name="Style 73 3 2 2 7 2" xfId="30403" xr:uid="{4A8BE60C-4DB8-404A-B856-E0A179663297}"/>
    <cellStyle name="Style 73 3 2 2 8" xfId="11486" xr:uid="{5B798581-47A6-40C9-9684-324B1214E215}"/>
    <cellStyle name="Style 73 3 2 2 8 2" xfId="30404" xr:uid="{86CC2D28-C38D-4781-B5FC-CFB1222B44CE}"/>
    <cellStyle name="Style 73 3 2 2 9" xfId="11487" xr:uid="{D86B425F-7824-468D-9EBF-E095C3F3FAE5}"/>
    <cellStyle name="Style 73 3 2 2 9 2" xfId="30405" xr:uid="{CDE57FB0-580E-4558-B065-C69BCB09BCB4}"/>
    <cellStyle name="Style 73 3 2 3" xfId="4432" xr:uid="{FFC648BC-F50D-4F92-BC4E-7BFBED76D0DE}"/>
    <cellStyle name="Style 73 3 2 3 2" xfId="11488" xr:uid="{BEE1CE05-3FB9-46BF-A231-EC40FBE8D1FB}"/>
    <cellStyle name="Style 73 3 2 3 2 2" xfId="30406" xr:uid="{B2E9BACE-31A8-4053-8609-9D534C51259F}"/>
    <cellStyle name="Style 73 3 2 3 3" xfId="26690" xr:uid="{9068A638-DA1E-4E6C-BA52-946FD53CAA54}"/>
    <cellStyle name="Style 73 3 2 4" xfId="11489" xr:uid="{6B0BE044-C39A-4076-8BEB-94D03BB6FE91}"/>
    <cellStyle name="Style 73 3 2 4 2" xfId="30407" xr:uid="{5CEC9328-24A7-4204-AD30-59545EE26243}"/>
    <cellStyle name="Style 73 3 2 5" xfId="11490" xr:uid="{01142D37-2B30-4559-B5AD-3B3219DA431F}"/>
    <cellStyle name="Style 73 3 2 5 2" xfId="30408" xr:uid="{93F71E95-3067-46B3-A381-039B50868A20}"/>
    <cellStyle name="Style 73 3 2 6" xfId="11491" xr:uid="{355A5452-1F63-4EFE-8FAA-5602E5AAB1B8}"/>
    <cellStyle name="Style 73 3 2 6 2" xfId="30409" xr:uid="{E1F9CB67-5DFC-47A5-A9A6-29CD1B0C1308}"/>
    <cellStyle name="Style 73 3 2 7" xfId="11492" xr:uid="{A88A7E23-49B0-418E-82B5-E14209F89E05}"/>
    <cellStyle name="Style 73 3 2 7 2" xfId="30410" xr:uid="{FD89A3CD-3676-4F54-A93F-1AD4AF830847}"/>
    <cellStyle name="Style 73 3 2 8" xfId="11493" xr:uid="{C765EAF3-B79B-4815-88B4-C9E020AE91F0}"/>
    <cellStyle name="Style 73 3 2 8 2" xfId="30411" xr:uid="{0B569C07-B0E2-4E65-BE27-3F1668DC36B8}"/>
    <cellStyle name="Style 73 3 2 9" xfId="11494" xr:uid="{99FCB04B-56E3-4784-9813-8FD011028CF4}"/>
    <cellStyle name="Style 73 3 2 9 2" xfId="30412" xr:uid="{1DFC8AA7-C282-4EEC-9D78-D0C06083D8F2}"/>
    <cellStyle name="Style 73 3 3" xfId="3260" xr:uid="{2F7524A2-CFCF-4526-A9E5-1DB5339D21EC}"/>
    <cellStyle name="Style 73 3 3 10" xfId="11495" xr:uid="{E0729550-C89E-4C85-82ED-EFC1F1F31870}"/>
    <cellStyle name="Style 73 3 3 10 2" xfId="30413" xr:uid="{3B5AEF04-0BDC-4EF8-A693-CD1F73A674B1}"/>
    <cellStyle name="Style 73 3 3 11" xfId="11496" xr:uid="{389712F9-3C95-442F-ADDC-3701694CACDD}"/>
    <cellStyle name="Style 73 3 3 11 2" xfId="30414" xr:uid="{15CA3CEF-E84F-4D76-860B-130D64AAAB51}"/>
    <cellStyle name="Style 73 3 3 12" xfId="11497" xr:uid="{EEE24748-B172-47BE-BD17-6C992ADFC381}"/>
    <cellStyle name="Style 73 3 3 12 2" xfId="30415" xr:uid="{63A11A4B-FCDE-409E-A37F-960208E28966}"/>
    <cellStyle name="Style 73 3 3 13" xfId="11498" xr:uid="{10F3A6F7-3568-4939-BFD2-972C8B814658}"/>
    <cellStyle name="Style 73 3 3 13 2" xfId="30416" xr:uid="{C0CAFDEB-F940-42B1-B137-EB168C883447}"/>
    <cellStyle name="Style 73 3 3 14" xfId="11499" xr:uid="{1C4664D2-D1FF-4504-8926-22F05ACAFBD6}"/>
    <cellStyle name="Style 73 3 3 14 2" xfId="30417" xr:uid="{58A480FA-C4CF-4C30-B21E-607AE4D7403B}"/>
    <cellStyle name="Style 73 3 3 15" xfId="23929" xr:uid="{051D3A19-2FEA-42D1-A9B5-20E95CB058AC}"/>
    <cellStyle name="Style 73 3 3 2" xfId="3261" xr:uid="{898F2E18-0C08-404C-B354-DC190FFAEBB6}"/>
    <cellStyle name="Style 73 3 3 2 10" xfId="11500" xr:uid="{F7FBFEA4-6D2E-4C19-BC74-9F7416FD3303}"/>
    <cellStyle name="Style 73 3 3 2 10 2" xfId="30418" xr:uid="{5E1BBB84-853A-48BC-9589-C2889063CA8F}"/>
    <cellStyle name="Style 73 3 3 2 11" xfId="23930" xr:uid="{00751043-9DEB-4B33-A289-48C12EC916A8}"/>
    <cellStyle name="Style 73 3 3 2 2" xfId="6696" xr:uid="{5E20CB8B-4F65-4658-B3B5-8CBFE33D6B97}"/>
    <cellStyle name="Style 73 3 3 2 2 2" xfId="11501" xr:uid="{7E269B13-4C5B-4F2B-B095-F5CBF7C3431A}"/>
    <cellStyle name="Style 73 3 3 2 2 2 2" xfId="30419" xr:uid="{D48AD0A3-5CF6-40FE-91B0-4757E3C69B89}"/>
    <cellStyle name="Style 73 3 3 2 2 3" xfId="27855" xr:uid="{DB82ED00-D433-4E6A-B72D-9EAB3CA14AD8}"/>
    <cellStyle name="Style 73 3 3 2 3" xfId="11502" xr:uid="{98344B5D-667F-4CFB-B372-3A5843E9F5FD}"/>
    <cellStyle name="Style 73 3 3 2 3 2" xfId="30420" xr:uid="{D9215D5D-8841-4346-8EC8-03BB6A13F0EC}"/>
    <cellStyle name="Style 73 3 3 2 4" xfId="11503" xr:uid="{BA20FF49-95D2-46BA-89F8-0F7643508CA7}"/>
    <cellStyle name="Style 73 3 3 2 4 2" xfId="30421" xr:uid="{5BA8543D-20C2-4808-8402-356F7F3A46BB}"/>
    <cellStyle name="Style 73 3 3 2 5" xfId="11504" xr:uid="{C0FF36DD-D7BE-4A8C-9B59-5205F89D8738}"/>
    <cellStyle name="Style 73 3 3 2 5 2" xfId="30422" xr:uid="{C96A411C-F223-4506-9356-76A498E1582C}"/>
    <cellStyle name="Style 73 3 3 2 6" xfId="11505" xr:uid="{4FF4B170-2251-45FB-8C62-8F33D9EACD97}"/>
    <cellStyle name="Style 73 3 3 2 6 2" xfId="30423" xr:uid="{23EC2926-3B31-4C6F-9CB8-360371C7E29D}"/>
    <cellStyle name="Style 73 3 3 2 7" xfId="11506" xr:uid="{B10D46FF-E716-4D5D-B6F8-6C815D87DA4B}"/>
    <cellStyle name="Style 73 3 3 2 7 2" xfId="30424" xr:uid="{AFE789CA-2C05-411F-B5E6-12DE9BE191EA}"/>
    <cellStyle name="Style 73 3 3 2 8" xfId="11507" xr:uid="{DF17F642-8A5D-4D69-A382-98CFCBE3E1E6}"/>
    <cellStyle name="Style 73 3 3 2 8 2" xfId="30425" xr:uid="{853B76C9-2510-4657-8654-0B3CE954A508}"/>
    <cellStyle name="Style 73 3 3 2 9" xfId="11508" xr:uid="{5C4E283D-85A9-4A45-AC4F-BE108F189366}"/>
    <cellStyle name="Style 73 3 3 2 9 2" xfId="30426" xr:uid="{53C8D577-E3FA-4DB8-AF3B-FA64506EA3FE}"/>
    <cellStyle name="Style 73 3 3 3" xfId="3262" xr:uid="{54CE753B-6AEB-40CB-998E-188A5D4BB8B0}"/>
    <cellStyle name="Style 73 3 3 3 10" xfId="11509" xr:uid="{714CD6FB-D147-4B19-8D95-EC9FD8A17F4E}"/>
    <cellStyle name="Style 73 3 3 3 10 2" xfId="30427" xr:uid="{98C6B6DE-2B04-4B88-A425-DECD74C9B92A}"/>
    <cellStyle name="Style 73 3 3 3 11" xfId="11510" xr:uid="{A8CBCC11-1D2C-4C95-B138-E553AA940F0B}"/>
    <cellStyle name="Style 73 3 3 3 11 2" xfId="30428" xr:uid="{DA5F159A-DA41-48CE-AB3C-A5DB3F3CCAA5}"/>
    <cellStyle name="Style 73 3 3 3 12" xfId="11511" xr:uid="{CB4A6858-90DF-4C22-945A-40FE70CE81CB}"/>
    <cellStyle name="Style 73 3 3 3 12 2" xfId="30429" xr:uid="{EB227AE8-3A38-448A-AB9E-C8DD7DCC0693}"/>
    <cellStyle name="Style 73 3 3 3 13" xfId="23931" xr:uid="{71E5BC5B-5C84-4D99-8FB8-DAD769E18317}"/>
    <cellStyle name="Style 73 3 3 3 2" xfId="3263" xr:uid="{57462976-A785-47E9-83A0-4BC3B42FD86A}"/>
    <cellStyle name="Style 73 3 3 3 2 10" xfId="11512" xr:uid="{AF722005-2B96-40F5-A9A6-05680FFFE408}"/>
    <cellStyle name="Style 73 3 3 3 2 10 2" xfId="30430" xr:uid="{5F9B7F72-2A44-4AAD-A9A4-E12E9E9E2DF2}"/>
    <cellStyle name="Style 73 3 3 3 2 11" xfId="23932" xr:uid="{7F1EE67F-5325-4C61-87E2-7BBBF8100A18}"/>
    <cellStyle name="Style 73 3 3 3 2 2" xfId="6698" xr:uid="{76E7AB98-FA29-4877-8E6C-558AEBF5C1F9}"/>
    <cellStyle name="Style 73 3 3 3 2 2 2" xfId="11513" xr:uid="{416DEDAA-B34E-4013-9B7F-F5492F22D7E6}"/>
    <cellStyle name="Style 73 3 3 3 2 2 2 2" xfId="30431" xr:uid="{32F41A84-A9C0-4781-9F80-FC9D8FB2ACC7}"/>
    <cellStyle name="Style 73 3 3 3 2 2 3" xfId="27857" xr:uid="{AB9ABD98-6693-4357-A777-1D5FF8F10F38}"/>
    <cellStyle name="Style 73 3 3 3 2 3" xfId="11514" xr:uid="{8D6A040D-0D39-4B38-959F-E9FD250B425E}"/>
    <cellStyle name="Style 73 3 3 3 2 3 2" xfId="30432" xr:uid="{1634D4A3-F727-4BA0-9512-9C0A648FA3FE}"/>
    <cellStyle name="Style 73 3 3 3 2 4" xfId="11515" xr:uid="{F17408FE-E77B-40CE-B845-C17FD3508994}"/>
    <cellStyle name="Style 73 3 3 3 2 4 2" xfId="30433" xr:uid="{2E1EAFFB-291B-4864-800B-56C40AFD2DDC}"/>
    <cellStyle name="Style 73 3 3 3 2 5" xfId="11516" xr:uid="{0E0D138C-0C9A-48E7-997A-C161183AD5B3}"/>
    <cellStyle name="Style 73 3 3 3 2 5 2" xfId="30434" xr:uid="{9B54E467-CA5B-45DE-8FE5-ACE4D7D837BF}"/>
    <cellStyle name="Style 73 3 3 3 2 6" xfId="11517" xr:uid="{B02E8CB6-EB2E-427B-892C-6E8376F531F5}"/>
    <cellStyle name="Style 73 3 3 3 2 6 2" xfId="30435" xr:uid="{80950F6F-D49F-468E-AF7D-C10D3EE85FF0}"/>
    <cellStyle name="Style 73 3 3 3 2 7" xfId="11518" xr:uid="{C36D2D21-39E2-4BF3-A59F-8C4DBFCD1FE5}"/>
    <cellStyle name="Style 73 3 3 3 2 7 2" xfId="30436" xr:uid="{443D0583-B3E1-4AF0-AAA2-BF0EDD1693DC}"/>
    <cellStyle name="Style 73 3 3 3 2 8" xfId="11519" xr:uid="{A17BFF99-43F8-4A47-B198-7C656869B7C7}"/>
    <cellStyle name="Style 73 3 3 3 2 8 2" xfId="30437" xr:uid="{A04EFC78-2179-4D71-A4B0-86F209C02F78}"/>
    <cellStyle name="Style 73 3 3 3 2 9" xfId="11520" xr:uid="{8D779FCE-210A-441C-B846-BFA034322211}"/>
    <cellStyle name="Style 73 3 3 3 2 9 2" xfId="30438" xr:uid="{DB0B1D16-526C-4D3C-8516-505DBC8DCAA0}"/>
    <cellStyle name="Style 73 3 3 3 3" xfId="6699" xr:uid="{37442CB3-D152-4CEE-96E9-AE464E937C43}"/>
    <cellStyle name="Style 73 3 3 3 3 2" xfId="11521" xr:uid="{4185A8D6-39BD-4C26-B0A5-5AB40DF5EDB6}"/>
    <cellStyle name="Style 73 3 3 3 3 2 2" xfId="30439" xr:uid="{386D2BA9-0E00-41FC-9437-252D6CB088F2}"/>
    <cellStyle name="Style 73 3 3 3 3 3" xfId="11522" xr:uid="{CD94573D-A963-4B20-A76C-8E70EF0906CA}"/>
    <cellStyle name="Style 73 3 3 3 3 3 2" xfId="30440" xr:uid="{03613AB0-1C8D-43B5-9D0E-9397A67F1831}"/>
    <cellStyle name="Style 73 3 3 3 3 4" xfId="11523" xr:uid="{04DB5BC8-E329-4326-BFB2-38BB129138ED}"/>
    <cellStyle name="Style 73 3 3 3 3 4 2" xfId="30441" xr:uid="{CA49CE5B-DF6F-4B5C-8DB4-3EE123F5C0ED}"/>
    <cellStyle name="Style 73 3 3 3 3 5" xfId="23933" xr:uid="{F9776B70-742B-4AEF-BBD8-BCEE248979CF}"/>
    <cellStyle name="Style 73 3 3 3 4" xfId="6700" xr:uid="{4FF0E95E-5EA3-4F3E-A1C2-8245691F010E}"/>
    <cellStyle name="Style 73 3 3 3 4 2" xfId="11524" xr:uid="{3CB095E9-7C3D-4CC5-A6F9-B0E9836DBF81}"/>
    <cellStyle name="Style 73 3 3 3 4 2 2" xfId="30442" xr:uid="{A6821883-5868-4C01-97B6-1EAC60EDAAFD}"/>
    <cellStyle name="Style 73 3 3 3 4 3" xfId="24836" xr:uid="{1651D0AC-7B5F-4C75-B711-E8949CCC87BC}"/>
    <cellStyle name="Style 73 3 3 3 5" xfId="6697" xr:uid="{4A940713-520B-4AA4-8558-95B8F82A3928}"/>
    <cellStyle name="Style 73 3 3 3 5 2" xfId="11525" xr:uid="{224374DA-034B-463C-8B72-02F5E4122A4C}"/>
    <cellStyle name="Style 73 3 3 3 5 2 2" xfId="30443" xr:uid="{EC685FAE-900B-4054-99BD-85D445BE31BE}"/>
    <cellStyle name="Style 73 3 3 3 5 3" xfId="27856" xr:uid="{DD939287-2E44-4420-98CF-FF74127439E5}"/>
    <cellStyle name="Style 73 3 3 3 6" xfId="11526" xr:uid="{71530D00-770C-43A2-8BF1-FAB93F20F934}"/>
    <cellStyle name="Style 73 3 3 3 6 2" xfId="30444" xr:uid="{37C772AF-3A36-4F39-B105-B6B65ECC8363}"/>
    <cellStyle name="Style 73 3 3 3 7" xfId="11527" xr:uid="{2003A221-E26B-4B19-BF37-B9F31EF4C469}"/>
    <cellStyle name="Style 73 3 3 3 7 2" xfId="30445" xr:uid="{1B3CE71C-9F30-468F-9291-21819BB456C2}"/>
    <cellStyle name="Style 73 3 3 3 8" xfId="11528" xr:uid="{3D9EA882-C686-4AB7-A4FD-802C5CC6F435}"/>
    <cellStyle name="Style 73 3 3 3 8 2" xfId="30446" xr:uid="{7060F238-4157-486D-8782-11B772F6A32B}"/>
    <cellStyle name="Style 73 3 3 3 9" xfId="11529" xr:uid="{8CE8A0F2-ABE9-419C-8888-55A55BD08C98}"/>
    <cellStyle name="Style 73 3 3 3 9 2" xfId="30447" xr:uid="{882FA6A3-35D4-4F40-9927-3A58746B1F24}"/>
    <cellStyle name="Style 73 3 3 4" xfId="3264" xr:uid="{F3154FE0-7C6C-486D-AB60-E3C0B4DC4F64}"/>
    <cellStyle name="Style 73 3 3 4 10" xfId="11530" xr:uid="{5705DCFD-7FB9-48E6-8F4B-9F3E65977FCF}"/>
    <cellStyle name="Style 73 3 3 4 10 2" xfId="30448" xr:uid="{D2C5AF23-3D16-4D81-AA1E-EF657686B3CD}"/>
    <cellStyle name="Style 73 3 3 4 11" xfId="11531" xr:uid="{4652BDC1-7D84-4CDF-A89B-A7BCCA8576E2}"/>
    <cellStyle name="Style 73 3 3 4 11 2" xfId="30449" xr:uid="{0B4C630F-2D66-4835-A86D-4E71C15ED1FA}"/>
    <cellStyle name="Style 73 3 3 4 12" xfId="23934" xr:uid="{7EA864EC-7EA6-4887-8555-942F8190C4B6}"/>
    <cellStyle name="Style 73 3 3 4 2" xfId="3265" xr:uid="{5B7A3C22-816A-407D-9880-6C7180402F15}"/>
    <cellStyle name="Style 73 3 3 4 2 10" xfId="11532" xr:uid="{D0984307-9C55-40B0-B674-9C4930003C59}"/>
    <cellStyle name="Style 73 3 3 4 2 10 2" xfId="30450" xr:uid="{B42FB16A-B1D2-4006-B0E7-84549AC3AB30}"/>
    <cellStyle name="Style 73 3 3 4 2 11" xfId="23935" xr:uid="{79CFFF5D-94CA-4D2D-B627-2A9245F02DFB}"/>
    <cellStyle name="Style 73 3 3 4 2 2" xfId="6702" xr:uid="{12B2B3F1-1E2F-4C55-A061-922241D99651}"/>
    <cellStyle name="Style 73 3 3 4 2 2 2" xfId="11533" xr:uid="{87C54498-4EBC-4370-9334-8642E36BB0AC}"/>
    <cellStyle name="Style 73 3 3 4 2 2 2 2" xfId="30451" xr:uid="{4FCEA2A8-F76A-4DAC-9A99-AB4FB5087715}"/>
    <cellStyle name="Style 73 3 3 4 2 2 3" xfId="27859" xr:uid="{320CED91-4A8D-4C95-8F93-70CE35523336}"/>
    <cellStyle name="Style 73 3 3 4 2 3" xfId="11534" xr:uid="{4B0C1B6F-ADA7-4348-9E06-D7997986F513}"/>
    <cellStyle name="Style 73 3 3 4 2 3 2" xfId="30452" xr:uid="{296D3932-7BDC-434D-AFA1-F408D6E4ABA8}"/>
    <cellStyle name="Style 73 3 3 4 2 4" xfId="11535" xr:uid="{F570095B-3CF1-449E-BEFA-E2C73850A4C8}"/>
    <cellStyle name="Style 73 3 3 4 2 4 2" xfId="30453" xr:uid="{FC715BEB-2FB6-47D4-B320-5612547459CB}"/>
    <cellStyle name="Style 73 3 3 4 2 5" xfId="11536" xr:uid="{543D5269-5A1E-4A48-AD23-45D22B2F70A4}"/>
    <cellStyle name="Style 73 3 3 4 2 5 2" xfId="30454" xr:uid="{3B4D0A63-FCA9-42A8-B515-FE57FECF3413}"/>
    <cellStyle name="Style 73 3 3 4 2 6" xfId="11537" xr:uid="{E603EABF-550B-4038-9D45-764115421D31}"/>
    <cellStyle name="Style 73 3 3 4 2 6 2" xfId="30455" xr:uid="{B6F3EC57-0F42-4E50-8709-D935B1EA42D7}"/>
    <cellStyle name="Style 73 3 3 4 2 7" xfId="11538" xr:uid="{76B62E41-CCD4-4F04-957B-343B389252A0}"/>
    <cellStyle name="Style 73 3 3 4 2 7 2" xfId="30456" xr:uid="{D47E21D7-E954-4875-B0A8-0F702EC2EDCB}"/>
    <cellStyle name="Style 73 3 3 4 2 8" xfId="11539" xr:uid="{304F7B32-C83A-4D6A-BB2A-28CE0791FB22}"/>
    <cellStyle name="Style 73 3 3 4 2 8 2" xfId="30457" xr:uid="{EBE64BAE-5F81-4077-A23A-928B0154C30A}"/>
    <cellStyle name="Style 73 3 3 4 2 9" xfId="11540" xr:uid="{5AB7FA95-C4E9-464D-BFBF-8430F12162B8}"/>
    <cellStyle name="Style 73 3 3 4 2 9 2" xfId="30458" xr:uid="{4E8D08B9-2887-43F7-8A13-0D625A9CF6BC}"/>
    <cellStyle name="Style 73 3 3 4 3" xfId="6701" xr:uid="{F447AB0E-B68A-4653-ABEE-4F97EE8BB974}"/>
    <cellStyle name="Style 73 3 3 4 3 2" xfId="11541" xr:uid="{308462F9-A8BC-43EC-8BE2-01E3B577C7EA}"/>
    <cellStyle name="Style 73 3 3 4 3 2 2" xfId="30459" xr:uid="{529B15F7-BCF0-4896-91EC-922F720D822D}"/>
    <cellStyle name="Style 73 3 3 4 3 3" xfId="27858" xr:uid="{EE3E2017-EB1B-46CB-89E5-9E126289FC7E}"/>
    <cellStyle name="Style 73 3 3 4 4" xfId="11542" xr:uid="{8B4F5943-A416-4DAB-84D7-29AE64AA36C5}"/>
    <cellStyle name="Style 73 3 3 4 4 2" xfId="30460" xr:uid="{25273E0F-D8C5-4407-B981-204AD98A4498}"/>
    <cellStyle name="Style 73 3 3 4 5" xfId="11543" xr:uid="{05F3A651-F497-44EF-B566-AA0AA2F096B2}"/>
    <cellStyle name="Style 73 3 3 4 5 2" xfId="30461" xr:uid="{C153C784-4E99-4AFC-8779-6A27D35DA356}"/>
    <cellStyle name="Style 73 3 3 4 6" xfId="11544" xr:uid="{E63EAEB6-2A32-4AEC-8C0A-A46686B9FA8A}"/>
    <cellStyle name="Style 73 3 3 4 6 2" xfId="30462" xr:uid="{687E8E82-38EB-4D7D-8A45-6CCA82C241DF}"/>
    <cellStyle name="Style 73 3 3 4 7" xfId="11545" xr:uid="{6641D6E4-5848-4A3C-A29D-3E23C9C57242}"/>
    <cellStyle name="Style 73 3 3 4 7 2" xfId="30463" xr:uid="{E3509A7F-2A66-40BB-8EA9-1959B18DC80F}"/>
    <cellStyle name="Style 73 3 3 4 8" xfId="11546" xr:uid="{A46B78D2-4B2B-4E79-9B59-E3AC4DB74F15}"/>
    <cellStyle name="Style 73 3 3 4 8 2" xfId="30464" xr:uid="{A573F825-A554-4B97-947F-9593F49BF7D0}"/>
    <cellStyle name="Style 73 3 3 4 9" xfId="11547" xr:uid="{41F47745-60FF-4ADC-82BC-0EEE0C1B7524}"/>
    <cellStyle name="Style 73 3 3 4 9 2" xfId="30465" xr:uid="{64F5781C-15A3-4A32-A7F8-CB31A9181456}"/>
    <cellStyle name="Style 73 3 3 5" xfId="6703" xr:uid="{1C840D70-4B81-473F-B918-602E40B16179}"/>
    <cellStyle name="Style 73 3 3 5 2" xfId="11548" xr:uid="{AE8C604E-8198-45F1-824C-EA455922E573}"/>
    <cellStyle name="Style 73 3 3 5 2 2" xfId="30466" xr:uid="{1D378E9F-57A1-48B7-8F4E-4E5BBD224F4A}"/>
    <cellStyle name="Style 73 3 3 5 3" xfId="11549" xr:uid="{EF6874CF-4985-4E27-B855-B17A65D81521}"/>
    <cellStyle name="Style 73 3 3 5 3 2" xfId="30467" xr:uid="{70D83D78-B1D5-4EED-B9F6-3C099D7619B9}"/>
    <cellStyle name="Style 73 3 3 5 4" xfId="11550" xr:uid="{33B5B667-D726-4BAA-BAFD-6C15A9871598}"/>
    <cellStyle name="Style 73 3 3 5 4 2" xfId="30468" xr:uid="{26C2AF85-80B8-4C70-9BA2-53A37029B538}"/>
    <cellStyle name="Style 73 3 3 5 5" xfId="24837" xr:uid="{55FB478A-520F-4A92-8176-6736144CC191}"/>
    <cellStyle name="Style 73 3 3 6" xfId="6695" xr:uid="{3346DD73-9E0D-4C8D-AFB9-2AA5A4B7D522}"/>
    <cellStyle name="Style 73 3 3 6 2" xfId="11551" xr:uid="{92551DCF-29E0-4EB6-90CB-9C2EC28F7A5D}"/>
    <cellStyle name="Style 73 3 3 6 2 2" xfId="30469" xr:uid="{7EDEA45C-80B4-4D8C-853D-6F1657783609}"/>
    <cellStyle name="Style 73 3 3 6 3" xfId="27854" xr:uid="{F39C8F30-2F60-4445-9419-215F19890364}"/>
    <cellStyle name="Style 73 3 3 7" xfId="11552" xr:uid="{785E8DF7-7747-45DC-99BB-E9035BA53A64}"/>
    <cellStyle name="Style 73 3 3 7 2" xfId="30470" xr:uid="{C4090D6B-1202-480C-9989-1AB8BA95A728}"/>
    <cellStyle name="Style 73 3 3 8" xfId="11553" xr:uid="{F036AC51-5BB7-40A5-AFAE-7573CCC37BB2}"/>
    <cellStyle name="Style 73 3 3 8 2" xfId="30471" xr:uid="{23BFF938-6507-47BD-97D9-4F0BE8DD4CA0}"/>
    <cellStyle name="Style 73 3 3 9" xfId="11554" xr:uid="{727B7B17-BA8F-4530-A0A7-884A51B0FD5E}"/>
    <cellStyle name="Style 73 3 3 9 2" xfId="30472" xr:uid="{F38EAFA1-68D4-49AD-AD19-E1042B27746E}"/>
    <cellStyle name="Style 73 3 4" xfId="3266" xr:uid="{D0032ADA-9D46-4D48-BA58-2DC59D0DF6CC}"/>
    <cellStyle name="Style 73 3 4 10" xfId="11555" xr:uid="{397C635C-FFF4-4B92-9863-1669CB5DEB97}"/>
    <cellStyle name="Style 73 3 4 10 2" xfId="30473" xr:uid="{A1F539B6-0714-4FD4-B491-F223F02A2E3E}"/>
    <cellStyle name="Style 73 3 4 11" xfId="23936" xr:uid="{45EA121C-FA0B-42D9-8AB9-996EA594B57A}"/>
    <cellStyle name="Style 73 3 4 2" xfId="6705" xr:uid="{87AFEA35-B96F-4BEA-AC9F-F0212DD5E707}"/>
    <cellStyle name="Style 73 3 4 2 2" xfId="11556" xr:uid="{F6A607EF-396F-489B-A003-DD835DE5EF80}"/>
    <cellStyle name="Style 73 3 4 2 2 2" xfId="30474" xr:uid="{3CB30BB0-8584-4344-8C88-C981D00DF159}"/>
    <cellStyle name="Style 73 3 4 2 3" xfId="23937" xr:uid="{E031DA8B-ADB7-4518-A161-F021A3A2B4CA}"/>
    <cellStyle name="Style 73 3 4 3" xfId="6706" xr:uid="{73200AB5-7988-4F48-9D97-F96B3F985043}"/>
    <cellStyle name="Style 73 3 4 3 2" xfId="11557" xr:uid="{F35A1106-D313-4162-9F32-DE90AB5EB38A}"/>
    <cellStyle name="Style 73 3 4 3 2 2" xfId="30475" xr:uid="{069357D9-DD57-4A96-A719-92864508D9E7}"/>
    <cellStyle name="Style 73 3 4 3 3" xfId="24838" xr:uid="{53CCDF62-D3FD-467B-9EA6-AC2289611F4F}"/>
    <cellStyle name="Style 73 3 4 4" xfId="6704" xr:uid="{1D7ABFC2-E9D4-4C6E-872F-BAAF5D583FA9}"/>
    <cellStyle name="Style 73 3 4 4 2" xfId="11558" xr:uid="{966580F7-1E13-4C15-B84E-F56A66756EA2}"/>
    <cellStyle name="Style 73 3 4 4 2 2" xfId="30476" xr:uid="{DF5BAF34-829D-459B-8C76-F9FC752C6786}"/>
    <cellStyle name="Style 73 3 4 4 3" xfId="27860" xr:uid="{77B2B8FD-18B9-4E72-8B75-D698546961D5}"/>
    <cellStyle name="Style 73 3 4 5" xfId="11559" xr:uid="{1465BAEF-D1F6-4346-AD13-6DCF64CEBA5A}"/>
    <cellStyle name="Style 73 3 4 5 2" xfId="30477" xr:uid="{46885A65-AB1B-472B-90D2-72FC2B0BC5FC}"/>
    <cellStyle name="Style 73 3 4 6" xfId="11560" xr:uid="{CC61576F-9472-4B4B-B460-D6142B0AFD3F}"/>
    <cellStyle name="Style 73 3 4 6 2" xfId="30478" xr:uid="{BB7D6079-A79F-482F-B018-BCF548990D4C}"/>
    <cellStyle name="Style 73 3 4 7" xfId="11561" xr:uid="{8F11CEED-4DFD-4A1C-A449-65EAB9089291}"/>
    <cellStyle name="Style 73 3 4 7 2" xfId="30479" xr:uid="{20769A81-128D-4F4F-B32C-86B48E18FFFC}"/>
    <cellStyle name="Style 73 3 4 8" xfId="11562" xr:uid="{C8F8189B-E1A1-4C44-B40D-3D7C6CCD3C21}"/>
    <cellStyle name="Style 73 3 4 8 2" xfId="30480" xr:uid="{D7416B32-E1ED-46D6-BC02-827F420EEEC6}"/>
    <cellStyle name="Style 73 3 4 9" xfId="11563" xr:uid="{2FBFD88E-7C6F-4690-A091-1CAAF21FE871}"/>
    <cellStyle name="Style 73 3 4 9 2" xfId="30481" xr:uid="{25603059-F7C1-4CEA-8361-DF5EDACE7B48}"/>
    <cellStyle name="Style 73 3 5" xfId="6707" xr:uid="{C6BC1B91-CBDF-4229-824A-BA593AD7BFA7}"/>
    <cellStyle name="Style 73 3 5 2" xfId="11564" xr:uid="{A2BA181B-4225-4BC3-B554-40B26D4E4C1C}"/>
    <cellStyle name="Style 73 3 5 2 2" xfId="27861" xr:uid="{61A026B2-F8D5-44F2-AFA4-87EE72EE8266}"/>
    <cellStyle name="Style 73 3 5 3" xfId="11565" xr:uid="{D3BD280F-5030-45B8-BACF-186D2D62376C}"/>
    <cellStyle name="Style 73 3 5 3 2" xfId="30482" xr:uid="{28B18F1C-66D2-4174-B702-B8285F0AAE06}"/>
    <cellStyle name="Style 73 3 5 4" xfId="23938" xr:uid="{9934267E-18D6-482A-917F-6E29D649A284}"/>
    <cellStyle name="Style 73 3 6" xfId="4431" xr:uid="{6BB29D44-A53E-4917-8B4A-0EFE91C1B71F}"/>
    <cellStyle name="Style 73 3 6 2" xfId="11566" xr:uid="{47C203D4-F05C-4A7E-BD02-1765F227D1A8}"/>
    <cellStyle name="Style 73 3 6 2 2" xfId="30483" xr:uid="{F8F0EC34-2A59-4EAE-9E70-2F78FB4474A2}"/>
    <cellStyle name="Style 73 3 6 3" xfId="26689" xr:uid="{E7461DFC-9475-4E89-A2C2-FB73BC8B4C27}"/>
    <cellStyle name="Style 73 3 7" xfId="11567" xr:uid="{EC12E519-D9C1-4BCA-BF24-A1A987AE1BA5}"/>
    <cellStyle name="Style 73 3 7 2" xfId="30484" xr:uid="{B12F30CA-0A44-4082-B206-E67473E2F66C}"/>
    <cellStyle name="Style 73 3 8" xfId="11568" xr:uid="{FEFEE54B-C562-422C-B652-6F6E166AA124}"/>
    <cellStyle name="Style 73 3 8 2" xfId="30485" xr:uid="{7DE4B70D-4B77-40A6-94DF-13553ACD70FD}"/>
    <cellStyle name="Style 73 3 9" xfId="11569" xr:uid="{383FDDE8-2132-4BC6-A6FA-8DA576B56BF6}"/>
    <cellStyle name="Style 73 3 9 2" xfId="30486" xr:uid="{A98E6D92-DCB0-4D5C-97A5-AE8D2B38EE1F}"/>
    <cellStyle name="Style 73 4" xfId="3267" xr:uid="{A18DAB92-951E-413E-A21A-195C4CDD2BA3}"/>
    <cellStyle name="Style 73 4 10" xfId="11570" xr:uid="{167C85C8-87F5-4E0F-851C-5C77337CD497}"/>
    <cellStyle name="Style 73 4 10 2" xfId="30487" xr:uid="{3EE4A7C8-BC3D-44DF-A213-2F68282699FB}"/>
    <cellStyle name="Style 73 4 11" xfId="11571" xr:uid="{E2D9F0F8-594B-481E-97E7-77D89F3B5149}"/>
    <cellStyle name="Style 73 4 11 2" xfId="30488" xr:uid="{CA1B434A-EC20-4F47-89A2-D16150321976}"/>
    <cellStyle name="Style 73 4 12" xfId="11572" xr:uid="{90FC9E77-226D-4C63-B7FC-181E702D44D4}"/>
    <cellStyle name="Style 73 4 12 2" xfId="30489" xr:uid="{2F602C03-86D5-472D-A301-4325E3E227D6}"/>
    <cellStyle name="Style 73 4 13" xfId="11573" xr:uid="{C75EB9DD-2D07-413F-9775-DBE1FA636453}"/>
    <cellStyle name="Style 73 4 13 2" xfId="30490" xr:uid="{0855DB22-80BB-4D7F-907C-C265DE5E98F2}"/>
    <cellStyle name="Style 73 4 14" xfId="23939" xr:uid="{8891CAF3-FA91-469B-82B9-293632937634}"/>
    <cellStyle name="Style 73 4 2" xfId="3268" xr:uid="{77F972B5-E6F2-48F8-B09F-E3BA5FD63974}"/>
    <cellStyle name="Style 73 4 2 10" xfId="11574" xr:uid="{165AB04C-134E-400A-902B-E73464F14AB2}"/>
    <cellStyle name="Style 73 4 2 10 2" xfId="30491" xr:uid="{5CA9414A-5F02-4B06-A94F-5E4E4082A091}"/>
    <cellStyle name="Style 73 4 2 11" xfId="11575" xr:uid="{11E36FF4-3144-4F2C-AE09-7E996EFD882E}"/>
    <cellStyle name="Style 73 4 2 11 2" xfId="30492" xr:uid="{0452702E-538C-46C0-B27C-78D7620C6AAB}"/>
    <cellStyle name="Style 73 4 2 12" xfId="11576" xr:uid="{10873DF4-B8DE-4114-9919-7A2CDF35AEFF}"/>
    <cellStyle name="Style 73 4 2 12 2" xfId="30493" xr:uid="{FE273572-CE97-494D-BB29-96340AA891C2}"/>
    <cellStyle name="Style 73 4 2 13" xfId="11577" xr:uid="{94AE3BCB-080C-4F12-8619-F9AE776EE591}"/>
    <cellStyle name="Style 73 4 2 13 2" xfId="30494" xr:uid="{3402BF2E-BC8B-40BD-A2C3-94246681191E}"/>
    <cellStyle name="Style 73 4 2 14" xfId="11578" xr:uid="{0B68F197-00A9-4B2E-9C3C-49E21B4CEC0E}"/>
    <cellStyle name="Style 73 4 2 14 2" xfId="30495" xr:uid="{50D076D1-0717-4CC7-AEFB-5FA2B2076270}"/>
    <cellStyle name="Style 73 4 2 15" xfId="23940" xr:uid="{A7D9C65A-9371-476D-8715-75E8CA07D5B4}"/>
    <cellStyle name="Style 73 4 2 2" xfId="3269" xr:uid="{930CC1AE-B97F-463C-A680-DBCA8D2B1526}"/>
    <cellStyle name="Style 73 4 2 2 10" xfId="11579" xr:uid="{318809D8-2385-40A4-9E11-776C9B8EAE0E}"/>
    <cellStyle name="Style 73 4 2 2 10 2" xfId="30496" xr:uid="{C16634AA-4EC4-4248-8DA9-79D20A42445F}"/>
    <cellStyle name="Style 73 4 2 2 11" xfId="23941" xr:uid="{1DB4A563-4FA3-4C93-B326-EC3FDC72A664}"/>
    <cellStyle name="Style 73 4 2 2 2" xfId="6710" xr:uid="{49DDA2D6-CBEC-4055-89B8-F4A4BE52996E}"/>
    <cellStyle name="Style 73 4 2 2 2 2" xfId="11580" xr:uid="{C2B69C87-E412-472E-B998-E2F5F793665D}"/>
    <cellStyle name="Style 73 4 2 2 2 2 2" xfId="30497" xr:uid="{5B282C82-B0DA-4397-A3F4-0CC7B8B51C30}"/>
    <cellStyle name="Style 73 4 2 2 2 3" xfId="27863" xr:uid="{8E504148-92A9-4CD6-99DB-DDA4F26F5B4F}"/>
    <cellStyle name="Style 73 4 2 2 3" xfId="11581" xr:uid="{EF2DDED3-F025-4D02-96E2-22D2DFC48354}"/>
    <cellStyle name="Style 73 4 2 2 3 2" xfId="30498" xr:uid="{0163E81C-E723-409F-8DFC-0E361438AEA0}"/>
    <cellStyle name="Style 73 4 2 2 4" xfId="11582" xr:uid="{C7704AAA-4260-42F0-8BAE-4BA658BA613E}"/>
    <cellStyle name="Style 73 4 2 2 4 2" xfId="30499" xr:uid="{0F787DC0-5711-4067-826B-923A5755E56E}"/>
    <cellStyle name="Style 73 4 2 2 5" xfId="11583" xr:uid="{DF2C8A73-857B-443E-86A6-0A790D98952B}"/>
    <cellStyle name="Style 73 4 2 2 5 2" xfId="30500" xr:uid="{959DE738-D172-4088-BB13-67AE43F56977}"/>
    <cellStyle name="Style 73 4 2 2 6" xfId="11584" xr:uid="{D718889F-9D0D-4D66-A82C-F0E6C4D14740}"/>
    <cellStyle name="Style 73 4 2 2 6 2" xfId="30501" xr:uid="{34FCC135-C8C9-4C4C-97B1-950396D0D4C7}"/>
    <cellStyle name="Style 73 4 2 2 7" xfId="11585" xr:uid="{4DB22603-EB29-4FE5-8E35-15BE6A0B7276}"/>
    <cellStyle name="Style 73 4 2 2 7 2" xfId="30502" xr:uid="{8D96F128-C194-4E89-8085-25981C3C8FE9}"/>
    <cellStyle name="Style 73 4 2 2 8" xfId="11586" xr:uid="{93ED8343-EED6-49A1-ADB7-38B8E17B93BB}"/>
    <cellStyle name="Style 73 4 2 2 8 2" xfId="30503" xr:uid="{D71DAFA5-00B3-47E0-B148-39617A199F4E}"/>
    <cellStyle name="Style 73 4 2 2 9" xfId="11587" xr:uid="{207ADBE5-05E1-4D39-A8D3-ED95B24883CF}"/>
    <cellStyle name="Style 73 4 2 2 9 2" xfId="30504" xr:uid="{6560B311-7E77-412B-9621-26B647FF9199}"/>
    <cellStyle name="Style 73 4 2 3" xfId="3270" xr:uid="{442C4C22-C977-4F1D-8584-1FB7A5FBB428}"/>
    <cellStyle name="Style 73 4 2 3 10" xfId="11588" xr:uid="{933D85C6-246E-4AEE-96F8-2841D3623166}"/>
    <cellStyle name="Style 73 4 2 3 10 2" xfId="30505" xr:uid="{4232E89A-DF8C-4564-ABD5-A61AE2A1477D}"/>
    <cellStyle name="Style 73 4 2 3 11" xfId="11589" xr:uid="{F987C9CB-5385-491C-BAF4-879B78554D53}"/>
    <cellStyle name="Style 73 4 2 3 11 2" xfId="30506" xr:uid="{FDDC9897-F158-4089-9077-DA167AA1E17E}"/>
    <cellStyle name="Style 73 4 2 3 12" xfId="11590" xr:uid="{56D657BC-5C66-405F-A3EF-A11FB6F4CCB7}"/>
    <cellStyle name="Style 73 4 2 3 12 2" xfId="30507" xr:uid="{B41B3282-40AA-4471-8FD5-AE0F33A33994}"/>
    <cellStyle name="Style 73 4 2 3 13" xfId="23942" xr:uid="{FD955DE6-040D-4561-974B-3565BD8DF6E2}"/>
    <cellStyle name="Style 73 4 2 3 2" xfId="3271" xr:uid="{3BF8CB2D-DFA0-4B9C-8AFC-4FE0BC38AD17}"/>
    <cellStyle name="Style 73 4 2 3 2 10" xfId="11591" xr:uid="{583132EC-C75D-4207-90EF-48EA7E239F7E}"/>
    <cellStyle name="Style 73 4 2 3 2 10 2" xfId="30508" xr:uid="{2C38FA4A-0E60-4D53-843A-C433A227B361}"/>
    <cellStyle name="Style 73 4 2 3 2 11" xfId="23943" xr:uid="{F7A47394-2A19-4B54-920D-CEE2436BB275}"/>
    <cellStyle name="Style 73 4 2 3 2 2" xfId="6712" xr:uid="{617F9668-4AA1-4C8E-99F6-F821D84B9257}"/>
    <cellStyle name="Style 73 4 2 3 2 2 2" xfId="11592" xr:uid="{E4C0715F-658D-49BD-8CFF-8F41E0CE4E0D}"/>
    <cellStyle name="Style 73 4 2 3 2 2 2 2" xfId="30509" xr:uid="{D9397D20-BD44-4906-8B37-ACD5D149F419}"/>
    <cellStyle name="Style 73 4 2 3 2 2 3" xfId="27865" xr:uid="{64F08D48-4BF9-4804-8E83-8B40D4B19221}"/>
    <cellStyle name="Style 73 4 2 3 2 3" xfId="11593" xr:uid="{1BFFED49-42D7-4147-8E74-14F6B8565D8E}"/>
    <cellStyle name="Style 73 4 2 3 2 3 2" xfId="30510" xr:uid="{0058A08F-BEEC-40D9-8D08-866247F182B5}"/>
    <cellStyle name="Style 73 4 2 3 2 4" xfId="11594" xr:uid="{934C6B1C-7015-4FB9-9779-79841F52A003}"/>
    <cellStyle name="Style 73 4 2 3 2 4 2" xfId="30511" xr:uid="{C2CD3ECA-EA1E-4A88-9EE6-B240F2893937}"/>
    <cellStyle name="Style 73 4 2 3 2 5" xfId="11595" xr:uid="{E9F2F77C-81ED-4179-A74E-8674D24096B1}"/>
    <cellStyle name="Style 73 4 2 3 2 5 2" xfId="30512" xr:uid="{BAF98A5B-39BA-4E79-9DBF-49C5F0341FC8}"/>
    <cellStyle name="Style 73 4 2 3 2 6" xfId="11596" xr:uid="{48D2293B-B13B-42A2-9071-F8A153AEBAB5}"/>
    <cellStyle name="Style 73 4 2 3 2 6 2" xfId="30513" xr:uid="{247F4157-A202-4418-BFA8-A8C953BF11DE}"/>
    <cellStyle name="Style 73 4 2 3 2 7" xfId="11597" xr:uid="{3795902D-5072-4935-AC41-168F90F84233}"/>
    <cellStyle name="Style 73 4 2 3 2 7 2" xfId="30514" xr:uid="{C488DECE-48B5-4C58-ADB3-1B2F6DFF6B21}"/>
    <cellStyle name="Style 73 4 2 3 2 8" xfId="11598" xr:uid="{214567DB-059F-4B93-869A-FDBDCDC3C16F}"/>
    <cellStyle name="Style 73 4 2 3 2 8 2" xfId="30515" xr:uid="{9FB58F0B-8A47-45DE-99A2-BB5C6284B021}"/>
    <cellStyle name="Style 73 4 2 3 2 9" xfId="11599" xr:uid="{33A2D9BD-1902-494A-8732-1E3D6AE3044D}"/>
    <cellStyle name="Style 73 4 2 3 2 9 2" xfId="30516" xr:uid="{0E09B257-21AA-4CE9-B2B1-4F00C86AAB5B}"/>
    <cellStyle name="Style 73 4 2 3 3" xfId="6713" xr:uid="{B998D5E6-BB2C-4923-8412-40A902322016}"/>
    <cellStyle name="Style 73 4 2 3 3 2" xfId="11600" xr:uid="{8A556299-191C-4395-A2A4-37942CDF2247}"/>
    <cellStyle name="Style 73 4 2 3 3 2 2" xfId="30517" xr:uid="{EB9F991A-E5B0-40C1-AC58-BCFE77B7976B}"/>
    <cellStyle name="Style 73 4 2 3 3 3" xfId="11601" xr:uid="{D98B70DC-ECD4-459D-BEF3-2813B5E2FE22}"/>
    <cellStyle name="Style 73 4 2 3 3 3 2" xfId="30518" xr:uid="{89B2B92D-6995-4364-ACD0-E333E2F8AA46}"/>
    <cellStyle name="Style 73 4 2 3 3 4" xfId="11602" xr:uid="{F4061A8A-CE2E-4AF5-8E52-BCBBE7CA535C}"/>
    <cellStyle name="Style 73 4 2 3 3 4 2" xfId="30519" xr:uid="{AFBF53FC-353D-4A11-8A11-822DC1DF3E72}"/>
    <cellStyle name="Style 73 4 2 3 3 5" xfId="23944" xr:uid="{9429D0C8-1537-4BF6-96A5-A4E7F3484281}"/>
    <cellStyle name="Style 73 4 2 3 4" xfId="6714" xr:uid="{695458DC-D833-4793-90D5-D81BC852BBB4}"/>
    <cellStyle name="Style 73 4 2 3 4 2" xfId="11603" xr:uid="{CE23BCD4-B18F-4139-9D8D-5641382A8632}"/>
    <cellStyle name="Style 73 4 2 3 4 2 2" xfId="30520" xr:uid="{1F8875EC-A528-4D8D-8E58-ECF06DD97380}"/>
    <cellStyle name="Style 73 4 2 3 4 3" xfId="24839" xr:uid="{2F9D87D7-4901-467C-A207-391309B08586}"/>
    <cellStyle name="Style 73 4 2 3 5" xfId="6711" xr:uid="{C5329AAB-E696-4DF1-A90E-89A58F81CBD7}"/>
    <cellStyle name="Style 73 4 2 3 5 2" xfId="11604" xr:uid="{EDDF1A58-0AD3-438A-98C1-30070D4B0E50}"/>
    <cellStyle name="Style 73 4 2 3 5 2 2" xfId="30521" xr:uid="{B63D5BDC-4DDF-4535-9847-35B7FF1C2A5D}"/>
    <cellStyle name="Style 73 4 2 3 5 3" xfId="27864" xr:uid="{01EBC05B-76A6-42EB-AFF0-F3A82AB14917}"/>
    <cellStyle name="Style 73 4 2 3 6" xfId="11605" xr:uid="{90149935-CB8F-44AC-B96E-0F1CA83727F4}"/>
    <cellStyle name="Style 73 4 2 3 6 2" xfId="30522" xr:uid="{0751031A-2A9F-4A95-A02D-63E9E4E16D42}"/>
    <cellStyle name="Style 73 4 2 3 7" xfId="11606" xr:uid="{15A44DB3-1112-4B8E-97AC-7E13ADEDCBEB}"/>
    <cellStyle name="Style 73 4 2 3 7 2" xfId="30523" xr:uid="{B562A312-2D5C-4751-B5D3-5AC6CE079A97}"/>
    <cellStyle name="Style 73 4 2 3 8" xfId="11607" xr:uid="{4BB0CB78-3A0A-402D-AEA9-410F8F599C1C}"/>
    <cellStyle name="Style 73 4 2 3 8 2" xfId="30524" xr:uid="{A5CAC5B3-C8D6-4AF2-8976-32E65345B86A}"/>
    <cellStyle name="Style 73 4 2 3 9" xfId="11608" xr:uid="{6D9C5322-1E8F-4341-8AD2-21F51FDFB2B4}"/>
    <cellStyle name="Style 73 4 2 3 9 2" xfId="30525" xr:uid="{51DE7F5D-BC93-4982-A32B-DDB6016561A9}"/>
    <cellStyle name="Style 73 4 2 4" xfId="3272" xr:uid="{73F6E06C-C2EF-43F3-BCB3-7CB1D94F33B4}"/>
    <cellStyle name="Style 73 4 2 4 10" xfId="11609" xr:uid="{D2A24C45-3430-44C3-B008-C48640A9F738}"/>
    <cellStyle name="Style 73 4 2 4 10 2" xfId="30526" xr:uid="{A4F24E69-E295-4AC5-9425-FC805B78AB3A}"/>
    <cellStyle name="Style 73 4 2 4 11" xfId="11610" xr:uid="{9C19B4D7-CB8D-4166-9DFD-31616F896C40}"/>
    <cellStyle name="Style 73 4 2 4 11 2" xfId="30527" xr:uid="{508D2059-2D7A-4995-8D44-5CE9B1047DF7}"/>
    <cellStyle name="Style 73 4 2 4 12" xfId="23945" xr:uid="{5666E3F5-F9DA-4593-B876-713D2921F072}"/>
    <cellStyle name="Style 73 4 2 4 2" xfId="3273" xr:uid="{247C1FA1-C4F1-40CE-B40F-6DC0465EEEB4}"/>
    <cellStyle name="Style 73 4 2 4 2 10" xfId="11611" xr:uid="{BC32BAAD-1EED-4BD1-BAB1-1FEBC08286DA}"/>
    <cellStyle name="Style 73 4 2 4 2 10 2" xfId="30528" xr:uid="{44817E66-8246-4993-AFE1-CFDD8C289AAD}"/>
    <cellStyle name="Style 73 4 2 4 2 11" xfId="23946" xr:uid="{7D5B46AE-08B1-4848-98F5-F6F29FCA6F29}"/>
    <cellStyle name="Style 73 4 2 4 2 2" xfId="6716" xr:uid="{1D7E0B98-B67A-4703-86C6-85090CC1A8F5}"/>
    <cellStyle name="Style 73 4 2 4 2 2 2" xfId="11612" xr:uid="{FBDF6E77-2E3A-44DF-A486-A20169F6003F}"/>
    <cellStyle name="Style 73 4 2 4 2 2 2 2" xfId="30529" xr:uid="{E174A950-9148-423F-A801-9194F3AE9B54}"/>
    <cellStyle name="Style 73 4 2 4 2 2 3" xfId="27867" xr:uid="{048DBF73-7508-4B07-AA4A-6E59D6CD88B6}"/>
    <cellStyle name="Style 73 4 2 4 2 3" xfId="11613" xr:uid="{BFED49F6-5DE9-4B5E-A1AD-1EB52AB55E49}"/>
    <cellStyle name="Style 73 4 2 4 2 3 2" xfId="30530" xr:uid="{4ACEF021-BAEB-4BE2-A863-AC363FB21544}"/>
    <cellStyle name="Style 73 4 2 4 2 4" xfId="11614" xr:uid="{1B3977BA-D597-4B1F-AC61-EEF4AC84877E}"/>
    <cellStyle name="Style 73 4 2 4 2 4 2" xfId="30531" xr:uid="{82350695-9581-4152-8977-39D4FDC47D7E}"/>
    <cellStyle name="Style 73 4 2 4 2 5" xfId="11615" xr:uid="{3F6CD0BF-1B9D-4EA8-B243-700E5B01DEE8}"/>
    <cellStyle name="Style 73 4 2 4 2 5 2" xfId="30532" xr:uid="{A5B151DD-81E1-4A43-AE58-710324DCA818}"/>
    <cellStyle name="Style 73 4 2 4 2 6" xfId="11616" xr:uid="{0494B750-2A69-4298-820C-9DC2C7B7B893}"/>
    <cellStyle name="Style 73 4 2 4 2 6 2" xfId="30533" xr:uid="{E7DC910A-64D0-41A3-8C82-FF1D48604B9C}"/>
    <cellStyle name="Style 73 4 2 4 2 7" xfId="11617" xr:uid="{41B7A6FA-F791-436B-8660-759E1DA01C1E}"/>
    <cellStyle name="Style 73 4 2 4 2 7 2" xfId="30534" xr:uid="{CAB46BA9-2021-49E0-9EF3-ACA81AA59ABE}"/>
    <cellStyle name="Style 73 4 2 4 2 8" xfId="11618" xr:uid="{677EA3CB-124A-4A0F-B128-6FD594E7F094}"/>
    <cellStyle name="Style 73 4 2 4 2 8 2" xfId="30535" xr:uid="{447BC61C-199A-4E0D-BE6A-7E07EC3853BE}"/>
    <cellStyle name="Style 73 4 2 4 2 9" xfId="11619" xr:uid="{F688847C-B400-41F1-8077-710CD9ACEF2D}"/>
    <cellStyle name="Style 73 4 2 4 2 9 2" xfId="30536" xr:uid="{EA9BB089-F85C-475C-B6FE-CFAC23135F3F}"/>
    <cellStyle name="Style 73 4 2 4 3" xfId="6715" xr:uid="{082CEAD9-4C4A-44E6-8887-3FEDC763D085}"/>
    <cellStyle name="Style 73 4 2 4 3 2" xfId="11620" xr:uid="{C832B559-5CD0-4FED-9669-EB333187C1E2}"/>
    <cellStyle name="Style 73 4 2 4 3 2 2" xfId="30537" xr:uid="{1A2C3907-C442-4E92-A9F6-4A6D48842823}"/>
    <cellStyle name="Style 73 4 2 4 3 3" xfId="27866" xr:uid="{7BE3F85E-4DB3-4C7C-BA46-55D014C52628}"/>
    <cellStyle name="Style 73 4 2 4 4" xfId="11621" xr:uid="{BA3DD4FB-A315-4188-8324-C8037D291ACB}"/>
    <cellStyle name="Style 73 4 2 4 4 2" xfId="30538" xr:uid="{E12E0B57-5E69-44B6-BDE1-455E51BEC860}"/>
    <cellStyle name="Style 73 4 2 4 5" xfId="11622" xr:uid="{32B97103-12BD-4C82-BB8B-DFA41B4764BF}"/>
    <cellStyle name="Style 73 4 2 4 5 2" xfId="30539" xr:uid="{A7D1C45C-2A2E-4F44-B1B7-2729A268DFD9}"/>
    <cellStyle name="Style 73 4 2 4 6" xfId="11623" xr:uid="{F96AE567-86D1-46FA-836D-9113168E1E0C}"/>
    <cellStyle name="Style 73 4 2 4 6 2" xfId="30540" xr:uid="{5F126511-1E17-4749-870A-1A99C9F0E184}"/>
    <cellStyle name="Style 73 4 2 4 7" xfId="11624" xr:uid="{1A1A417D-0649-4DFF-9429-EBA3BD9D694B}"/>
    <cellStyle name="Style 73 4 2 4 7 2" xfId="30541" xr:uid="{378C10BB-CDD9-467C-A3FF-473F8CF048DD}"/>
    <cellStyle name="Style 73 4 2 4 8" xfId="11625" xr:uid="{B364CD95-559E-4442-86A7-FAF9605BFA1D}"/>
    <cellStyle name="Style 73 4 2 4 8 2" xfId="30542" xr:uid="{FB87DC79-C7AF-4C96-83AD-011BFEAD4935}"/>
    <cellStyle name="Style 73 4 2 4 9" xfId="11626" xr:uid="{E4F7ED4B-7CC7-420D-B560-A685CCB028C1}"/>
    <cellStyle name="Style 73 4 2 4 9 2" xfId="30543" xr:uid="{F3E0C40F-2453-4967-BD44-8321EEB6BEC8}"/>
    <cellStyle name="Style 73 4 2 5" xfId="6717" xr:uid="{A2DBEB8E-2883-42EF-9C0B-762A10D89E14}"/>
    <cellStyle name="Style 73 4 2 5 2" xfId="11627" xr:uid="{FF298062-F9BA-4234-A010-6278C4C39695}"/>
    <cellStyle name="Style 73 4 2 5 2 2" xfId="30544" xr:uid="{BDA1E36D-6C89-4FFC-B034-DF7C4C4E8F99}"/>
    <cellStyle name="Style 73 4 2 5 3" xfId="11628" xr:uid="{C8972D68-7DE6-414C-94B9-81136279B924}"/>
    <cellStyle name="Style 73 4 2 5 3 2" xfId="30545" xr:uid="{F1ED8B8A-4C82-4C9B-941B-ED337822C256}"/>
    <cellStyle name="Style 73 4 2 5 4" xfId="11629" xr:uid="{F4E81671-CED8-4279-8E7C-FA4EC95A8086}"/>
    <cellStyle name="Style 73 4 2 5 4 2" xfId="30546" xr:uid="{DBE046F6-C714-400C-A0B4-F17297498AD0}"/>
    <cellStyle name="Style 73 4 2 5 5" xfId="24840" xr:uid="{36AE55B3-0B5D-44A6-975A-123E027749D9}"/>
    <cellStyle name="Style 73 4 2 6" xfId="6709" xr:uid="{6E150FC6-DF31-45E2-8A34-B43BDAEC3529}"/>
    <cellStyle name="Style 73 4 2 6 2" xfId="11630" xr:uid="{6E2EB0FA-946D-4174-A7D0-E77CBA1CDEB5}"/>
    <cellStyle name="Style 73 4 2 6 2 2" xfId="30547" xr:uid="{BDB6D01F-81F5-46A9-8E97-1EE6972F4C99}"/>
    <cellStyle name="Style 73 4 2 6 3" xfId="27862" xr:uid="{30C6AE71-A81D-466C-96FC-CBBF1B914E7E}"/>
    <cellStyle name="Style 73 4 2 7" xfId="11631" xr:uid="{14FC0901-F90F-4FA8-8E2C-8B40F5931CBD}"/>
    <cellStyle name="Style 73 4 2 7 2" xfId="30548" xr:uid="{0F7528AB-EE15-415F-B99A-74A382C2FAC9}"/>
    <cellStyle name="Style 73 4 2 8" xfId="11632" xr:uid="{33016E91-19BF-460F-900F-8AC472625EF1}"/>
    <cellStyle name="Style 73 4 2 8 2" xfId="30549" xr:uid="{DB5B6496-B1AC-4E1F-82AD-DF4E8B72001F}"/>
    <cellStyle name="Style 73 4 2 9" xfId="11633" xr:uid="{BEBA1F44-31D8-4627-B904-5E5120D72BA9}"/>
    <cellStyle name="Style 73 4 2 9 2" xfId="30550" xr:uid="{63EFAED9-52E3-4756-80BD-B0B76CDD8A5A}"/>
    <cellStyle name="Style 73 4 3" xfId="3274" xr:uid="{3C0A0192-41C9-49F2-BBF5-3C11CBF4249D}"/>
    <cellStyle name="Style 73 4 3 10" xfId="11634" xr:uid="{90C2057B-FD70-4375-92F1-727B8965AF17}"/>
    <cellStyle name="Style 73 4 3 10 2" xfId="30551" xr:uid="{34662612-59B0-42E9-A262-36E37CE0EA2C}"/>
    <cellStyle name="Style 73 4 3 11" xfId="23947" xr:uid="{4A2B2A9D-E8AC-4E5E-ACCD-ACEEE5066914}"/>
    <cellStyle name="Style 73 4 3 2" xfId="6718" xr:uid="{46479280-858F-4AC2-8AD9-BBD8247ADE01}"/>
    <cellStyle name="Style 73 4 3 2 2" xfId="11635" xr:uid="{10947B96-5FF4-4784-8AA6-CBBD17A248B1}"/>
    <cellStyle name="Style 73 4 3 2 2 2" xfId="30552" xr:uid="{B89A875D-DDD7-4F4E-AC6A-320190BAE685}"/>
    <cellStyle name="Style 73 4 3 2 3" xfId="27868" xr:uid="{081E07A7-92D7-4B7C-8A27-4E5C5785B4F0}"/>
    <cellStyle name="Style 73 4 3 3" xfId="11636" xr:uid="{532218C2-91E0-4CF2-A018-5193123D08DC}"/>
    <cellStyle name="Style 73 4 3 3 2" xfId="30553" xr:uid="{6B1C00C0-E775-434B-9AE5-0221392DEB21}"/>
    <cellStyle name="Style 73 4 3 4" xfId="11637" xr:uid="{D3579AA4-87AF-4782-AD18-CADCB8EEC6DF}"/>
    <cellStyle name="Style 73 4 3 4 2" xfId="30554" xr:uid="{CF952EF6-795E-49FD-8599-51F64CDEFF5C}"/>
    <cellStyle name="Style 73 4 3 5" xfId="11638" xr:uid="{B4104286-3067-4D40-B656-0599501BAD28}"/>
    <cellStyle name="Style 73 4 3 5 2" xfId="30555" xr:uid="{83E5E723-7982-4C75-997F-D0B6E77D234B}"/>
    <cellStyle name="Style 73 4 3 6" xfId="11639" xr:uid="{86D19DFE-580A-4FF9-9FFA-B1E67EC3F3DB}"/>
    <cellStyle name="Style 73 4 3 6 2" xfId="30556" xr:uid="{4B80B280-0484-4269-8D5A-383AEEC91EA7}"/>
    <cellStyle name="Style 73 4 3 7" xfId="11640" xr:uid="{0FF38432-0AA3-4475-964D-79AD85188589}"/>
    <cellStyle name="Style 73 4 3 7 2" xfId="30557" xr:uid="{FBEC29D2-94FE-4591-8AD7-C84681809321}"/>
    <cellStyle name="Style 73 4 3 8" xfId="11641" xr:uid="{233FBA76-8683-4610-B955-30E70131BACE}"/>
    <cellStyle name="Style 73 4 3 8 2" xfId="30558" xr:uid="{7B4E4E73-C632-41E1-9414-2A9C53415748}"/>
    <cellStyle name="Style 73 4 3 9" xfId="11642" xr:uid="{70619E69-9F1B-4C64-BDB8-ACAD3A59A06E}"/>
    <cellStyle name="Style 73 4 3 9 2" xfId="30559" xr:uid="{9745747A-80AC-4103-A196-4D59EFA31B5B}"/>
    <cellStyle name="Style 73 4 4" xfId="6719" xr:uid="{69317E27-E3BF-4722-B1B7-EFF2C7FBDDE8}"/>
    <cellStyle name="Style 73 4 4 2" xfId="6720" xr:uid="{5AAA026F-D82C-4768-ADA9-7C035F4F6F04}"/>
    <cellStyle name="Style 73 4 4 2 2" xfId="11643" xr:uid="{483DF5CE-606B-449F-BFF0-6B2BF97356AC}"/>
    <cellStyle name="Style 73 4 4 2 2 2" xfId="30560" xr:uid="{85DDE34F-FFCB-4D50-A296-7F09E75240C7}"/>
    <cellStyle name="Style 73 4 4 2 3" xfId="24841" xr:uid="{3D1735CF-7CF1-4902-8D18-A237ABA43119}"/>
    <cellStyle name="Style 73 4 4 3" xfId="11644" xr:uid="{1E6C9699-83E8-4B99-B7B1-43B27ECBEC99}"/>
    <cellStyle name="Style 73 4 4 3 2" xfId="30561" xr:uid="{0FEB4DEF-40CC-46B8-9E8B-85C141699DC2}"/>
    <cellStyle name="Style 73 4 4 4" xfId="11645" xr:uid="{99E6AD74-9FB9-4F12-88E5-B0F7DB100862}"/>
    <cellStyle name="Style 73 4 4 4 2" xfId="30562" xr:uid="{E5438C1F-A9D1-41FE-B5A8-262C03ACEA62}"/>
    <cellStyle name="Style 73 4 4 5" xfId="23948" xr:uid="{2B1E10DF-E988-4C30-B49C-F130B0158477}"/>
    <cellStyle name="Style 73 4 5" xfId="6708" xr:uid="{84F7D9E4-F9CB-4C07-A62C-143044605EAB}"/>
    <cellStyle name="Style 73 4 5 2" xfId="11646" xr:uid="{E5403F10-A218-4B52-AD96-FACA291345D8}"/>
    <cellStyle name="Style 73 4 5 2 2" xfId="30563" xr:uid="{9AFDB741-FB20-4A39-AEB6-5FB0B9B6840F}"/>
    <cellStyle name="Style 73 4 5 3" xfId="25957" xr:uid="{F69D40D6-3369-4351-96A9-6462A36616F0}"/>
    <cellStyle name="Style 73 4 6" xfId="4433" xr:uid="{F7635CA1-2369-41A5-8FDA-E3A49E8077DE}"/>
    <cellStyle name="Style 73 4 6 2" xfId="11647" xr:uid="{8B26885A-7B2B-417B-93EC-D6E79D6B6ED8}"/>
    <cellStyle name="Style 73 4 6 2 2" xfId="30564" xr:uid="{F258DD05-8CAD-42AD-8385-7840BECBEADD}"/>
    <cellStyle name="Style 73 4 6 3" xfId="26691" xr:uid="{EFF0B015-C144-4596-85D4-967325E8164A}"/>
    <cellStyle name="Style 73 4 7" xfId="11648" xr:uid="{5706AC7A-D45D-4822-91A7-108888329CEA}"/>
    <cellStyle name="Style 73 4 7 2" xfId="30565" xr:uid="{680D1DFA-7514-433B-BD6D-25B1456A0AAC}"/>
    <cellStyle name="Style 73 4 8" xfId="11649" xr:uid="{DDC3CF59-00BC-4840-AB81-6FFF484CDFEA}"/>
    <cellStyle name="Style 73 4 8 2" xfId="30566" xr:uid="{84126FE4-3AAD-452A-BCC5-E6D72A0890F7}"/>
    <cellStyle name="Style 73 4 9" xfId="11650" xr:uid="{1F80A3BD-BA2F-44F0-AB83-9B497D49FFCD}"/>
    <cellStyle name="Style 73 4 9 2" xfId="30567" xr:uid="{B286FE29-4EA2-4367-9E9B-5B47D3FF343E}"/>
    <cellStyle name="Style 73 5" xfId="3275" xr:uid="{1E450D4C-B0D1-4ACA-9393-5ECCA4FC83BC}"/>
    <cellStyle name="Style 73 5 10" xfId="11651" xr:uid="{D86F165A-2F07-4979-BE42-4E7FA99B2EB2}"/>
    <cellStyle name="Style 73 5 10 2" xfId="30568" xr:uid="{D5B64FA3-BF50-41F8-B054-E0273C066212}"/>
    <cellStyle name="Style 73 5 11" xfId="11652" xr:uid="{1613179E-C483-433A-AFAB-05990D0FC1E0}"/>
    <cellStyle name="Style 73 5 11 2" xfId="30569" xr:uid="{FE906478-F10A-472E-B2CB-19F0C6523D5D}"/>
    <cellStyle name="Style 73 5 12" xfId="11653" xr:uid="{BA7414EF-046C-44FC-BB71-FAF8B7146CE0}"/>
    <cellStyle name="Style 73 5 12 2" xfId="30570" xr:uid="{A8DA5AA9-3603-4F71-BC53-9C1FA096D386}"/>
    <cellStyle name="Style 73 5 13" xfId="11654" xr:uid="{5AD49E88-849A-4890-8996-227C0342A7B5}"/>
    <cellStyle name="Style 73 5 13 2" xfId="30571" xr:uid="{E720522B-D1C7-4FDF-90FB-A9F9B70B3EFA}"/>
    <cellStyle name="Style 73 5 14" xfId="23949" xr:uid="{238BEE4B-1E7C-4F0C-AB38-43D4568AAB85}"/>
    <cellStyle name="Style 73 5 2" xfId="3276" xr:uid="{ECF26991-B56D-4F03-904E-DCC8368428E2}"/>
    <cellStyle name="Style 73 5 2 10" xfId="11655" xr:uid="{3C59D653-2604-4BBB-B399-6D1B5B3B5EB0}"/>
    <cellStyle name="Style 73 5 2 10 2" xfId="30572" xr:uid="{56BA74A6-672F-4B86-B70A-FF6257A80568}"/>
    <cellStyle name="Style 73 5 2 11" xfId="11656" xr:uid="{C6A173F5-8677-4F83-8DEE-CA726CF77D64}"/>
    <cellStyle name="Style 73 5 2 11 2" xfId="30573" xr:uid="{1BF6D913-FD07-4AB3-BD86-D1CF4333B54B}"/>
    <cellStyle name="Style 73 5 2 12" xfId="11657" xr:uid="{E7E00625-6E38-468C-9F4F-C96FBA569A50}"/>
    <cellStyle name="Style 73 5 2 12 2" xfId="30574" xr:uid="{FD1C7AD5-E0D4-4A5C-9B36-D46865DE06A3}"/>
    <cellStyle name="Style 73 5 2 13" xfId="11658" xr:uid="{A4210717-DC73-4A76-8FE2-870266375206}"/>
    <cellStyle name="Style 73 5 2 13 2" xfId="30575" xr:uid="{E87F34B7-4C10-4FA5-B330-0F85CA8AAF1B}"/>
    <cellStyle name="Style 73 5 2 14" xfId="23950" xr:uid="{DFAA1106-C6A8-4BC7-B0D0-B21FE824525B}"/>
    <cellStyle name="Style 73 5 2 2" xfId="3277" xr:uid="{66F91B78-3906-4684-AC2D-DCDFEEC1D04F}"/>
    <cellStyle name="Style 73 5 2 2 10" xfId="11659" xr:uid="{2280211C-45E4-4652-AEC1-8CA734A67DA5}"/>
    <cellStyle name="Style 73 5 2 2 10 2" xfId="30576" xr:uid="{3E6AFF44-BD27-465B-8FC3-10FDB76A9F21}"/>
    <cellStyle name="Style 73 5 2 2 11" xfId="23951" xr:uid="{E5792901-49E0-4C5D-BDCA-FE79794AE3EF}"/>
    <cellStyle name="Style 73 5 2 2 2" xfId="6723" xr:uid="{6DDDDC77-514E-40B3-A4AD-5450038A3AD9}"/>
    <cellStyle name="Style 73 5 2 2 2 2" xfId="11660" xr:uid="{7A2AB5D0-2D95-45C3-B023-DD7390641D7E}"/>
    <cellStyle name="Style 73 5 2 2 2 2 2" xfId="30577" xr:uid="{ED25B7A5-7AA2-4FB1-9752-B853311D50BF}"/>
    <cellStyle name="Style 73 5 2 2 2 3" xfId="27870" xr:uid="{F524DABF-C25D-4838-B623-284F772F4592}"/>
    <cellStyle name="Style 73 5 2 2 3" xfId="11661" xr:uid="{DD808A3C-35CB-43D2-A5CF-83521E7A79CB}"/>
    <cellStyle name="Style 73 5 2 2 3 2" xfId="30578" xr:uid="{27CA28EB-73CF-4FA5-B70F-BD29D60ADF79}"/>
    <cellStyle name="Style 73 5 2 2 4" xfId="11662" xr:uid="{B0C3DCA8-2D78-4DE6-85B9-EAC420601407}"/>
    <cellStyle name="Style 73 5 2 2 4 2" xfId="30579" xr:uid="{3E9AF068-C665-4FAA-96B6-DE5C07E76C22}"/>
    <cellStyle name="Style 73 5 2 2 5" xfId="11663" xr:uid="{02A4C608-81E3-4387-B9E5-CE748B9193DD}"/>
    <cellStyle name="Style 73 5 2 2 5 2" xfId="30580" xr:uid="{5F2A6426-DF94-4E8F-B6D1-2F547B0CBC31}"/>
    <cellStyle name="Style 73 5 2 2 6" xfId="11664" xr:uid="{66470DA2-41FD-4B36-9893-5029039BC562}"/>
    <cellStyle name="Style 73 5 2 2 6 2" xfId="30581" xr:uid="{F6880455-C1F8-4327-BAAD-B8621FD76D84}"/>
    <cellStyle name="Style 73 5 2 2 7" xfId="11665" xr:uid="{3DB79026-0298-449C-B19F-C02603E429CD}"/>
    <cellStyle name="Style 73 5 2 2 7 2" xfId="30582" xr:uid="{A0A61A51-3AFA-4767-99CE-51C87DBA65E4}"/>
    <cellStyle name="Style 73 5 2 2 8" xfId="11666" xr:uid="{40562E08-8DEA-41C1-AE0B-2FB1A2C72F9C}"/>
    <cellStyle name="Style 73 5 2 2 8 2" xfId="30583" xr:uid="{DB79461C-C709-42FD-B840-1D48F9202E5B}"/>
    <cellStyle name="Style 73 5 2 2 9" xfId="11667" xr:uid="{E3ADE721-EB9F-4555-B992-83B7C49BF505}"/>
    <cellStyle name="Style 73 5 2 2 9 2" xfId="30584" xr:uid="{5FE06F53-5E7F-4737-8BB7-F678B587E0D3}"/>
    <cellStyle name="Style 73 5 2 3" xfId="3278" xr:uid="{933C1A8E-F718-4958-B211-079AB524053A}"/>
    <cellStyle name="Style 73 5 2 3 10" xfId="11668" xr:uid="{342275D1-AE9B-4B7A-A0D4-E5A4E8A6344D}"/>
    <cellStyle name="Style 73 5 2 3 10 2" xfId="30585" xr:uid="{DAAE0C1B-5B2B-4F43-8E5D-3CB6096DCB1D}"/>
    <cellStyle name="Style 73 5 2 3 11" xfId="11669" xr:uid="{49C7FA11-44BF-4A88-81BE-06058208DB46}"/>
    <cellStyle name="Style 73 5 2 3 11 2" xfId="30586" xr:uid="{97D496E9-DFE5-419F-AD5C-0C117D81B4D6}"/>
    <cellStyle name="Style 73 5 2 3 12" xfId="11670" xr:uid="{3464D562-AD65-4687-995E-30DD6658AA84}"/>
    <cellStyle name="Style 73 5 2 3 12 2" xfId="30587" xr:uid="{17EF6722-7D20-4AC1-B0FE-DEEE2DEE3C82}"/>
    <cellStyle name="Style 73 5 2 3 13" xfId="23952" xr:uid="{04BECEAA-28F4-4EEE-84B1-EF5041FA3D9B}"/>
    <cellStyle name="Style 73 5 2 3 2" xfId="3279" xr:uid="{E2B189BE-5F48-40AB-A848-1B292B9270D0}"/>
    <cellStyle name="Style 73 5 2 3 2 10" xfId="11671" xr:uid="{2E12129E-2C32-49A8-BB41-1E6042126854}"/>
    <cellStyle name="Style 73 5 2 3 2 10 2" xfId="30588" xr:uid="{874F3D1C-233C-4773-9A92-596C6E927649}"/>
    <cellStyle name="Style 73 5 2 3 2 11" xfId="23953" xr:uid="{AA20F2CE-306E-41BA-BA05-7BA846272F18}"/>
    <cellStyle name="Style 73 5 2 3 2 2" xfId="6725" xr:uid="{CBBD3AAE-4F28-455F-B835-9CFC28EF2BB6}"/>
    <cellStyle name="Style 73 5 2 3 2 2 2" xfId="11672" xr:uid="{4B2F9C1E-7232-4CB7-8BCF-652AC05859F6}"/>
    <cellStyle name="Style 73 5 2 3 2 2 2 2" xfId="30589" xr:uid="{B5856807-A157-4221-84E7-1500035F19DA}"/>
    <cellStyle name="Style 73 5 2 3 2 2 3" xfId="27872" xr:uid="{5D6BB3B6-D1B3-45F7-B7CB-BEDB991683A1}"/>
    <cellStyle name="Style 73 5 2 3 2 3" xfId="11673" xr:uid="{6BDD6A91-BCF7-4D40-9414-19871E70F371}"/>
    <cellStyle name="Style 73 5 2 3 2 3 2" xfId="30590" xr:uid="{D792E83D-CE75-4EFA-A52A-57A126E9F5A1}"/>
    <cellStyle name="Style 73 5 2 3 2 4" xfId="11674" xr:uid="{1AC9874D-BEC4-4A30-B774-D9E21AE96F7D}"/>
    <cellStyle name="Style 73 5 2 3 2 4 2" xfId="30591" xr:uid="{C2CB100F-190A-4008-9F3D-A9E6D7D906E1}"/>
    <cellStyle name="Style 73 5 2 3 2 5" xfId="11675" xr:uid="{2A562D8C-36DC-43C1-9CB3-7CD619B3D91D}"/>
    <cellStyle name="Style 73 5 2 3 2 5 2" xfId="30592" xr:uid="{76E104DE-B732-4EBC-B67D-94B222D5000E}"/>
    <cellStyle name="Style 73 5 2 3 2 6" xfId="11676" xr:uid="{FB6493E7-6F4E-4FBA-B773-241CA77F2E1A}"/>
    <cellStyle name="Style 73 5 2 3 2 6 2" xfId="30593" xr:uid="{AFB2A59B-E4BC-4011-9C19-B7F7647C6346}"/>
    <cellStyle name="Style 73 5 2 3 2 7" xfId="11677" xr:uid="{FB329650-9493-407E-9C6D-40A13B688206}"/>
    <cellStyle name="Style 73 5 2 3 2 7 2" xfId="30594" xr:uid="{A72AF85F-E82A-41B7-A867-B71919ADD0DF}"/>
    <cellStyle name="Style 73 5 2 3 2 8" xfId="11678" xr:uid="{C91333D7-9359-467D-B87F-6616C5A099D8}"/>
    <cellStyle name="Style 73 5 2 3 2 8 2" xfId="30595" xr:uid="{9C8D1609-E737-406E-BFA0-87E99CDA621A}"/>
    <cellStyle name="Style 73 5 2 3 2 9" xfId="11679" xr:uid="{43E31A89-9FF3-4092-B7EC-001B764D4DD4}"/>
    <cellStyle name="Style 73 5 2 3 2 9 2" xfId="30596" xr:uid="{2A37828C-0A62-40DD-B562-E1805205F809}"/>
    <cellStyle name="Style 73 5 2 3 3" xfId="6726" xr:uid="{B9219FF9-5515-4A28-B5B2-F5918DCC27D7}"/>
    <cellStyle name="Style 73 5 2 3 3 2" xfId="11680" xr:uid="{088AD717-0607-4468-8F8A-8E83ACF80088}"/>
    <cellStyle name="Style 73 5 2 3 3 2 2" xfId="30597" xr:uid="{15173D2E-B9D2-47CD-9BAA-58FFD43EC96B}"/>
    <cellStyle name="Style 73 5 2 3 3 3" xfId="11681" xr:uid="{E98B3628-FD50-4172-BD41-4D9F35B07B9F}"/>
    <cellStyle name="Style 73 5 2 3 3 3 2" xfId="30598" xr:uid="{FB52F3DD-55EF-493C-B11A-144EEF8B6180}"/>
    <cellStyle name="Style 73 5 2 3 3 4" xfId="11682" xr:uid="{135D0580-5891-4725-87FF-0FBA4A462722}"/>
    <cellStyle name="Style 73 5 2 3 3 4 2" xfId="30599" xr:uid="{FB8D4641-A738-49A2-9868-F96183A3BB34}"/>
    <cellStyle name="Style 73 5 2 3 3 5" xfId="23954" xr:uid="{4A53E063-60F2-4E6E-8AA9-18B76CB28F23}"/>
    <cellStyle name="Style 73 5 2 3 4" xfId="6727" xr:uid="{5B8064AD-7F64-42DC-BA50-C3B09E2DDCD9}"/>
    <cellStyle name="Style 73 5 2 3 4 2" xfId="11683" xr:uid="{41A4F25F-1783-4110-A339-9F113F10FED0}"/>
    <cellStyle name="Style 73 5 2 3 4 2 2" xfId="30600" xr:uid="{F9D2105D-1BDE-4746-B359-7662F741BB7B}"/>
    <cellStyle name="Style 73 5 2 3 4 3" xfId="24842" xr:uid="{6243C0D9-0F2D-4ABC-BB4E-0BA8BFFA2F37}"/>
    <cellStyle name="Style 73 5 2 3 5" xfId="6724" xr:uid="{F6D87059-7B26-4828-B198-F0B68E466F0D}"/>
    <cellStyle name="Style 73 5 2 3 5 2" xfId="11684" xr:uid="{62E0DE36-0564-448F-BD77-B72AEA5093D6}"/>
    <cellStyle name="Style 73 5 2 3 5 2 2" xfId="30601" xr:uid="{E51BA764-A445-4D6E-93CE-F0647F9114E7}"/>
    <cellStyle name="Style 73 5 2 3 5 3" xfId="27871" xr:uid="{223891CC-B383-46B9-9E74-497A30EAEE68}"/>
    <cellStyle name="Style 73 5 2 3 6" xfId="11685" xr:uid="{EC50CCD9-72AF-4A39-96E4-3A9AD0979FFA}"/>
    <cellStyle name="Style 73 5 2 3 6 2" xfId="30602" xr:uid="{1D90524E-ED22-42B9-B4E6-7E3ED6B1BE43}"/>
    <cellStyle name="Style 73 5 2 3 7" xfId="11686" xr:uid="{31380866-7ACE-486F-96BE-A16D0CB5573E}"/>
    <cellStyle name="Style 73 5 2 3 7 2" xfId="30603" xr:uid="{1923F4E0-E023-45C2-ADC3-C02F55E992AD}"/>
    <cellStyle name="Style 73 5 2 3 8" xfId="11687" xr:uid="{08F27ADA-E52D-4C79-91D2-B81EA507AFA8}"/>
    <cellStyle name="Style 73 5 2 3 8 2" xfId="30604" xr:uid="{9A523D49-1C31-47C1-A36D-D5211A8ACA49}"/>
    <cellStyle name="Style 73 5 2 3 9" xfId="11688" xr:uid="{B0391452-DA1D-47EC-8E17-E529580B6426}"/>
    <cellStyle name="Style 73 5 2 3 9 2" xfId="30605" xr:uid="{7E8CEB13-7BD8-474B-86F1-533F271BAAC2}"/>
    <cellStyle name="Style 73 5 2 4" xfId="3280" xr:uid="{EF1D4231-3B41-4021-B25A-0A1C05393EBF}"/>
    <cellStyle name="Style 73 5 2 4 10" xfId="11689" xr:uid="{726F573F-273A-4D9F-9892-43F1F5930968}"/>
    <cellStyle name="Style 73 5 2 4 10 2" xfId="30606" xr:uid="{4E04A909-CF6B-46EF-8589-B80F48233B50}"/>
    <cellStyle name="Style 73 5 2 4 11" xfId="11690" xr:uid="{0C92AB65-ACF6-4FEC-9B7D-41063798ED11}"/>
    <cellStyle name="Style 73 5 2 4 11 2" xfId="30607" xr:uid="{A41CA581-A744-43E9-8C57-D37372E7240A}"/>
    <cellStyle name="Style 73 5 2 4 12" xfId="23955" xr:uid="{148F9461-3F79-4A31-8877-CB55A41CA67A}"/>
    <cellStyle name="Style 73 5 2 4 2" xfId="3281" xr:uid="{D40EA85F-E44B-413A-9FC1-C95A5B3C61E9}"/>
    <cellStyle name="Style 73 5 2 4 2 10" xfId="11691" xr:uid="{08823DB9-EF48-4021-9A39-33A120D3B7A1}"/>
    <cellStyle name="Style 73 5 2 4 2 10 2" xfId="30608" xr:uid="{055A4558-AC25-4CFE-B12E-4E97A896DEDC}"/>
    <cellStyle name="Style 73 5 2 4 2 11" xfId="23956" xr:uid="{E8F5D398-C751-4B46-A052-C1FB2C917558}"/>
    <cellStyle name="Style 73 5 2 4 2 2" xfId="6729" xr:uid="{7BD1738D-4B3F-47DF-B538-E7868AEAFC24}"/>
    <cellStyle name="Style 73 5 2 4 2 2 2" xfId="11692" xr:uid="{B920155D-39F8-450A-B05A-B802F8853280}"/>
    <cellStyle name="Style 73 5 2 4 2 2 2 2" xfId="30609" xr:uid="{D9C56D25-868B-4ED8-ABB4-9D4EF96561D4}"/>
    <cellStyle name="Style 73 5 2 4 2 2 3" xfId="27874" xr:uid="{20F3FB7D-D58E-4EB4-83BF-8AEB5D792C71}"/>
    <cellStyle name="Style 73 5 2 4 2 3" xfId="11693" xr:uid="{0E5D1307-58ED-45D3-BB92-9F8E1B3287C5}"/>
    <cellStyle name="Style 73 5 2 4 2 3 2" xfId="30610" xr:uid="{8E8DF52A-F704-4066-BD82-A47BB98853A5}"/>
    <cellStyle name="Style 73 5 2 4 2 4" xfId="11694" xr:uid="{3DCE9676-3797-4950-ACBA-228F8F5BD38A}"/>
    <cellStyle name="Style 73 5 2 4 2 4 2" xfId="30611" xr:uid="{F867219B-716A-436F-8398-330B838CDBFF}"/>
    <cellStyle name="Style 73 5 2 4 2 5" xfId="11695" xr:uid="{5EDFF93A-FAE6-4702-9A02-63237CBB127A}"/>
    <cellStyle name="Style 73 5 2 4 2 5 2" xfId="30612" xr:uid="{C742A51A-AD8B-42E3-A97B-4944EF97CD62}"/>
    <cellStyle name="Style 73 5 2 4 2 6" xfId="11696" xr:uid="{26E806F8-D75B-4A65-9AC1-1FE0C2BF8964}"/>
    <cellStyle name="Style 73 5 2 4 2 6 2" xfId="30613" xr:uid="{343CACB5-B750-4575-9782-63CA062C8634}"/>
    <cellStyle name="Style 73 5 2 4 2 7" xfId="11697" xr:uid="{FC2EB7F1-5D9B-4BA2-8A7A-7377DE5A50E9}"/>
    <cellStyle name="Style 73 5 2 4 2 7 2" xfId="30614" xr:uid="{94BE4021-BCE4-4D42-8C57-7426ABDB5013}"/>
    <cellStyle name="Style 73 5 2 4 2 8" xfId="11698" xr:uid="{EBA55A71-5DEF-4FCE-812E-82B742D7549F}"/>
    <cellStyle name="Style 73 5 2 4 2 8 2" xfId="30615" xr:uid="{5E2C9A21-2464-42D7-9E1C-DE99FA70C39B}"/>
    <cellStyle name="Style 73 5 2 4 2 9" xfId="11699" xr:uid="{1226FCDE-1152-4A56-8454-470159C9A3A9}"/>
    <cellStyle name="Style 73 5 2 4 2 9 2" xfId="30616" xr:uid="{FE8B3FD9-613E-4299-8A0F-0D975A9BC183}"/>
    <cellStyle name="Style 73 5 2 4 3" xfId="6728" xr:uid="{A1A31AFA-370D-40B5-AFFA-D59F0BFD5A5A}"/>
    <cellStyle name="Style 73 5 2 4 3 2" xfId="11700" xr:uid="{702EFD64-64FC-4303-8FE6-70C531A11ADC}"/>
    <cellStyle name="Style 73 5 2 4 3 2 2" xfId="30617" xr:uid="{07646320-802F-49C7-B466-529B3ABAF10F}"/>
    <cellStyle name="Style 73 5 2 4 3 3" xfId="27873" xr:uid="{8B80A189-0448-40E2-B5D5-9797723EC806}"/>
    <cellStyle name="Style 73 5 2 4 4" xfId="11701" xr:uid="{1FE12F11-1CC7-48D6-BBBE-FE3504573E14}"/>
    <cellStyle name="Style 73 5 2 4 4 2" xfId="30618" xr:uid="{A97C0DCB-1C5C-48F0-A085-899E4F3325B7}"/>
    <cellStyle name="Style 73 5 2 4 5" xfId="11702" xr:uid="{507016A9-D61A-479C-B696-7DCC76322520}"/>
    <cellStyle name="Style 73 5 2 4 5 2" xfId="30619" xr:uid="{5D10EFD7-356E-4ED5-8CDB-0EC85A53356B}"/>
    <cellStyle name="Style 73 5 2 4 6" xfId="11703" xr:uid="{8341D673-106D-4AC9-9B91-FEDA9D95D88E}"/>
    <cellStyle name="Style 73 5 2 4 6 2" xfId="30620" xr:uid="{A07527C2-6F66-49CD-A38B-400F881D9FF2}"/>
    <cellStyle name="Style 73 5 2 4 7" xfId="11704" xr:uid="{939671C2-89DE-4772-A2C1-9C10391A4663}"/>
    <cellStyle name="Style 73 5 2 4 7 2" xfId="30621" xr:uid="{2286FEBF-4E06-4D59-BD27-BEA4E7868C89}"/>
    <cellStyle name="Style 73 5 2 4 8" xfId="11705" xr:uid="{1216CF10-8DB7-4E18-8B21-BA480A01C53A}"/>
    <cellStyle name="Style 73 5 2 4 8 2" xfId="30622" xr:uid="{56033CA2-34D4-4698-95CC-8068163A337A}"/>
    <cellStyle name="Style 73 5 2 4 9" xfId="11706" xr:uid="{D5ADEB5D-3A82-4380-9BAE-DDB087B1EA54}"/>
    <cellStyle name="Style 73 5 2 4 9 2" xfId="30623" xr:uid="{154028BD-8719-4C64-8890-132CCB7EDCFD}"/>
    <cellStyle name="Style 73 5 2 5" xfId="6730" xr:uid="{5B798B78-0823-4C5E-A14C-C5F23FCF7F1A}"/>
    <cellStyle name="Style 73 5 2 5 2" xfId="11707" xr:uid="{140C9E19-D2F8-49CA-B669-BEA347398BAE}"/>
    <cellStyle name="Style 73 5 2 5 2 2" xfId="30624" xr:uid="{25EABECB-7632-4912-9369-6F9AAD0900C8}"/>
    <cellStyle name="Style 73 5 2 5 3" xfId="24843" xr:uid="{5A2F8D80-4964-4104-B76A-023AE8A98063}"/>
    <cellStyle name="Style 73 5 2 6" xfId="6722" xr:uid="{784B1473-8D24-4930-8739-78714F236CB9}"/>
    <cellStyle name="Style 73 5 2 6 2" xfId="11708" xr:uid="{E5C1B9C4-08EE-4628-B50B-0B89F9A6E42F}"/>
    <cellStyle name="Style 73 5 2 6 2 2" xfId="30625" xr:uid="{42B133EA-89CF-41D1-B02C-4AC8A31FFD40}"/>
    <cellStyle name="Style 73 5 2 6 3" xfId="27869" xr:uid="{702E398E-C7A0-45B9-983B-B7AA3474BB43}"/>
    <cellStyle name="Style 73 5 2 7" xfId="11709" xr:uid="{009C3FC3-BCAD-46C5-8D58-A972314A2AAC}"/>
    <cellStyle name="Style 73 5 2 7 2" xfId="30626" xr:uid="{59F90956-8A94-452C-8CD0-9A3BFAD2DBC8}"/>
    <cellStyle name="Style 73 5 2 8" xfId="11710" xr:uid="{1A7A4085-1B9D-4DC1-9C49-87562A610923}"/>
    <cellStyle name="Style 73 5 2 8 2" xfId="30627" xr:uid="{267BEF47-B2BF-4163-80F3-063C9760442F}"/>
    <cellStyle name="Style 73 5 2 9" xfId="11711" xr:uid="{543D54B0-FD2F-43BD-B5BE-072C8B6B4B08}"/>
    <cellStyle name="Style 73 5 2 9 2" xfId="30628" xr:uid="{42D4F454-D0FA-4693-9B46-1F8BD73D4B92}"/>
    <cellStyle name="Style 73 5 3" xfId="3282" xr:uid="{BF06182C-FC43-4374-AB62-CEC89CB09A54}"/>
    <cellStyle name="Style 73 5 3 10" xfId="11712" xr:uid="{BC45C41C-36F6-4D76-B071-6169AC0AA581}"/>
    <cellStyle name="Style 73 5 3 10 2" xfId="30629" xr:uid="{8FE8B41C-FF91-42F6-98C9-0310CBC9B025}"/>
    <cellStyle name="Style 73 5 3 11" xfId="23957" xr:uid="{467434B2-D923-4708-9BD5-841816DE9905}"/>
    <cellStyle name="Style 73 5 3 2" xfId="6731" xr:uid="{11A02A1F-484B-4351-A402-6F894C9861B1}"/>
    <cellStyle name="Style 73 5 3 2 2" xfId="11713" xr:uid="{1995955B-2150-47A3-AB2C-343245EE2F1E}"/>
    <cellStyle name="Style 73 5 3 2 2 2" xfId="30630" xr:uid="{6D53C013-E092-4C36-8219-CCECCFFCE46A}"/>
    <cellStyle name="Style 73 5 3 2 3" xfId="27875" xr:uid="{DB76495E-6316-43D1-B407-AC2A24CFB05B}"/>
    <cellStyle name="Style 73 5 3 3" xfId="11714" xr:uid="{E7CD99A0-C20D-48AA-886A-2D7BCA89B792}"/>
    <cellStyle name="Style 73 5 3 3 2" xfId="30631" xr:uid="{A112FE20-1863-4C96-98BF-5D2DC185813E}"/>
    <cellStyle name="Style 73 5 3 4" xfId="11715" xr:uid="{BD76E015-54A0-433D-8ECB-6A2014260044}"/>
    <cellStyle name="Style 73 5 3 4 2" xfId="30632" xr:uid="{6D8935EC-DC04-48D0-BAB7-1F1A127E08AC}"/>
    <cellStyle name="Style 73 5 3 5" xfId="11716" xr:uid="{7987AA24-A337-40D2-BB8D-A44DE73387E6}"/>
    <cellStyle name="Style 73 5 3 5 2" xfId="30633" xr:uid="{A9511634-6EE2-4AD5-A726-EB3DA36C2B1C}"/>
    <cellStyle name="Style 73 5 3 6" xfId="11717" xr:uid="{48D0A0D2-A9B2-4673-9240-4A2FF74D241E}"/>
    <cellStyle name="Style 73 5 3 6 2" xfId="30634" xr:uid="{C17D3353-C2C2-4DED-A70C-9B9ED0F69DA8}"/>
    <cellStyle name="Style 73 5 3 7" xfId="11718" xr:uid="{F5C05FC1-C4A6-4F4A-BF4F-5C074C5AFBED}"/>
    <cellStyle name="Style 73 5 3 7 2" xfId="30635" xr:uid="{82DD5C5E-EE98-4194-9300-B3A6748B68C8}"/>
    <cellStyle name="Style 73 5 3 8" xfId="11719" xr:uid="{3A4297F3-6A03-4C79-AC90-CC6907062B63}"/>
    <cellStyle name="Style 73 5 3 8 2" xfId="30636" xr:uid="{FD3C80F0-116E-46B4-916F-4474FB484B88}"/>
    <cellStyle name="Style 73 5 3 9" xfId="11720" xr:uid="{E4ECCABD-EA90-41C0-A0DD-6F744C7397F8}"/>
    <cellStyle name="Style 73 5 3 9 2" xfId="30637" xr:uid="{F8592BC7-FAE2-4809-8FCF-C8637116C5D3}"/>
    <cellStyle name="Style 73 5 4" xfId="6732" xr:uid="{0796670E-39FB-4E03-BD7B-6BC336C162F7}"/>
    <cellStyle name="Style 73 5 4 2" xfId="6733" xr:uid="{5982E5C2-16C2-467A-A142-78AB5D5AF008}"/>
    <cellStyle name="Style 73 5 4 2 2" xfId="11721" xr:uid="{D535EE55-EDCA-49A0-963D-DE1E03DF72AC}"/>
    <cellStyle name="Style 73 5 4 2 2 2" xfId="30638" xr:uid="{63073D29-EC43-47FC-BBBB-BC0F6DD3F078}"/>
    <cellStyle name="Style 73 5 4 2 3" xfId="24844" xr:uid="{1CE1C12F-CCEA-4C49-AA2E-C64A03C94650}"/>
    <cellStyle name="Style 73 5 4 3" xfId="11722" xr:uid="{194B1E5F-A313-4551-8E91-DE1DF460C539}"/>
    <cellStyle name="Style 73 5 4 3 2" xfId="30639" xr:uid="{F91A5F04-D46C-4F02-8038-C3AF16301BC9}"/>
    <cellStyle name="Style 73 5 4 4" xfId="11723" xr:uid="{4F7CFC35-0A6E-4D77-8243-8DE1C0C2E806}"/>
    <cellStyle name="Style 73 5 4 4 2" xfId="30640" xr:uid="{319FD97C-914F-4E8F-AAC5-E99B1020F896}"/>
    <cellStyle name="Style 73 5 4 5" xfId="23958" xr:uid="{DC4FC687-F411-4134-9C8A-57D8583F64A0}"/>
    <cellStyle name="Style 73 5 5" xfId="6721" xr:uid="{28ADC56A-010D-4010-B229-FCFE3A6BD7A8}"/>
    <cellStyle name="Style 73 5 5 2" xfId="11724" xr:uid="{FB939702-0343-43DB-8008-B2A3C41E5B1D}"/>
    <cellStyle name="Style 73 5 5 2 2" xfId="30641" xr:uid="{C829C26E-7F2F-48D6-8011-5286DF6F5D6E}"/>
    <cellStyle name="Style 73 5 5 3" xfId="25958" xr:uid="{BA8B73BA-4158-4976-9228-C2DCF4781700}"/>
    <cellStyle name="Style 73 5 6" xfId="4434" xr:uid="{4744456C-1BAD-4479-9593-6D7E7046D15C}"/>
    <cellStyle name="Style 73 5 6 2" xfId="11725" xr:uid="{FA267051-F64D-446A-BC54-1CCBDCB0F3C8}"/>
    <cellStyle name="Style 73 5 6 2 2" xfId="30642" xr:uid="{423B4C2C-8E56-4731-910F-77CDCB00CF8B}"/>
    <cellStyle name="Style 73 5 6 3" xfId="26692" xr:uid="{00863792-9B17-4EC7-B0E9-251B2C7945DC}"/>
    <cellStyle name="Style 73 5 7" xfId="11726" xr:uid="{D0CDE03C-7963-4CC2-83ED-7E300B3D832D}"/>
    <cellStyle name="Style 73 5 7 2" xfId="30643" xr:uid="{92B29573-EB43-4CF1-A6DD-A6E35A24C509}"/>
    <cellStyle name="Style 73 5 8" xfId="11727" xr:uid="{9617847C-8F83-41DC-8B18-4CB641092059}"/>
    <cellStyle name="Style 73 5 8 2" xfId="30644" xr:uid="{AA68E0D0-72AC-4E8B-998C-7C3CF72BC0DE}"/>
    <cellStyle name="Style 73 5 9" xfId="11728" xr:uid="{BF28AB77-AB21-4D27-94F3-9205F77B0AAA}"/>
    <cellStyle name="Style 73 5 9 2" xfId="30645" xr:uid="{CF599466-B93D-4C98-9E22-A754F1831C27}"/>
    <cellStyle name="Style 73 6" xfId="3283" xr:uid="{4FE7BDA8-234A-4D05-8539-059FA54496B7}"/>
    <cellStyle name="Style 73 6 10" xfId="11729" xr:uid="{F0066FB9-72E5-4AD5-87E8-6E6580B69C8F}"/>
    <cellStyle name="Style 73 6 10 2" xfId="30646" xr:uid="{117C7C4E-B569-4F2B-B22C-2F6B07163DE2}"/>
    <cellStyle name="Style 73 6 11" xfId="11730" xr:uid="{EB72C044-4185-4FE9-B43C-D2695E99880C}"/>
    <cellStyle name="Style 73 6 11 2" xfId="30647" xr:uid="{EF159E16-2B8F-407B-987C-117FA022B1FD}"/>
    <cellStyle name="Style 73 6 12" xfId="11731" xr:uid="{100230BC-0ADC-4897-B15C-A213B951CEEA}"/>
    <cellStyle name="Style 73 6 12 2" xfId="30648" xr:uid="{1415E5A2-1810-4186-9CCE-88514B8A2FDF}"/>
    <cellStyle name="Style 73 6 13" xfId="11732" xr:uid="{7F44D111-63BB-4F8D-A7BD-DA932173F6E2}"/>
    <cellStyle name="Style 73 6 13 2" xfId="30649" xr:uid="{8FC93DBF-453E-4963-8245-8E91D95044E1}"/>
    <cellStyle name="Style 73 6 14" xfId="11733" xr:uid="{59805D8A-A28E-4D64-8132-FE3F46F56808}"/>
    <cellStyle name="Style 73 6 14 2" xfId="30650" xr:uid="{A92B82DF-63EC-4363-9F0D-B2B1FBB2BBEC}"/>
    <cellStyle name="Style 73 6 15" xfId="23959" xr:uid="{E81698E1-0F2F-4EE2-838C-D7A43287A803}"/>
    <cellStyle name="Style 73 6 2" xfId="3284" xr:uid="{F7E00277-3A19-47E8-B581-7018AC9F6FA8}"/>
    <cellStyle name="Style 73 6 2 10" xfId="11734" xr:uid="{2BDE7211-63AF-4294-833E-72CDC74821C9}"/>
    <cellStyle name="Style 73 6 2 10 2" xfId="30651" xr:uid="{C45AD53B-CAA3-4D67-B47E-A93D773D4D48}"/>
    <cellStyle name="Style 73 6 2 11" xfId="23960" xr:uid="{AF586AA6-AB84-4FAD-A329-91AD74ABC760}"/>
    <cellStyle name="Style 73 6 2 2" xfId="6735" xr:uid="{10CEDE15-9E77-4918-BE59-4F417DAFB5E9}"/>
    <cellStyle name="Style 73 6 2 2 2" xfId="11735" xr:uid="{31F8D15B-D2F6-491C-A258-0FFD781A3EA5}"/>
    <cellStyle name="Style 73 6 2 2 2 2" xfId="30652" xr:uid="{A27C5232-19A5-49F0-ADF8-7FA154FAA504}"/>
    <cellStyle name="Style 73 6 2 2 3" xfId="27877" xr:uid="{02EA2E56-7B66-4042-8EB3-FE5E5E8E4777}"/>
    <cellStyle name="Style 73 6 2 3" xfId="11736" xr:uid="{DAC12A38-CD3F-44DE-8172-21462642F85A}"/>
    <cellStyle name="Style 73 6 2 3 2" xfId="30653" xr:uid="{E99CE1EF-39CB-43C1-9519-6B8163ED93B0}"/>
    <cellStyle name="Style 73 6 2 4" xfId="11737" xr:uid="{5C36B8FA-9C99-4816-BF3B-AC5825452D02}"/>
    <cellStyle name="Style 73 6 2 4 2" xfId="30654" xr:uid="{97DA9031-B5E9-4B47-A21A-CD8EA3BBFD51}"/>
    <cellStyle name="Style 73 6 2 5" xfId="11738" xr:uid="{2E672893-ADC8-4134-A0D4-D3E0D0E4B446}"/>
    <cellStyle name="Style 73 6 2 5 2" xfId="30655" xr:uid="{30886B7F-4EDA-4B91-AD7A-2CD3E8732383}"/>
    <cellStyle name="Style 73 6 2 6" xfId="11739" xr:uid="{FE55A05F-A333-4C95-A5EA-51E1C8B7500B}"/>
    <cellStyle name="Style 73 6 2 6 2" xfId="30656" xr:uid="{8ECF6E03-EAF6-49BF-966D-BE200BAAB06C}"/>
    <cellStyle name="Style 73 6 2 7" xfId="11740" xr:uid="{E6E535EB-FCDD-414F-B832-1E175060AD74}"/>
    <cellStyle name="Style 73 6 2 7 2" xfId="30657" xr:uid="{C9D47345-1C8D-4417-A43C-0DC39401E19A}"/>
    <cellStyle name="Style 73 6 2 8" xfId="11741" xr:uid="{8A9F1598-453D-4A16-9553-1D86B5DAC07D}"/>
    <cellStyle name="Style 73 6 2 8 2" xfId="30658" xr:uid="{FDAF31F7-6196-4434-AA78-F59DA8CE76D1}"/>
    <cellStyle name="Style 73 6 2 9" xfId="11742" xr:uid="{0136DFFC-C50E-4236-A461-C1507F9B5342}"/>
    <cellStyle name="Style 73 6 2 9 2" xfId="30659" xr:uid="{4937C5E4-949B-4397-9BA8-9245527DC1D1}"/>
    <cellStyle name="Style 73 6 3" xfId="3285" xr:uid="{C45574C7-87A1-43A2-87DD-FE024C220F39}"/>
    <cellStyle name="Style 73 6 3 10" xfId="11743" xr:uid="{9C74593B-AE25-486A-A5DE-231CB2D9BC4B}"/>
    <cellStyle name="Style 73 6 3 10 2" xfId="30660" xr:uid="{D177D261-F3F1-462A-A9EB-4D52B092A45D}"/>
    <cellStyle name="Style 73 6 3 11" xfId="11744" xr:uid="{89138C29-3249-441E-93F3-102728D4A40B}"/>
    <cellStyle name="Style 73 6 3 11 2" xfId="30661" xr:uid="{552BBB97-F147-4079-AF6D-636EAA582C7C}"/>
    <cellStyle name="Style 73 6 3 12" xfId="11745" xr:uid="{2F6EA52A-0FA2-41AA-B825-F4C40A962680}"/>
    <cellStyle name="Style 73 6 3 12 2" xfId="30662" xr:uid="{F315BF69-ABAD-47F2-89AA-A8B2B922F8BF}"/>
    <cellStyle name="Style 73 6 3 13" xfId="23961" xr:uid="{188652A1-7277-44BA-AF33-C3CEB92C2D16}"/>
    <cellStyle name="Style 73 6 3 2" xfId="3286" xr:uid="{954AD874-C13E-427A-B186-1260AC15014C}"/>
    <cellStyle name="Style 73 6 3 2 10" xfId="11746" xr:uid="{E4BC94B7-F0CF-40D5-9F5F-65B1FDA21F6B}"/>
    <cellStyle name="Style 73 6 3 2 10 2" xfId="30663" xr:uid="{CD55130C-1622-4B6F-8EE4-5D0D4CF56386}"/>
    <cellStyle name="Style 73 6 3 2 11" xfId="23962" xr:uid="{BFE994E5-D14E-4D44-8DF6-87D627B52767}"/>
    <cellStyle name="Style 73 6 3 2 2" xfId="6737" xr:uid="{4D675B1B-DDFD-4A44-AE73-FA602188B56E}"/>
    <cellStyle name="Style 73 6 3 2 2 2" xfId="11747" xr:uid="{B89F5FAB-F550-462B-9BA3-B5372A11EDD5}"/>
    <cellStyle name="Style 73 6 3 2 2 2 2" xfId="30664" xr:uid="{EAAE9F90-50CD-4D81-B6E4-E0A977466E04}"/>
    <cellStyle name="Style 73 6 3 2 2 3" xfId="27879" xr:uid="{4B3F3C5F-3E8C-49EA-B387-E102DE259D4C}"/>
    <cellStyle name="Style 73 6 3 2 3" xfId="11748" xr:uid="{D26065BB-5902-4064-85B9-E98444940216}"/>
    <cellStyle name="Style 73 6 3 2 3 2" xfId="30665" xr:uid="{17D86C12-47C4-4D81-A50A-64C0C48CFB2A}"/>
    <cellStyle name="Style 73 6 3 2 4" xfId="11749" xr:uid="{D7C0922F-3D62-4AEF-BAC2-039D1C6FB993}"/>
    <cellStyle name="Style 73 6 3 2 4 2" xfId="30666" xr:uid="{E1EBBF8C-47B3-4870-A340-6CC826E75209}"/>
    <cellStyle name="Style 73 6 3 2 5" xfId="11750" xr:uid="{3F4B1B27-2527-48B6-BFE9-A71A7FE57974}"/>
    <cellStyle name="Style 73 6 3 2 5 2" xfId="30667" xr:uid="{56690892-667B-40A2-88EA-C7F1C0B9BACB}"/>
    <cellStyle name="Style 73 6 3 2 6" xfId="11751" xr:uid="{3829659F-D5C4-4D64-B2ED-773E66C9684B}"/>
    <cellStyle name="Style 73 6 3 2 6 2" xfId="30668" xr:uid="{23CED464-B2B1-441F-BC1E-88C5FAD5D07D}"/>
    <cellStyle name="Style 73 6 3 2 7" xfId="11752" xr:uid="{63EB16D3-F67D-4F4F-A170-DB858246D375}"/>
    <cellStyle name="Style 73 6 3 2 7 2" xfId="30669" xr:uid="{3EEA43D0-74C0-4D29-9834-BEEA06D96FE1}"/>
    <cellStyle name="Style 73 6 3 2 8" xfId="11753" xr:uid="{C8DCA1CD-5E2E-43C6-8BAE-3C87B3C27C6F}"/>
    <cellStyle name="Style 73 6 3 2 8 2" xfId="30670" xr:uid="{EC6332C7-DBB3-4C39-AB49-A684F42E03D7}"/>
    <cellStyle name="Style 73 6 3 2 9" xfId="11754" xr:uid="{1AE11C9A-6F25-4E67-801C-F004EF81DDC1}"/>
    <cellStyle name="Style 73 6 3 2 9 2" xfId="30671" xr:uid="{632B1BDA-57C9-4A47-ABDF-AFF641ACBAF5}"/>
    <cellStyle name="Style 73 6 3 3" xfId="6738" xr:uid="{F4AD0540-DAF9-4823-9B76-25F6A8DD2142}"/>
    <cellStyle name="Style 73 6 3 3 2" xfId="11755" xr:uid="{32FDA911-9BBD-4006-B282-9D071B77F63C}"/>
    <cellStyle name="Style 73 6 3 3 2 2" xfId="30672" xr:uid="{FE23D8CB-2143-48D6-8C2C-1FC3E1D2696F}"/>
    <cellStyle name="Style 73 6 3 3 3" xfId="11756" xr:uid="{040EEF7F-5E62-44A0-BFB6-343DED2AAB18}"/>
    <cellStyle name="Style 73 6 3 3 3 2" xfId="30673" xr:uid="{03C97E67-EAA5-489E-B627-6E4862A3D34C}"/>
    <cellStyle name="Style 73 6 3 3 4" xfId="11757" xr:uid="{FB972918-712D-4C2C-839A-4424420134AB}"/>
    <cellStyle name="Style 73 6 3 3 4 2" xfId="30674" xr:uid="{E6621AE4-61A6-4CBF-9995-A8C7620A3AC4}"/>
    <cellStyle name="Style 73 6 3 3 5" xfId="23963" xr:uid="{5C5E637A-DD3A-42B4-A33C-3D3FAE772CB4}"/>
    <cellStyle name="Style 73 6 3 4" xfId="6739" xr:uid="{73F92E67-69AE-46FF-9550-E80580A9391F}"/>
    <cellStyle name="Style 73 6 3 4 2" xfId="11758" xr:uid="{6EA6E1D7-D571-4559-ADC0-AA9E4A8A0E24}"/>
    <cellStyle name="Style 73 6 3 4 2 2" xfId="30675" xr:uid="{8289D279-5514-42CD-97F9-C840211C2D75}"/>
    <cellStyle name="Style 73 6 3 4 3" xfId="24845" xr:uid="{1E2E7B83-4A80-468E-A7C5-A7F4A4D999A2}"/>
    <cellStyle name="Style 73 6 3 5" xfId="6736" xr:uid="{1862C480-6331-4D49-AC7D-27653A68E6C3}"/>
    <cellStyle name="Style 73 6 3 5 2" xfId="11759" xr:uid="{4B60DCD6-D5B0-454D-BBDB-5CA84F35322D}"/>
    <cellStyle name="Style 73 6 3 5 2 2" xfId="30676" xr:uid="{A8F77013-40A3-4399-A5C2-2C6815522163}"/>
    <cellStyle name="Style 73 6 3 5 3" xfId="27878" xr:uid="{0FC1F7C3-DB43-4AA4-AA03-1820D78CE53F}"/>
    <cellStyle name="Style 73 6 3 6" xfId="11760" xr:uid="{A9B26EBE-3C44-48C2-AD93-D5A4355F90CA}"/>
    <cellStyle name="Style 73 6 3 6 2" xfId="30677" xr:uid="{39EB3869-1DD1-45C8-80EC-FA18D7DDA744}"/>
    <cellStyle name="Style 73 6 3 7" xfId="11761" xr:uid="{4ACCB130-D2B5-446A-A65D-D4D997A67479}"/>
    <cellStyle name="Style 73 6 3 7 2" xfId="30678" xr:uid="{1873D51D-4681-462F-8A19-5607A5FDC9B5}"/>
    <cellStyle name="Style 73 6 3 8" xfId="11762" xr:uid="{D285E112-9D4D-495D-94CA-D06CE9809059}"/>
    <cellStyle name="Style 73 6 3 8 2" xfId="30679" xr:uid="{BEB96B6F-9EF8-422B-9759-B61073C28286}"/>
    <cellStyle name="Style 73 6 3 9" xfId="11763" xr:uid="{3294B578-56E7-4357-846F-BEF44BEE7A1E}"/>
    <cellStyle name="Style 73 6 3 9 2" xfId="30680" xr:uid="{C0246050-8246-401F-8C0B-E495280D7A6C}"/>
    <cellStyle name="Style 73 6 4" xfId="3287" xr:uid="{3C74036D-4676-4008-B383-8D8290294E78}"/>
    <cellStyle name="Style 73 6 4 10" xfId="11764" xr:uid="{3AD7F7B6-76B5-42F3-8006-6A72BE4E31E2}"/>
    <cellStyle name="Style 73 6 4 10 2" xfId="30681" xr:uid="{D1B0C3CF-4271-409B-80E0-101F1D02C5B2}"/>
    <cellStyle name="Style 73 6 4 11" xfId="11765" xr:uid="{DB9E6062-031B-41CC-91FD-EFD6BD6AB999}"/>
    <cellStyle name="Style 73 6 4 11 2" xfId="30682" xr:uid="{5C83CA16-35C2-428D-B04C-C57CFA5878E4}"/>
    <cellStyle name="Style 73 6 4 12" xfId="11766" xr:uid="{7694061C-6827-4638-A335-E440E4C41E24}"/>
    <cellStyle name="Style 73 6 4 12 2" xfId="30683" xr:uid="{901D22FD-EA92-4FCB-9A5E-5DEA5709BBBF}"/>
    <cellStyle name="Style 73 6 4 13" xfId="23964" xr:uid="{AF45739F-B734-4B1C-B4D2-681F449B658C}"/>
    <cellStyle name="Style 73 6 4 2" xfId="3288" xr:uid="{F80D4913-9202-4CEA-BE58-668C140DCFFF}"/>
    <cellStyle name="Style 73 6 4 2 10" xfId="11767" xr:uid="{8E810A71-6082-4847-BFFC-367D1643692B}"/>
    <cellStyle name="Style 73 6 4 2 10 2" xfId="30684" xr:uid="{0CD1551D-45B0-4A9A-972E-BDE45F2129FE}"/>
    <cellStyle name="Style 73 6 4 2 11" xfId="11768" xr:uid="{03D7A469-553A-4999-8018-A2D99F0CB269}"/>
    <cellStyle name="Style 73 6 4 2 11 2" xfId="30685" xr:uid="{5A7D835E-5E41-4D7B-A817-862F93691B73}"/>
    <cellStyle name="Style 73 6 4 2 12" xfId="23965" xr:uid="{69D4C419-C28F-4CE2-839D-0A0A7EB475BC}"/>
    <cellStyle name="Style 73 6 4 2 2" xfId="6741" xr:uid="{12C800BA-DC64-4524-83EA-09F12394F151}"/>
    <cellStyle name="Style 73 6 4 2 2 2" xfId="11769" xr:uid="{AED29ADF-65DB-43A7-A337-2EDDB940E14B}"/>
    <cellStyle name="Style 73 6 4 2 2 2 2" xfId="30686" xr:uid="{C6CCAFBE-9142-442E-A984-2DA79A98E789}"/>
    <cellStyle name="Style 73 6 4 2 2 3" xfId="27881" xr:uid="{D8F2379F-1197-42FA-82CD-3C8EA01B2B60}"/>
    <cellStyle name="Style 73 6 4 2 3" xfId="11770" xr:uid="{8DE97B14-5533-4963-AAF7-F88920C701C3}"/>
    <cellStyle name="Style 73 6 4 2 3 2" xfId="30687" xr:uid="{A378909D-8543-413C-874B-2C06DDB6377D}"/>
    <cellStyle name="Style 73 6 4 2 4" xfId="11771" xr:uid="{131B3436-B3AF-4F0D-8475-869C44F18BC9}"/>
    <cellStyle name="Style 73 6 4 2 4 2" xfId="30688" xr:uid="{122B6472-7CFF-47B8-AF9D-DC67A57CFEE4}"/>
    <cellStyle name="Style 73 6 4 2 5" xfId="11772" xr:uid="{DD614BCB-7706-4F03-95DE-1200DDA4F1DA}"/>
    <cellStyle name="Style 73 6 4 2 5 2" xfId="30689" xr:uid="{30046AE1-6AF3-4A74-971D-5397EAE346B2}"/>
    <cellStyle name="Style 73 6 4 2 6" xfId="11773" xr:uid="{8CEDCB3F-D15D-477F-834B-72FE0BCEE52A}"/>
    <cellStyle name="Style 73 6 4 2 6 2" xfId="30690" xr:uid="{B95B3E26-3665-444B-BD4D-F57DE2BEEAFA}"/>
    <cellStyle name="Style 73 6 4 2 7" xfId="11774" xr:uid="{ED301ED3-661E-4AC5-9B4F-8A8F9B981F31}"/>
    <cellStyle name="Style 73 6 4 2 7 2" xfId="30691" xr:uid="{914AA01F-7C78-4569-AD8E-E1F109776F7F}"/>
    <cellStyle name="Style 73 6 4 2 8" xfId="11775" xr:uid="{44E89807-34F5-4284-8625-4EC01286A35F}"/>
    <cellStyle name="Style 73 6 4 2 8 2" xfId="30692" xr:uid="{15FAD970-5661-4BBC-B0D2-E5031C6C10FA}"/>
    <cellStyle name="Style 73 6 4 2 9" xfId="11776" xr:uid="{E16ABDE3-6330-449B-AF74-AF73AD83013F}"/>
    <cellStyle name="Style 73 6 4 2 9 2" xfId="30693" xr:uid="{53E8F9E1-BD21-419C-A5CC-D52BCD26094D}"/>
    <cellStyle name="Style 73 6 4 3" xfId="6740" xr:uid="{B050D45D-F0CD-4981-B860-EA739DC01A07}"/>
    <cellStyle name="Style 73 6 4 3 2" xfId="11777" xr:uid="{3BB5BC4E-97D3-4D53-BF4D-16BA2985A760}"/>
    <cellStyle name="Style 73 6 4 3 2 2" xfId="30694" xr:uid="{4ECB9A2D-0853-402F-8518-40B62E0C0977}"/>
    <cellStyle name="Style 73 6 4 3 3" xfId="27880" xr:uid="{5D84BA39-16ED-471E-AE5C-4E34A1C14837}"/>
    <cellStyle name="Style 73 6 4 4" xfId="11778" xr:uid="{95606018-9EF2-4E47-92B2-B36B1581A5DF}"/>
    <cellStyle name="Style 73 6 4 4 2" xfId="30695" xr:uid="{12296505-4FCC-4F86-AC68-1A9E52641FB9}"/>
    <cellStyle name="Style 73 6 4 5" xfId="11779" xr:uid="{17E37634-E201-4D69-9538-7EDEFBF9BBE1}"/>
    <cellStyle name="Style 73 6 4 5 2" xfId="30696" xr:uid="{D46FF557-717A-41FC-B253-1A2C0F73905E}"/>
    <cellStyle name="Style 73 6 4 6" xfId="11780" xr:uid="{CF476EB1-E8F3-42FA-B5DA-52ADD4A9A30F}"/>
    <cellStyle name="Style 73 6 4 6 2" xfId="30697" xr:uid="{89B43364-3073-41F7-8DC0-3B1192825855}"/>
    <cellStyle name="Style 73 6 4 7" xfId="11781" xr:uid="{9CE8B77D-D413-4FC4-A476-22BE09FDE6E0}"/>
    <cellStyle name="Style 73 6 4 7 2" xfId="30698" xr:uid="{5B527609-8B07-4D99-ADAF-3EDAC2A2C157}"/>
    <cellStyle name="Style 73 6 4 8" xfId="11782" xr:uid="{4D5D2EA3-DA21-4E32-86CD-A73C7C8DCC1B}"/>
    <cellStyle name="Style 73 6 4 8 2" xfId="30699" xr:uid="{CD456449-5A1D-40C8-94B4-729ABD8B8442}"/>
    <cellStyle name="Style 73 6 4 9" xfId="11783" xr:uid="{5860C1B1-11A6-444C-B532-9ECF1CC1F32C}"/>
    <cellStyle name="Style 73 6 4 9 2" xfId="30700" xr:uid="{9C7B1032-225E-459D-B7D5-5701C72D70CE}"/>
    <cellStyle name="Style 73 6 5" xfId="6742" xr:uid="{C585212D-2EC6-4507-AA09-0B672FA900AD}"/>
    <cellStyle name="Style 73 6 5 2" xfId="11784" xr:uid="{E1F629A9-A599-461B-BA07-D55EED2F055F}"/>
    <cellStyle name="Style 73 6 5 2 2" xfId="30701" xr:uid="{DC103938-D378-4E5D-A0E0-552ECF26DC3A}"/>
    <cellStyle name="Style 73 6 5 3" xfId="11785" xr:uid="{B1098341-E2B9-401D-9BA3-0F94FF70E0A8}"/>
    <cellStyle name="Style 73 6 5 3 2" xfId="30702" xr:uid="{128AE5D6-72EE-44F4-8C1A-9C0289199E3E}"/>
    <cellStyle name="Style 73 6 5 4" xfId="11786" xr:uid="{6EE0D1AB-29A4-4777-9712-B5EC7F811399}"/>
    <cellStyle name="Style 73 6 5 4 2" xfId="30703" xr:uid="{C514699A-970F-4A70-9628-C473EE44A540}"/>
    <cellStyle name="Style 73 6 5 5" xfId="24846" xr:uid="{C9B54F80-CA24-4564-A60A-69B8F0E0FBA3}"/>
    <cellStyle name="Style 73 6 6" xfId="6734" xr:uid="{52E7FACC-E001-43F3-B42E-62052907550E}"/>
    <cellStyle name="Style 73 6 6 2" xfId="11787" xr:uid="{97D91953-A770-4C37-B9E4-7BAA763E1A46}"/>
    <cellStyle name="Style 73 6 6 2 2" xfId="30704" xr:uid="{BDEECA0E-9F80-4503-8008-B523F63CD12B}"/>
    <cellStyle name="Style 73 6 6 3" xfId="27876" xr:uid="{538AA39F-9CCC-43BD-8C6A-CFFFC33734C0}"/>
    <cellStyle name="Style 73 6 7" xfId="11788" xr:uid="{84EF9C74-3146-4C21-8501-9C83C8AE8B89}"/>
    <cellStyle name="Style 73 6 7 2" xfId="30705" xr:uid="{0139E935-BF4C-4370-A8C6-37728DE68A00}"/>
    <cellStyle name="Style 73 6 8" xfId="11789" xr:uid="{61D59620-B8CC-4B0A-9F81-E2849DB7A522}"/>
    <cellStyle name="Style 73 6 8 2" xfId="30706" xr:uid="{B033F2F1-EF99-4FEB-B203-16D06CAEA84F}"/>
    <cellStyle name="Style 73 6 9" xfId="11790" xr:uid="{1748B949-DA7E-4D99-AF55-7CBB2FE60128}"/>
    <cellStyle name="Style 73 6 9 2" xfId="30707" xr:uid="{E7306AC0-3391-4686-9716-EEA89354BDB1}"/>
    <cellStyle name="Style 73 7" xfId="3289" xr:uid="{B8B19667-811B-4068-BB9C-46B53DDC6D6B}"/>
    <cellStyle name="Style 73 7 10" xfId="11791" xr:uid="{606CA9D2-B2BD-42E6-8FA3-A054AAAEE46A}"/>
    <cellStyle name="Style 73 7 10 2" xfId="30708" xr:uid="{98F7A745-EB05-4A92-9702-F07261665075}"/>
    <cellStyle name="Style 73 7 11" xfId="11792" xr:uid="{652FEE25-4C85-4D7B-B386-910E00ECE12C}"/>
    <cellStyle name="Style 73 7 11 2" xfId="30709" xr:uid="{C2FFD1BE-35A8-4DFB-A013-93B5837D465F}"/>
    <cellStyle name="Style 73 7 12" xfId="11793" xr:uid="{E6BACC54-4327-4770-A01C-19926A8993BD}"/>
    <cellStyle name="Style 73 7 12 2" xfId="30710" xr:uid="{3DD75B35-590A-43A7-9AF4-7CB6E83DF456}"/>
    <cellStyle name="Style 73 7 13" xfId="11794" xr:uid="{CCE5B3A8-6DAE-4236-BE96-BE4B4C543EA3}"/>
    <cellStyle name="Style 73 7 13 2" xfId="30711" xr:uid="{4A0BAD3D-2F69-47C3-9DCA-3461B35ABD6F}"/>
    <cellStyle name="Style 73 7 14" xfId="23966" xr:uid="{E174227E-86A5-4EB7-902E-B09AE7426454}"/>
    <cellStyle name="Style 73 7 2" xfId="3290" xr:uid="{B6DAA01C-38B9-4A42-B4D2-3730E2053E87}"/>
    <cellStyle name="Style 73 7 2 10" xfId="11795" xr:uid="{E4C660DC-0AF7-4166-A900-B8555FEDD2D7}"/>
    <cellStyle name="Style 73 7 2 10 2" xfId="30712" xr:uid="{949D7ADB-9659-42E4-8ECD-8A30A543B7C0}"/>
    <cellStyle name="Style 73 7 2 11" xfId="11796" xr:uid="{364C9BDF-A01D-47A2-A2AB-8966E0EEC3A3}"/>
    <cellStyle name="Style 73 7 2 11 2" xfId="30713" xr:uid="{AA96D99C-2593-45FF-9028-B1E40EA3D5AC}"/>
    <cellStyle name="Style 73 7 2 12" xfId="23967" xr:uid="{D26BC197-995D-49EB-9CAD-084D6BD1F8BE}"/>
    <cellStyle name="Style 73 7 2 2" xfId="6744" xr:uid="{C8A984EC-4B18-4709-8D0B-BD0A4F568E08}"/>
    <cellStyle name="Style 73 7 2 2 2" xfId="11797" xr:uid="{5927717A-74A2-4083-BFAA-F92157E9767A}"/>
    <cellStyle name="Style 73 7 2 2 2 2" xfId="30714" xr:uid="{44B2E40A-2E4A-4EBD-97E4-1E9579699ED6}"/>
    <cellStyle name="Style 73 7 2 2 3" xfId="27883" xr:uid="{B8E48FE9-9A2C-4C6D-9893-19115C2D8146}"/>
    <cellStyle name="Style 73 7 2 3" xfId="11798" xr:uid="{46241A74-C18C-4536-A51C-EF3F2974D0BD}"/>
    <cellStyle name="Style 73 7 2 3 2" xfId="30715" xr:uid="{66A39C96-1E76-48C4-A9CC-2B225360DB27}"/>
    <cellStyle name="Style 73 7 2 4" xfId="11799" xr:uid="{822152DF-D1B6-4492-83D3-AA62430441AE}"/>
    <cellStyle name="Style 73 7 2 4 2" xfId="30716" xr:uid="{EAAB3DD2-9FB0-44D7-9D17-638C69A446E8}"/>
    <cellStyle name="Style 73 7 2 5" xfId="11800" xr:uid="{E0132B46-D16C-4562-BBB2-E2F8B81E5BA1}"/>
    <cellStyle name="Style 73 7 2 5 2" xfId="30717" xr:uid="{09C02336-FD3F-4E14-A54F-B6BF74719D7F}"/>
    <cellStyle name="Style 73 7 2 6" xfId="11801" xr:uid="{EF2B2561-F3C1-4EDE-93DF-93D76761A57B}"/>
    <cellStyle name="Style 73 7 2 6 2" xfId="30718" xr:uid="{CBCCB172-55BF-46F3-83C2-FCA2C8A4095D}"/>
    <cellStyle name="Style 73 7 2 7" xfId="11802" xr:uid="{E7F47331-1011-4CAB-B4DB-0716C6C3DEB6}"/>
    <cellStyle name="Style 73 7 2 7 2" xfId="30719" xr:uid="{EC032740-DCE6-41C0-A0EC-C013374C5844}"/>
    <cellStyle name="Style 73 7 2 8" xfId="11803" xr:uid="{C37A9A22-AD57-4CF2-8295-83A4DEF88857}"/>
    <cellStyle name="Style 73 7 2 8 2" xfId="30720" xr:uid="{AA29893A-F5D1-4FF5-A72C-46C9E8B33F5F}"/>
    <cellStyle name="Style 73 7 2 9" xfId="11804" xr:uid="{0F46F0F2-F103-4E57-B80B-8E1C7599E537}"/>
    <cellStyle name="Style 73 7 2 9 2" xfId="30721" xr:uid="{9E9D2B0C-73CA-4573-903C-8F235FD35EF7}"/>
    <cellStyle name="Style 73 7 3" xfId="6745" xr:uid="{C07BD9C2-30E1-42AC-B0A8-67DC3C9D3699}"/>
    <cellStyle name="Style 73 7 3 2" xfId="11805" xr:uid="{6124D1B6-81C2-4E8C-BA61-888277D033E4}"/>
    <cellStyle name="Style 73 7 3 2 2" xfId="30722" xr:uid="{053B6D75-564C-4E53-A7A5-5EC300C55FBF}"/>
    <cellStyle name="Style 73 7 3 3" xfId="11806" xr:uid="{26734874-F81A-4351-B1DB-02970546A2D3}"/>
    <cellStyle name="Style 73 7 3 3 2" xfId="30723" xr:uid="{2DC56CFB-97AB-4C65-AF08-266DD2298AEA}"/>
    <cellStyle name="Style 73 7 3 4" xfId="11807" xr:uid="{381A89FB-1A3D-4C4F-B058-FF42428662E2}"/>
    <cellStyle name="Style 73 7 3 4 2" xfId="30724" xr:uid="{EC04E8D8-DFC1-4BED-B317-A4369B4E907A}"/>
    <cellStyle name="Style 73 7 3 5" xfId="23968" xr:uid="{948CEED4-8E8D-48D7-9EA4-C13EBB66FF58}"/>
    <cellStyle name="Style 73 7 4" xfId="6746" xr:uid="{FA650CA5-B466-4930-9DB2-EBCFDBEA9A7E}"/>
    <cellStyle name="Style 73 7 4 2" xfId="11808" xr:uid="{BEBBCB4D-E5B4-401F-8DD5-AC1BF6C95BA8}"/>
    <cellStyle name="Style 73 7 4 2 2" xfId="30725" xr:uid="{19C280DA-2D7E-4A41-A52E-BDBEFBD76D87}"/>
    <cellStyle name="Style 73 7 4 3" xfId="24847" xr:uid="{12CF3248-E5A2-4D56-8DEB-46CF909571F6}"/>
    <cellStyle name="Style 73 7 5" xfId="6743" xr:uid="{CA54794C-9A1C-40C8-BC3C-D2543393DC17}"/>
    <cellStyle name="Style 73 7 5 2" xfId="11809" xr:uid="{E635622D-0CAC-4BBB-A0C5-71DAA61AD979}"/>
    <cellStyle name="Style 73 7 5 2 2" xfId="30726" xr:uid="{6EC1BC03-77EE-448C-8D6F-56536E5E5F48}"/>
    <cellStyle name="Style 73 7 5 3" xfId="27882" xr:uid="{C90DDB67-54FE-4899-BA6D-EA689805ABC7}"/>
    <cellStyle name="Style 73 7 6" xfId="11810" xr:uid="{E305CC31-32DB-48EF-9F90-9125AE5A268C}"/>
    <cellStyle name="Style 73 7 6 2" xfId="30727" xr:uid="{520253E4-FDEB-488C-83CA-76BE104C0AF8}"/>
    <cellStyle name="Style 73 7 7" xfId="11811" xr:uid="{F51F29BB-B547-4639-B3E5-4A9ACBB1A834}"/>
    <cellStyle name="Style 73 7 7 2" xfId="30728" xr:uid="{076BDD86-546C-402F-82AD-B341C2C458AA}"/>
    <cellStyle name="Style 73 7 8" xfId="11812" xr:uid="{1BEB5227-47E3-4B21-9C1E-669EEE158B29}"/>
    <cellStyle name="Style 73 7 8 2" xfId="30729" xr:uid="{5B2515E7-20DE-484B-BE35-933D965F298A}"/>
    <cellStyle name="Style 73 7 9" xfId="11813" xr:uid="{D57F6E94-BD4A-4984-A003-A95CEADE5843}"/>
    <cellStyle name="Style 73 7 9 2" xfId="30730" xr:uid="{10F255C1-07C4-40E7-B5CD-1BD242CF9A29}"/>
    <cellStyle name="Style 73 8" xfId="3291" xr:uid="{D5D7DDD7-7310-45E7-A2F1-07A99E2565DB}"/>
    <cellStyle name="Style 73 8 10" xfId="11814" xr:uid="{88CD39CC-4172-4781-B51B-020E72262CD3}"/>
    <cellStyle name="Style 73 8 10 2" xfId="30731" xr:uid="{69078B50-7972-4ED3-B7C6-2AD332F9867B}"/>
    <cellStyle name="Style 73 8 11" xfId="11815" xr:uid="{30905AE1-D58B-4240-A56C-16947016EC58}"/>
    <cellStyle name="Style 73 8 11 2" xfId="30732" xr:uid="{D747D6D5-8A09-4BE9-AC8B-3D8B51A8B8FB}"/>
    <cellStyle name="Style 73 8 12" xfId="11816" xr:uid="{4D6813BC-3EA7-4FFE-859D-644B803E9074}"/>
    <cellStyle name="Style 73 8 12 2" xfId="30733" xr:uid="{1DF5CFDD-410D-4183-8536-AE32FC1D9F19}"/>
    <cellStyle name="Style 73 8 13" xfId="23969" xr:uid="{43119944-7F7B-4B73-9DDE-1D22F5DB0D3C}"/>
    <cellStyle name="Style 73 8 2" xfId="3292" xr:uid="{DE75AD6C-DF06-4289-BB1E-A567986904A8}"/>
    <cellStyle name="Style 73 8 2 10" xfId="11817" xr:uid="{B62871F7-424B-49F0-AE44-D0F534C525B2}"/>
    <cellStyle name="Style 73 8 2 10 2" xfId="30734" xr:uid="{B3FE5F65-1666-4DB4-B486-A3A5DEDC8F4F}"/>
    <cellStyle name="Style 73 8 2 11" xfId="11818" xr:uid="{7D555932-C028-488A-AE3E-95201040615C}"/>
    <cellStyle name="Style 73 8 2 11 2" xfId="30735" xr:uid="{6A90CDF4-5574-4595-A7AF-25638425FA42}"/>
    <cellStyle name="Style 73 8 2 12" xfId="23970" xr:uid="{D50162EB-4526-4285-B0D9-C21571DE0289}"/>
    <cellStyle name="Style 73 8 2 2" xfId="6748" xr:uid="{F6F040F2-698E-48F5-87DE-1D1664AFAA4D}"/>
    <cellStyle name="Style 73 8 2 2 2" xfId="11819" xr:uid="{EB7C0EBA-9D4E-4E48-8162-A2DE7005C890}"/>
    <cellStyle name="Style 73 8 2 2 2 2" xfId="30736" xr:uid="{E9B6978E-EF36-493A-A521-3A555595FFBC}"/>
    <cellStyle name="Style 73 8 2 2 3" xfId="27885" xr:uid="{E438E99A-0C6D-4895-9D66-8AECC5B4FAE0}"/>
    <cellStyle name="Style 73 8 2 3" xfId="11820" xr:uid="{0A40312C-D7AC-4122-98C8-74C074A1996B}"/>
    <cellStyle name="Style 73 8 2 3 2" xfId="30737" xr:uid="{28EC5929-7E51-4646-A486-8E815F7C8276}"/>
    <cellStyle name="Style 73 8 2 4" xfId="11821" xr:uid="{E68901C2-403F-4D5E-A87F-2335D6F64693}"/>
    <cellStyle name="Style 73 8 2 4 2" xfId="30738" xr:uid="{024DC9DB-16B8-4DCD-8C31-ABBF1241F6F8}"/>
    <cellStyle name="Style 73 8 2 5" xfId="11822" xr:uid="{E74FB6CF-754B-46B4-BE6A-4252830A5298}"/>
    <cellStyle name="Style 73 8 2 5 2" xfId="30739" xr:uid="{F6AC6D30-275A-4992-BAEC-EE748B7FC560}"/>
    <cellStyle name="Style 73 8 2 6" xfId="11823" xr:uid="{BC1E8738-6ECE-4A6B-8F70-FC6D544A4060}"/>
    <cellStyle name="Style 73 8 2 6 2" xfId="30740" xr:uid="{BF4568A7-BE37-494C-AA87-8A74BB0C9F06}"/>
    <cellStyle name="Style 73 8 2 7" xfId="11824" xr:uid="{D5027BE2-9C4D-4455-99A8-95DA16B7B847}"/>
    <cellStyle name="Style 73 8 2 7 2" xfId="30741" xr:uid="{56D69703-E2A3-4EC9-973B-F912EC02C57D}"/>
    <cellStyle name="Style 73 8 2 8" xfId="11825" xr:uid="{BB53F15C-F6B0-4CBF-BCD0-6839A47CB39C}"/>
    <cellStyle name="Style 73 8 2 8 2" xfId="30742" xr:uid="{808796CF-B626-4F3B-ADD7-C87D4D9F3099}"/>
    <cellStyle name="Style 73 8 2 9" xfId="11826" xr:uid="{8D38F6D2-5B52-44A8-BE8E-64098ED1542E}"/>
    <cellStyle name="Style 73 8 2 9 2" xfId="30743" xr:uid="{F49B9757-F30F-47A6-B593-96CD78249EE2}"/>
    <cellStyle name="Style 73 8 3" xfId="6749" xr:uid="{CAD3902D-28FC-4C3C-8997-7B60902CB26D}"/>
    <cellStyle name="Style 73 8 3 2" xfId="11827" xr:uid="{138C1A5A-D1BA-4BA9-B26B-489755A80534}"/>
    <cellStyle name="Style 73 8 3 2 2" xfId="30744" xr:uid="{033B4663-2B14-4506-BB5F-190BF15DBA30}"/>
    <cellStyle name="Style 73 8 3 3" xfId="23971" xr:uid="{01C4236D-3712-4B09-953D-1BEAA538B74B}"/>
    <cellStyle name="Style 73 8 4" xfId="6750" xr:uid="{458B1271-83F6-4E80-A16D-19011DABECD0}"/>
    <cellStyle name="Style 73 8 4 2" xfId="11828" xr:uid="{74401523-3AC0-4DE7-ADCB-C2E2E5F529B8}"/>
    <cellStyle name="Style 73 8 4 2 2" xfId="30745" xr:uid="{E0ABF1DA-F04E-418B-8577-415DCF38F5C4}"/>
    <cellStyle name="Style 73 8 4 3" xfId="24848" xr:uid="{9C079DAD-9A2F-4BA5-96F5-914C32D973FA}"/>
    <cellStyle name="Style 73 8 5" xfId="6747" xr:uid="{EED29EAE-383E-4C0E-8189-F6D76F447C3E}"/>
    <cellStyle name="Style 73 8 5 2" xfId="11829" xr:uid="{AFCA2DB1-CC48-4F70-9B66-7519F07CA295}"/>
    <cellStyle name="Style 73 8 5 2 2" xfId="30746" xr:uid="{38D5E20B-094A-4E4A-BFC7-7D4881721352}"/>
    <cellStyle name="Style 73 8 5 3" xfId="27884" xr:uid="{B522DA30-D6EA-40DB-A6D6-B548B8640910}"/>
    <cellStyle name="Style 73 8 6" xfId="11830" xr:uid="{7F9F62D5-02E9-4081-BC24-368F9ECE4FC0}"/>
    <cellStyle name="Style 73 8 6 2" xfId="30747" xr:uid="{62F69763-0021-4561-8B11-055F56170CE1}"/>
    <cellStyle name="Style 73 8 7" xfId="11831" xr:uid="{6712FAF9-E54B-40DC-9EF2-11A8EBDD6131}"/>
    <cellStyle name="Style 73 8 7 2" xfId="30748" xr:uid="{04545C4F-32EA-4BE2-A1E4-D80D6F1F4CF5}"/>
    <cellStyle name="Style 73 8 8" xfId="11832" xr:uid="{1D610DDC-5BB9-44A1-BC4B-DD009D22E97A}"/>
    <cellStyle name="Style 73 8 8 2" xfId="30749" xr:uid="{01B6E780-85C9-4AE5-874F-B8EE775128DE}"/>
    <cellStyle name="Style 73 8 9" xfId="11833" xr:uid="{88B610A8-1CBC-4D58-B2F5-BD20F59BB3E6}"/>
    <cellStyle name="Style 73 8 9 2" xfId="30750" xr:uid="{9612FD71-D784-4E3C-AC27-D065C0882A86}"/>
    <cellStyle name="Style 73 9" xfId="3293" xr:uid="{E91B71AA-3183-4D5F-90B8-6123317A4A96}"/>
    <cellStyle name="Style 73 9 10" xfId="11834" xr:uid="{ADC143F3-8FD5-4F88-A691-90640B7B01E2}"/>
    <cellStyle name="Style 73 9 10 2" xfId="30751" xr:uid="{32D7DEA6-936E-46DE-BC12-E37C9A50CA22}"/>
    <cellStyle name="Style 73 9 11" xfId="11835" xr:uid="{35590D40-DD68-4A66-86C2-6A2D4D11C8D1}"/>
    <cellStyle name="Style 73 9 11 2" xfId="30752" xr:uid="{C915F578-33CC-4058-938E-97E237B1798C}"/>
    <cellStyle name="Style 73 9 12" xfId="11836" xr:uid="{6CA8E20A-168A-4B56-B6BA-50D915D0ECC3}"/>
    <cellStyle name="Style 73 9 12 2" xfId="30753" xr:uid="{45DB976B-80AD-4759-863F-D4FE001637EC}"/>
    <cellStyle name="Style 73 9 13" xfId="23972" xr:uid="{C94C1202-C4BA-4EB9-85F3-7E92C777C0E9}"/>
    <cellStyle name="Style 73 9 2" xfId="3294" xr:uid="{3A7B6E1D-006E-496A-B576-6390C50BBC58}"/>
    <cellStyle name="Style 73 9 2 10" xfId="11837" xr:uid="{A136BB98-40CD-4499-B655-DE38329E03B7}"/>
    <cellStyle name="Style 73 9 2 10 2" xfId="30754" xr:uid="{5D517AEB-5CAE-427B-B069-6BF75CC6A0A7}"/>
    <cellStyle name="Style 73 9 2 11" xfId="24849" xr:uid="{BFF5D523-B948-4AEB-9034-C26505E2480C}"/>
    <cellStyle name="Style 73 9 2 2" xfId="6751" xr:uid="{CAFC1274-6D4A-48B9-9A7D-C6652BAABAF1}"/>
    <cellStyle name="Style 73 9 2 2 2" xfId="11838" xr:uid="{1A3A1105-1DD7-4181-A472-51D2F7FF55E0}"/>
    <cellStyle name="Style 73 9 2 2 2 2" xfId="30755" xr:uid="{11568B59-1117-41FF-848E-E5EA6A89D1D8}"/>
    <cellStyle name="Style 73 9 2 2 3" xfId="27887" xr:uid="{4360263E-4C10-46BE-8B6F-8DA5FC7EF04A}"/>
    <cellStyle name="Style 73 9 2 3" xfId="11839" xr:uid="{0882EAF6-B862-4E7D-8AE1-6DBA53EA6BAC}"/>
    <cellStyle name="Style 73 9 2 3 2" xfId="30756" xr:uid="{54D10D26-1FC7-4C27-8AA9-762282A3F3AD}"/>
    <cellStyle name="Style 73 9 2 4" xfId="11840" xr:uid="{14BBF090-EF0E-4DBA-9097-63ABF023B59E}"/>
    <cellStyle name="Style 73 9 2 4 2" xfId="30757" xr:uid="{489912DF-51A3-42A8-9051-9390939248FA}"/>
    <cellStyle name="Style 73 9 2 5" xfId="11841" xr:uid="{9CD5D49E-7F77-4542-9B72-3487E679269B}"/>
    <cellStyle name="Style 73 9 2 5 2" xfId="30758" xr:uid="{31D0FBB5-9021-4A26-A0D7-CBFB18658A6E}"/>
    <cellStyle name="Style 73 9 2 6" xfId="11842" xr:uid="{32EFF24B-CF0C-4529-B398-339AB9BDA3B7}"/>
    <cellStyle name="Style 73 9 2 6 2" xfId="30759" xr:uid="{D2128404-6241-46F2-B75C-880B2DFD6914}"/>
    <cellStyle name="Style 73 9 2 7" xfId="11843" xr:uid="{D34F9A04-6B91-4ED9-87DA-69AA21F53D86}"/>
    <cellStyle name="Style 73 9 2 7 2" xfId="30760" xr:uid="{A4A73E93-0080-4CA9-90A8-4721C868942A}"/>
    <cellStyle name="Style 73 9 2 8" xfId="11844" xr:uid="{4C905F7A-3D2A-4A00-8407-E56021204799}"/>
    <cellStyle name="Style 73 9 2 8 2" xfId="30761" xr:uid="{ABC9F9C5-0D79-42A5-90D2-700AD8E3C2B4}"/>
    <cellStyle name="Style 73 9 2 9" xfId="11845" xr:uid="{688BB7C9-1FB5-4E55-A2FF-3337E96F0493}"/>
    <cellStyle name="Style 73 9 2 9 2" xfId="30762" xr:uid="{F0B205D7-206C-44DE-A498-E7ADFE2F10AD}"/>
    <cellStyle name="Style 73 9 3" xfId="4199" xr:uid="{C4677409-9DF1-457A-A87A-00D96E60CD92}"/>
    <cellStyle name="Style 73 9 3 2" xfId="11846" xr:uid="{096E55FA-729E-47ED-B5AF-7FC617E3A2D0}"/>
    <cellStyle name="Style 73 9 3 2 2" xfId="30763" xr:uid="{382224BA-16CD-4BF3-BA18-A264AA38BD14}"/>
    <cellStyle name="Style 73 9 3 3" xfId="27886" xr:uid="{B0004CAC-7102-4134-AAC3-306555237C9F}"/>
    <cellStyle name="Style 73 9 4" xfId="11847" xr:uid="{2C473FA3-9868-4068-A205-D23E7C5774D2}"/>
    <cellStyle name="Style 73 9 4 2" xfId="30764" xr:uid="{4C68F0F5-D341-4B09-A69B-DE30D621210F}"/>
    <cellStyle name="Style 73 9 5" xfId="11848" xr:uid="{9C6E9191-27B2-4372-AD99-846A0287A2C4}"/>
    <cellStyle name="Style 73 9 5 2" xfId="30765" xr:uid="{DB379A0F-595B-4810-9247-2B42A2A6FEB8}"/>
    <cellStyle name="Style 73 9 6" xfId="11849" xr:uid="{B2F218FC-A87B-4D61-B84E-9728DB92550B}"/>
    <cellStyle name="Style 73 9 6 2" xfId="30766" xr:uid="{34A3AD78-A86F-4629-BD1C-74039B1F7684}"/>
    <cellStyle name="Style 73 9 7" xfId="11850" xr:uid="{39E6EF7E-7C55-40ED-B983-DE866D45A9B8}"/>
    <cellStyle name="Style 73 9 7 2" xfId="30767" xr:uid="{7A5AE1FA-9B23-4EED-ABC7-29BE8570AA38}"/>
    <cellStyle name="Style 73 9 8" xfId="11851" xr:uid="{115413C1-6EA7-4FCC-B253-5D3906559FBE}"/>
    <cellStyle name="Style 73 9 8 2" xfId="30768" xr:uid="{67B93579-1B68-4443-88BD-E0D6F964D403}"/>
    <cellStyle name="Style 73 9 9" xfId="11852" xr:uid="{822EE6F9-E58C-4098-B438-91CB6046FE79}"/>
    <cellStyle name="Style 73 9 9 2" xfId="30769" xr:uid="{52BAC5B8-F363-4543-9733-F256177D8A60}"/>
    <cellStyle name="Style 73_ADDON" xfId="25806" xr:uid="{D2A53F9B-7397-47E7-97B9-F7CA869A4109}"/>
    <cellStyle name="Style 74" xfId="3295" xr:uid="{D4A5BDED-1B15-4A4A-A0D5-98970E3B0359}"/>
    <cellStyle name="Style 74 10" xfId="11853" xr:uid="{DBCFA89F-2414-441F-B2BF-C788181B01A6}"/>
    <cellStyle name="Style 74 10 2" xfId="30770" xr:uid="{E945BC4A-3412-4263-8D25-13F9410E8BC7}"/>
    <cellStyle name="Style 74 11" xfId="11854" xr:uid="{DFABAE13-1026-4E85-839A-85CDE50D39F7}"/>
    <cellStyle name="Style 74 11 2" xfId="30771" xr:uid="{8B087359-80F3-4129-99F6-4A615C1C4C73}"/>
    <cellStyle name="Style 74 12" xfId="11855" xr:uid="{546B261C-BE0F-4270-AD5A-94679F24061D}"/>
    <cellStyle name="Style 74 12 2" xfId="30772" xr:uid="{2338D5D1-1FF0-4720-97B4-5D339F5701D3}"/>
    <cellStyle name="Style 74 13" xfId="11856" xr:uid="{F4A63872-9C18-4C38-98DE-90E7D900749E}"/>
    <cellStyle name="Style 74 13 2" xfId="30773" xr:uid="{78750BEF-AE83-4291-AC12-B287237ECC63}"/>
    <cellStyle name="Style 74 14" xfId="11857" xr:uid="{C53BA193-4F14-479B-AC55-BEE9991055B8}"/>
    <cellStyle name="Style 74 14 2" xfId="30774" xr:uid="{B06C2FC3-52FB-4F1D-867F-DA7EB1B5D2B6}"/>
    <cellStyle name="Style 74 15" xfId="11858" xr:uid="{6124DCB3-9285-4D1F-B4AA-145DA6262962}"/>
    <cellStyle name="Style 74 15 2" xfId="30775" xr:uid="{E5BD39BF-577E-44E2-9CAF-3757A8919D1C}"/>
    <cellStyle name="Style 74 16" xfId="11859" xr:uid="{6B5EF990-75DA-4578-97AC-A8A3D29C0C3A}"/>
    <cellStyle name="Style 74 16 2" xfId="30776" xr:uid="{BB52C49A-B95F-4CC7-9E54-C681550A8324}"/>
    <cellStyle name="Style 74 17" xfId="11860" xr:uid="{1A4688D0-73A3-41F2-A973-C062A4A861D4}"/>
    <cellStyle name="Style 74 17 2" xfId="30777" xr:uid="{1D19CD99-B0F8-49B4-AA38-AA9BFCC54578}"/>
    <cellStyle name="Style 74 2" xfId="3296" xr:uid="{E569B31C-6FA8-4ABA-8C1F-941CC9C77503}"/>
    <cellStyle name="Style 74 2 10" xfId="11861" xr:uid="{7F995194-5F12-4134-A21B-C0853210C6AD}"/>
    <cellStyle name="Style 74 2 10 2" xfId="30778" xr:uid="{50B9F6A2-166E-4934-8136-DE1FEB18E93B}"/>
    <cellStyle name="Style 74 2 11" xfId="11862" xr:uid="{632F6245-2C55-4353-B2EE-92A21E0DDD0D}"/>
    <cellStyle name="Style 74 2 11 2" xfId="30779" xr:uid="{A92593A5-DCD2-40FF-BE87-2C0987D1EB2B}"/>
    <cellStyle name="Style 74 2 12" xfId="11863" xr:uid="{E5389EEE-DDE6-432E-ACAE-D16B0BE1F8CD}"/>
    <cellStyle name="Style 74 2 12 2" xfId="30780" xr:uid="{CD09BC7B-CEA5-4385-9EAD-122519DFEC0F}"/>
    <cellStyle name="Style 74 2 13" xfId="11864" xr:uid="{9E1D7373-A2EE-4587-B6F4-97C1CCDB97DC}"/>
    <cellStyle name="Style 74 2 13 2" xfId="30781" xr:uid="{2FB2A8F9-5BDB-4CDD-967D-DCEE1FCE0ABE}"/>
    <cellStyle name="Style 74 2 14" xfId="11865" xr:uid="{F1BB3151-A90C-46F1-B189-87D25C7C2F40}"/>
    <cellStyle name="Style 74 2 14 2" xfId="30782" xr:uid="{924BB7F2-3F50-46D6-A437-A81B2782BEC9}"/>
    <cellStyle name="Style 74 2 15" xfId="11866" xr:uid="{9E6DC575-F6C1-4362-9034-5941DD0EF3FB}"/>
    <cellStyle name="Style 74 2 15 2" xfId="30783" xr:uid="{93BA3213-08F1-494A-AB6D-B011100071FD}"/>
    <cellStyle name="Style 74 2 2" xfId="3297" xr:uid="{995100D9-0DE1-43B7-83B1-0EE196F66406}"/>
    <cellStyle name="Style 74 2 2 10" xfId="11867" xr:uid="{45F84ABC-E935-46D9-8C2F-1BB59C40AA17}"/>
    <cellStyle name="Style 74 2 2 10 2" xfId="30784" xr:uid="{BEA005E8-E2E7-4AFE-8038-6AD4E530E103}"/>
    <cellStyle name="Style 74 2 2 11" xfId="11868" xr:uid="{4A540396-6700-499E-9FED-948369D8B661}"/>
    <cellStyle name="Style 74 2 2 11 2" xfId="30785" xr:uid="{F5BBDB5C-8F98-4870-8A66-42CBB6E4CEF8}"/>
    <cellStyle name="Style 74 2 2 12" xfId="11869" xr:uid="{E9521E30-E714-4AB2-AB15-7827370E1390}"/>
    <cellStyle name="Style 74 2 2 12 2" xfId="30786" xr:uid="{BE731A44-6299-48CF-814C-93795216E61D}"/>
    <cellStyle name="Style 74 2 2 13" xfId="11870" xr:uid="{F7337BE7-4B7C-4E1C-85F0-392D9E4391E6}"/>
    <cellStyle name="Style 74 2 2 13 2" xfId="30787" xr:uid="{7DEAD3D9-59F0-4BBB-B571-76D502E0A5D9}"/>
    <cellStyle name="Style 74 2 2 14" xfId="11871" xr:uid="{A0CA92D4-15F6-478D-AC4C-29E788182000}"/>
    <cellStyle name="Style 74 2 2 14 2" xfId="30788" xr:uid="{20B6E8BD-0E51-459F-9984-F32B6F3F60BB}"/>
    <cellStyle name="Style 74 2 2 2" xfId="3298" xr:uid="{6343FD4C-C6CE-4F2C-BA35-C9543F884E6B}"/>
    <cellStyle name="Style 74 2 2 2 10" xfId="11872" xr:uid="{A82820F0-D07C-42FE-A1C8-BE1E3CDAAE69}"/>
    <cellStyle name="Style 74 2 2 2 10 2" xfId="30789" xr:uid="{37280384-B023-4B50-83CB-71F1F4B0B8D0}"/>
    <cellStyle name="Style 74 2 2 2 11" xfId="11873" xr:uid="{96D1456F-CD96-478E-8D3D-CC11BE97AAC8}"/>
    <cellStyle name="Style 74 2 2 2 11 2" xfId="30790" xr:uid="{78991EA0-43AA-468C-8D7C-CFA3750DDED5}"/>
    <cellStyle name="Style 74 2 2 2 12" xfId="11874" xr:uid="{688E9D46-CF9D-40A9-8853-1078CC70E8B9}"/>
    <cellStyle name="Style 74 2 2 2 12 2" xfId="30791" xr:uid="{297FE22A-EAF4-4BBB-9947-052F743CD7BD}"/>
    <cellStyle name="Style 74 2 2 2 13" xfId="11875" xr:uid="{479F0521-1A3A-40D1-9FC6-0CCF7F34EF81}"/>
    <cellStyle name="Style 74 2 2 2 13 2" xfId="30792" xr:uid="{21B9DE23-B59E-40E4-ADB8-1A324D1F6869}"/>
    <cellStyle name="Style 74 2 2 2 2" xfId="3299" xr:uid="{359C9E81-76CD-41C5-B524-B98C238E02D9}"/>
    <cellStyle name="Style 74 2 2 2 2 10" xfId="11876" xr:uid="{8F433904-B240-4D0D-9FCC-58855AF74B38}"/>
    <cellStyle name="Style 74 2 2 2 2 10 2" xfId="30793" xr:uid="{AFA6C4F1-4A70-48AD-8158-8DF0EC5D81AE}"/>
    <cellStyle name="Style 74 2 2 2 2 11" xfId="11877" xr:uid="{6F827D6D-C3E2-4DA3-BF7C-26FDF875FB71}"/>
    <cellStyle name="Style 74 2 2 2 2 11 2" xfId="30794" xr:uid="{AE130196-D14B-46E1-8B20-BA90EE919DC8}"/>
    <cellStyle name="Style 74 2 2 2 2 12" xfId="11878" xr:uid="{4927FBB4-683C-4D30-B328-3C68B2618646}"/>
    <cellStyle name="Style 74 2 2 2 2 12 2" xfId="30795" xr:uid="{71D7DC7E-B2D2-45E1-9090-72416A983B84}"/>
    <cellStyle name="Style 74 2 2 2 2 2" xfId="3300" xr:uid="{E285859A-3FCE-4182-832D-FA052B3298D9}"/>
    <cellStyle name="Style 74 2 2 2 2 2 10" xfId="11879" xr:uid="{5D166366-22EC-4E87-98AD-9AD3EAFB6683}"/>
    <cellStyle name="Style 74 2 2 2 2 2 10 2" xfId="30796" xr:uid="{8BC0DDCA-3AF8-4CC3-8B4D-04C0202E6FF5}"/>
    <cellStyle name="Style 74 2 2 2 2 2 2" xfId="11880" xr:uid="{8B85BC89-795D-42BE-BDE7-5F41BD9166DA}"/>
    <cellStyle name="Style 74 2 2 2 2 2 2 2" xfId="11881" xr:uid="{4695F2B1-4370-4DD0-9BE7-152492C0F665}"/>
    <cellStyle name="Style 74 2 2 2 2 2 2 2 2" xfId="30797" xr:uid="{DA79FB09-2FDB-4187-9B8C-35D53C508649}"/>
    <cellStyle name="Style 74 2 2 2 2 2 3" xfId="11882" xr:uid="{73E19ED0-5AFB-42DE-945A-2118667B6496}"/>
    <cellStyle name="Style 74 2 2 2 2 2 3 2" xfId="30798" xr:uid="{2C0D4BC8-94B7-4D5D-AB56-ABDAF6A198EB}"/>
    <cellStyle name="Style 74 2 2 2 2 2 4" xfId="11883" xr:uid="{504ACEDD-6F8B-45BC-8F5D-3434097F5111}"/>
    <cellStyle name="Style 74 2 2 2 2 2 4 2" xfId="30799" xr:uid="{EA8BCE34-4BED-493B-AE07-FACF673A134C}"/>
    <cellStyle name="Style 74 2 2 2 2 2 5" xfId="11884" xr:uid="{7FA82D6D-2CBE-4FCE-9878-78B52B29C3B8}"/>
    <cellStyle name="Style 74 2 2 2 2 2 5 2" xfId="30800" xr:uid="{BBBC9EDE-5D1C-4990-B01A-2A791FF4D48F}"/>
    <cellStyle name="Style 74 2 2 2 2 2 6" xfId="11885" xr:uid="{1AEB2439-828E-4ACF-82C6-DFD081B1B8CB}"/>
    <cellStyle name="Style 74 2 2 2 2 2 6 2" xfId="30801" xr:uid="{1CAB1113-7D90-4977-AA25-96EB384AF663}"/>
    <cellStyle name="Style 74 2 2 2 2 2 7" xfId="11886" xr:uid="{DD606F4C-001D-4FF5-BC52-2F28C5CA1395}"/>
    <cellStyle name="Style 74 2 2 2 2 2 7 2" xfId="30802" xr:uid="{D0861628-4E04-43FB-B39F-234476207FB7}"/>
    <cellStyle name="Style 74 2 2 2 2 2 8" xfId="11887" xr:uid="{EA10556B-9292-4759-9D7A-2959BACFA355}"/>
    <cellStyle name="Style 74 2 2 2 2 2 8 2" xfId="30803" xr:uid="{42E34B74-3930-4841-9A5A-E09122D326E9}"/>
    <cellStyle name="Style 74 2 2 2 2 2 9" xfId="11888" xr:uid="{7D8AC201-68E1-405E-ADC3-6D4BF25221BD}"/>
    <cellStyle name="Style 74 2 2 2 2 2 9 2" xfId="30804" xr:uid="{A7C2FFDF-86BD-4382-8423-709C8DD8461B}"/>
    <cellStyle name="Style 74 2 2 2 2 3" xfId="11889" xr:uid="{4CD9B569-3A02-4138-8C9C-E59862A245C2}"/>
    <cellStyle name="Style 74 2 2 2 2 3 2" xfId="11890" xr:uid="{B94A2267-3884-472D-B5DB-7F2FE443B686}"/>
    <cellStyle name="Style 74 2 2 2 2 3 2 2" xfId="30805" xr:uid="{1C852EE5-1D26-4471-8579-8B0C15DAB9C6}"/>
    <cellStyle name="Style 74 2 2 2 2 4" xfId="11891" xr:uid="{FDD2CEF6-6293-4AA4-A840-079A600FCDE4}"/>
    <cellStyle name="Style 74 2 2 2 2 4 2" xfId="30806" xr:uid="{7DFD39AB-7C3D-4AFE-9F07-CE1D59420BC2}"/>
    <cellStyle name="Style 74 2 2 2 2 5" xfId="11892" xr:uid="{B3BB46ED-F191-46D5-8E9A-727ACEF72074}"/>
    <cellStyle name="Style 74 2 2 2 2 5 2" xfId="30807" xr:uid="{2E082AB5-A577-423E-90FF-DEDBC86770D2}"/>
    <cellStyle name="Style 74 2 2 2 2 6" xfId="11893" xr:uid="{5C72A7B1-87A1-4D0A-9B4B-7335417D1D4F}"/>
    <cellStyle name="Style 74 2 2 2 2 6 2" xfId="30808" xr:uid="{6658E119-4149-4B69-B3EE-DF57F302F822}"/>
    <cellStyle name="Style 74 2 2 2 2 7" xfId="11894" xr:uid="{E302049E-8EA2-4273-85A9-30D76644AF20}"/>
    <cellStyle name="Style 74 2 2 2 2 7 2" xfId="30809" xr:uid="{57373478-1E2E-4745-B0D2-CA28AE99D7EA}"/>
    <cellStyle name="Style 74 2 2 2 2 8" xfId="11895" xr:uid="{C6AC7E6C-91A2-4EA9-B003-FA8F038ACDB0}"/>
    <cellStyle name="Style 74 2 2 2 2 8 2" xfId="30810" xr:uid="{9CCD363F-174C-4E76-AF32-22ED1B759FBC}"/>
    <cellStyle name="Style 74 2 2 2 2 9" xfId="11896" xr:uid="{18F6D569-7C84-4D70-981C-5E8A097D4F30}"/>
    <cellStyle name="Style 74 2 2 2 2 9 2" xfId="30811" xr:uid="{4FCE4B03-D930-4934-837A-4E109A106190}"/>
    <cellStyle name="Style 74 2 2 2 3" xfId="3301" xr:uid="{A5416F51-6637-45DA-B3FE-ECC9868BFB48}"/>
    <cellStyle name="Style 74 2 2 2 3 10" xfId="11897" xr:uid="{C7132993-289E-4B49-94A7-DA9D6D689490}"/>
    <cellStyle name="Style 74 2 2 2 3 10 2" xfId="30812" xr:uid="{262AAEE6-591C-467A-B86C-D5331C1EF356}"/>
    <cellStyle name="Style 74 2 2 2 3 2" xfId="11898" xr:uid="{9994AE02-4C63-4632-AF5D-8C925096F06F}"/>
    <cellStyle name="Style 74 2 2 2 3 2 2" xfId="11899" xr:uid="{F8326588-7D69-47BD-91FB-F4F844EC49DC}"/>
    <cellStyle name="Style 74 2 2 2 3 2 2 2" xfId="30813" xr:uid="{A737D63E-C707-494F-996E-A38965804B22}"/>
    <cellStyle name="Style 74 2 2 2 3 3" xfId="11900" xr:uid="{D7D86D64-CA18-4A30-A079-C67A07067BF5}"/>
    <cellStyle name="Style 74 2 2 2 3 3 2" xfId="30814" xr:uid="{96B8A66C-D1C9-445D-BDE6-051B542D3854}"/>
    <cellStyle name="Style 74 2 2 2 3 4" xfId="11901" xr:uid="{193D204E-BD5B-41A8-A757-C3425123F05B}"/>
    <cellStyle name="Style 74 2 2 2 3 4 2" xfId="30815" xr:uid="{4CA53EEB-E524-487A-96B1-36E8F8474A77}"/>
    <cellStyle name="Style 74 2 2 2 3 5" xfId="11902" xr:uid="{D18E2C92-7BA8-4497-8BAF-6E345E9F663A}"/>
    <cellStyle name="Style 74 2 2 2 3 5 2" xfId="30816" xr:uid="{33A3E0A8-D326-4DED-ABA2-4B5F8F50999A}"/>
    <cellStyle name="Style 74 2 2 2 3 6" xfId="11903" xr:uid="{4BBC6748-A8F3-4C8C-B634-67BE4404A61A}"/>
    <cellStyle name="Style 74 2 2 2 3 6 2" xfId="30817" xr:uid="{6E4C6EC1-1100-437C-9006-59EE615D4C45}"/>
    <cellStyle name="Style 74 2 2 2 3 7" xfId="11904" xr:uid="{08121AAB-E778-43FA-AB03-78D2DBB6FE72}"/>
    <cellStyle name="Style 74 2 2 2 3 7 2" xfId="30818" xr:uid="{32620E77-2FB6-4473-B862-64B2A1926780}"/>
    <cellStyle name="Style 74 2 2 2 3 8" xfId="11905" xr:uid="{ACB5B76F-71E0-40BA-8502-9B02EE7D5892}"/>
    <cellStyle name="Style 74 2 2 2 3 8 2" xfId="30819" xr:uid="{9DCA623E-A1F9-46E5-9ABA-123EB4502BC2}"/>
    <cellStyle name="Style 74 2 2 2 3 9" xfId="11906" xr:uid="{C8226750-0727-44A7-A1A5-D8E33E251B07}"/>
    <cellStyle name="Style 74 2 2 2 3 9 2" xfId="30820" xr:uid="{DC70AEB2-8172-44A3-BDB7-C776D32E2B81}"/>
    <cellStyle name="Style 74 2 2 2 4" xfId="11907" xr:uid="{50283360-FF1C-48A4-A90A-FA61CD7C4516}"/>
    <cellStyle name="Style 74 2 2 2 4 2" xfId="11908" xr:uid="{E198BA39-CBCC-4314-B2A0-1B322FE5A606}"/>
    <cellStyle name="Style 74 2 2 2 4 2 2" xfId="30821" xr:uid="{8A31B49F-B40B-4DA8-881D-ECD12571044F}"/>
    <cellStyle name="Style 74 2 2 2 5" xfId="11909" xr:uid="{4DEB4D9E-77FB-4859-B75F-9719CFD262A5}"/>
    <cellStyle name="Style 74 2 2 2 5 2" xfId="30822" xr:uid="{F5CA57FA-C90D-4945-9F37-A34BE3D20402}"/>
    <cellStyle name="Style 74 2 2 2 6" xfId="11910" xr:uid="{B5AA056F-55E1-4E55-AE2B-D9D6F26823DF}"/>
    <cellStyle name="Style 74 2 2 2 6 2" xfId="30823" xr:uid="{B4E51B45-57EE-4D8F-A95F-78B256CE65B6}"/>
    <cellStyle name="Style 74 2 2 2 7" xfId="11911" xr:uid="{88012D05-78C8-417A-BB86-A60E77974C5F}"/>
    <cellStyle name="Style 74 2 2 2 7 2" xfId="30824" xr:uid="{CA4A1D25-F02F-4DD5-9341-B9049385089B}"/>
    <cellStyle name="Style 74 2 2 2 8" xfId="11912" xr:uid="{A03CBFA7-BC41-449B-AEE4-4AF12760F6C3}"/>
    <cellStyle name="Style 74 2 2 2 8 2" xfId="30825" xr:uid="{A8554BF3-B4A6-4F6F-90A9-2CCED4DD23ED}"/>
    <cellStyle name="Style 74 2 2 2 9" xfId="11913" xr:uid="{7BC221FC-72EA-48A8-8D75-92FCF18470E6}"/>
    <cellStyle name="Style 74 2 2 2 9 2" xfId="30826" xr:uid="{BD56E46B-6653-4EE4-B464-7ED930CCC7D1}"/>
    <cellStyle name="Style 74 2 2 3" xfId="3302" xr:uid="{B3489A3E-BDBE-4747-A996-DAD03A86E627}"/>
    <cellStyle name="Style 74 2 2 3 10" xfId="11914" xr:uid="{A0C3690E-5B83-4CBC-BCFC-517A46292467}"/>
    <cellStyle name="Style 74 2 2 3 10 2" xfId="30827" xr:uid="{9409448F-7F74-44B7-81DB-FA78095878AF}"/>
    <cellStyle name="Style 74 2 2 3 11" xfId="11915" xr:uid="{CF6AFA0D-A6C3-4AA3-84C2-124A57F5F280}"/>
    <cellStyle name="Style 74 2 2 3 11 2" xfId="30828" xr:uid="{B70B6074-53EE-4FD5-BF08-1B89A5F1401E}"/>
    <cellStyle name="Style 74 2 2 3 12" xfId="11916" xr:uid="{A0C6C8A3-8636-4A75-9EC3-C1F78B367395}"/>
    <cellStyle name="Style 74 2 2 3 12 2" xfId="30829" xr:uid="{3E7CC996-CDED-497C-8187-B009A55EE60B}"/>
    <cellStyle name="Style 74 2 2 3 2" xfId="3303" xr:uid="{99627D43-8B19-466B-9409-6C218BB387C5}"/>
    <cellStyle name="Style 74 2 2 3 2 10" xfId="11917" xr:uid="{F743C1CD-D205-4E80-BB3C-0CA73C7010C1}"/>
    <cellStyle name="Style 74 2 2 3 2 10 2" xfId="30830" xr:uid="{C8E633F2-3200-4B6E-8291-A8D3A11A9053}"/>
    <cellStyle name="Style 74 2 2 3 2 2" xfId="11918" xr:uid="{CA87B75C-1EAE-45CB-9C0B-A1B35AFBC977}"/>
    <cellStyle name="Style 74 2 2 3 2 2 2" xfId="11919" xr:uid="{65EE168E-F8E7-4C3B-BDF6-1FF0281F6568}"/>
    <cellStyle name="Style 74 2 2 3 2 2 2 2" xfId="30831" xr:uid="{AF6D615A-33B6-4398-9382-52A5AB6C5FDC}"/>
    <cellStyle name="Style 74 2 2 3 2 3" xfId="11920" xr:uid="{71C322ED-2C4B-4D9B-8461-B03A982BE844}"/>
    <cellStyle name="Style 74 2 2 3 2 3 2" xfId="30832" xr:uid="{1FDB4877-8A00-45A0-8CE4-E46CD694E4C9}"/>
    <cellStyle name="Style 74 2 2 3 2 4" xfId="11921" xr:uid="{EC23AFDD-A2B4-4204-8018-5A1440589820}"/>
    <cellStyle name="Style 74 2 2 3 2 4 2" xfId="30833" xr:uid="{02E63AC5-2204-4C5C-ADF4-460E5827A5F4}"/>
    <cellStyle name="Style 74 2 2 3 2 5" xfId="11922" xr:uid="{77D6CA10-FD45-4F79-93E6-490E80DA9D0A}"/>
    <cellStyle name="Style 74 2 2 3 2 5 2" xfId="30834" xr:uid="{7DBC07D3-D8A5-4BAA-B5B9-A82BC238C245}"/>
    <cellStyle name="Style 74 2 2 3 2 6" xfId="11923" xr:uid="{144D5F05-E17F-4558-B3D8-2B7BFABBF015}"/>
    <cellStyle name="Style 74 2 2 3 2 6 2" xfId="30835" xr:uid="{878F7C91-6A16-4D9E-B86F-8A28B0798655}"/>
    <cellStyle name="Style 74 2 2 3 2 7" xfId="11924" xr:uid="{247E6B98-2A3D-486F-8BA5-E08D4C74877E}"/>
    <cellStyle name="Style 74 2 2 3 2 7 2" xfId="30836" xr:uid="{46345A3F-6C0F-4785-952E-D25D6E60324F}"/>
    <cellStyle name="Style 74 2 2 3 2 8" xfId="11925" xr:uid="{10A834D8-3F85-4688-9C38-15B18E561720}"/>
    <cellStyle name="Style 74 2 2 3 2 8 2" xfId="30837" xr:uid="{9F1734E2-CEC3-41D0-A050-F2BDFD784300}"/>
    <cellStyle name="Style 74 2 2 3 2 9" xfId="11926" xr:uid="{BD04D37A-0BA9-4AB6-BDD0-682ABE51A1DB}"/>
    <cellStyle name="Style 74 2 2 3 2 9 2" xfId="30838" xr:uid="{175D2D60-6894-4562-ACF3-6BE79325758E}"/>
    <cellStyle name="Style 74 2 2 3 3" xfId="11927" xr:uid="{81E6BDE1-E5B2-4798-9E35-AFF11D9149F1}"/>
    <cellStyle name="Style 74 2 2 3 3 2" xfId="11928" xr:uid="{20C7E994-FD88-4681-97A7-C38E556DBCBB}"/>
    <cellStyle name="Style 74 2 2 3 3 2 2" xfId="30839" xr:uid="{3C17E025-FA1B-4BCD-8537-B1366C67B797}"/>
    <cellStyle name="Style 74 2 2 3 4" xfId="11929" xr:uid="{ADDABFCD-907C-4F42-A23F-20677F90A720}"/>
    <cellStyle name="Style 74 2 2 3 4 2" xfId="30840" xr:uid="{B777B880-7E70-47AD-977D-883540FA3CCA}"/>
    <cellStyle name="Style 74 2 2 3 5" xfId="11930" xr:uid="{048F3116-8AD1-4254-9652-74C9902C52CB}"/>
    <cellStyle name="Style 74 2 2 3 5 2" xfId="30841" xr:uid="{A70F96CC-48DE-4502-B822-8DDD94ED1938}"/>
    <cellStyle name="Style 74 2 2 3 6" xfId="11931" xr:uid="{537F23B2-2BE4-4728-A0B1-3E8986759216}"/>
    <cellStyle name="Style 74 2 2 3 6 2" xfId="30842" xr:uid="{48F11E9F-6CC5-42D4-ADC7-469AB7B7E685}"/>
    <cellStyle name="Style 74 2 2 3 7" xfId="11932" xr:uid="{4F06F1E6-2811-4D74-AD9B-4176AA398669}"/>
    <cellStyle name="Style 74 2 2 3 7 2" xfId="30843" xr:uid="{E019405C-E091-4BE0-805A-558A4B0947D4}"/>
    <cellStyle name="Style 74 2 2 3 8" xfId="11933" xr:uid="{4C253693-C460-462F-AD76-2DD168F4C90A}"/>
    <cellStyle name="Style 74 2 2 3 8 2" xfId="30844" xr:uid="{B4698B38-6A9C-46BE-ADF0-6CFA12AA909D}"/>
    <cellStyle name="Style 74 2 2 3 9" xfId="11934" xr:uid="{E186CEC6-DBA2-46D9-A52A-7D4F5D3087C5}"/>
    <cellStyle name="Style 74 2 2 3 9 2" xfId="30845" xr:uid="{92E14708-56B8-4F36-A2AF-FE3534A80304}"/>
    <cellStyle name="Style 74 2 2 4" xfId="3304" xr:uid="{8D173BAE-9F65-42D6-A748-4DDC8462BDFC}"/>
    <cellStyle name="Style 74 2 2 4 10" xfId="11935" xr:uid="{B6729350-388C-4E78-BBC3-FF8A225B2669}"/>
    <cellStyle name="Style 74 2 2 4 10 2" xfId="30846" xr:uid="{54DF0C1B-39AF-4D5A-87C1-8C50CE85C7F2}"/>
    <cellStyle name="Style 74 2 2 4 2" xfId="11936" xr:uid="{7AC7F978-23CE-4EC8-B831-B611F8B94EC9}"/>
    <cellStyle name="Style 74 2 2 4 2 2" xfId="11937" xr:uid="{723039D8-7784-4F33-8243-E70045038AD0}"/>
    <cellStyle name="Style 74 2 2 4 2 2 2" xfId="30847" xr:uid="{4346C277-2DDD-478F-A748-CF6F0619B55B}"/>
    <cellStyle name="Style 74 2 2 4 3" xfId="11938" xr:uid="{E4AB1F49-C6E1-4C36-BCDE-899AB9AD2060}"/>
    <cellStyle name="Style 74 2 2 4 3 2" xfId="30848" xr:uid="{5C89233E-46C0-4A12-B367-221F5BA9CA8B}"/>
    <cellStyle name="Style 74 2 2 4 4" xfId="11939" xr:uid="{F9864676-9BB0-40C2-BBE8-E1060442F28B}"/>
    <cellStyle name="Style 74 2 2 4 4 2" xfId="30849" xr:uid="{ACB87B89-5A30-4443-A9F6-C07E9299031C}"/>
    <cellStyle name="Style 74 2 2 4 5" xfId="11940" xr:uid="{A40E3108-19A3-4FF6-B86A-7F2522E943CC}"/>
    <cellStyle name="Style 74 2 2 4 5 2" xfId="30850" xr:uid="{C918E90E-F0CE-45DC-BB5B-09B478BAB1D8}"/>
    <cellStyle name="Style 74 2 2 4 6" xfId="11941" xr:uid="{B5B6141C-2F6F-43AB-9ED9-8F33EFBF0584}"/>
    <cellStyle name="Style 74 2 2 4 6 2" xfId="30851" xr:uid="{08977051-5053-4E0B-8509-F3B585886EB7}"/>
    <cellStyle name="Style 74 2 2 4 7" xfId="11942" xr:uid="{7950E968-5EDA-4108-8C77-9D2AF18ABFCC}"/>
    <cellStyle name="Style 74 2 2 4 7 2" xfId="30852" xr:uid="{7B1A2E9B-66C9-43E0-91DB-AEFB0AD98884}"/>
    <cellStyle name="Style 74 2 2 4 8" xfId="11943" xr:uid="{330DE425-4DAD-469F-B0E1-F788BCDF4936}"/>
    <cellStyle name="Style 74 2 2 4 8 2" xfId="30853" xr:uid="{E29CFD45-D27F-4F2C-9FAA-68F9920C60DE}"/>
    <cellStyle name="Style 74 2 2 4 9" xfId="11944" xr:uid="{46AF5F59-5ED1-4A55-B39C-1585EA694DA0}"/>
    <cellStyle name="Style 74 2 2 4 9 2" xfId="30854" xr:uid="{1D019804-E140-45E9-ADCB-096E11C44201}"/>
    <cellStyle name="Style 74 2 2 5" xfId="11945" xr:uid="{DB63C9FA-598F-4858-B882-ED5AAFCEAF90}"/>
    <cellStyle name="Style 74 2 2 5 2" xfId="11946" xr:uid="{005EA491-211E-4552-B33A-43D2623BF86D}"/>
    <cellStyle name="Style 74 2 2 5 2 2" xfId="30855" xr:uid="{4EF89AA8-C16F-49C8-B267-1AFC18F84D7E}"/>
    <cellStyle name="Style 74 2 2 6" xfId="11947" xr:uid="{4975F13A-FA16-4839-AFFC-B3411D5C8B11}"/>
    <cellStyle name="Style 74 2 2 6 2" xfId="30856" xr:uid="{9E8BDE88-61E8-4400-AEA2-A3CFDC1D61AD}"/>
    <cellStyle name="Style 74 2 2 7" xfId="11948" xr:uid="{AE64A61E-1476-4735-90A3-D55BC5DF87F8}"/>
    <cellStyle name="Style 74 2 2 7 2" xfId="30857" xr:uid="{531AC73C-C2DB-44F3-AF08-F66EF5C8DA8B}"/>
    <cellStyle name="Style 74 2 2 8" xfId="11949" xr:uid="{FFF8099F-8104-4640-8155-9E3C3FB3717F}"/>
    <cellStyle name="Style 74 2 2 8 2" xfId="30858" xr:uid="{59C0F3B9-315F-4BA8-A541-6BC7A4533F17}"/>
    <cellStyle name="Style 74 2 2 9" xfId="11950" xr:uid="{73FBCBC0-78DF-4397-9BBD-385B9D30DACD}"/>
    <cellStyle name="Style 74 2 2 9 2" xfId="30859" xr:uid="{B10671BA-8657-49B4-9548-1E3E606F7EC9}"/>
    <cellStyle name="Style 74 2 3" xfId="3305" xr:uid="{AF92A526-F9A3-43B1-AD8C-7A13CF22B4C7}"/>
    <cellStyle name="Style 74 2 3 10" xfId="11951" xr:uid="{E100BB46-4CB5-4C68-B0F7-95F98EA896AC}"/>
    <cellStyle name="Style 74 2 3 10 2" xfId="30860" xr:uid="{678145D4-662F-4C4C-990D-AEE1851E122A}"/>
    <cellStyle name="Style 74 2 3 11" xfId="11952" xr:uid="{52829C2E-CC54-4FB1-80B8-5182F6A6DD8C}"/>
    <cellStyle name="Style 74 2 3 11 2" xfId="30861" xr:uid="{18C5CC8C-95E7-4102-BF11-C0994D56BCB2}"/>
    <cellStyle name="Style 74 2 3 12" xfId="11953" xr:uid="{02AE95B1-1EFE-4FAD-80EF-920D3AB4E66D}"/>
    <cellStyle name="Style 74 2 3 12 2" xfId="30862" xr:uid="{46BCC354-7B1F-4CFE-9E77-69E462F5BDDB}"/>
    <cellStyle name="Style 74 2 3 13" xfId="11954" xr:uid="{68A5E67A-DBA1-406C-A2DE-08163E1AC23C}"/>
    <cellStyle name="Style 74 2 3 13 2" xfId="30863" xr:uid="{AC379FA7-35C0-416A-A5FF-053E8AF4ACD3}"/>
    <cellStyle name="Style 74 2 3 2" xfId="3306" xr:uid="{D0E6F322-B510-40B3-894D-C14DC31D226D}"/>
    <cellStyle name="Style 74 2 3 2 10" xfId="11955" xr:uid="{EA5964BE-8E37-418B-9DEE-5BED97C97A68}"/>
    <cellStyle name="Style 74 2 3 2 10 2" xfId="30864" xr:uid="{983E5D5C-0BC0-4430-87B8-4BBE3FE2B323}"/>
    <cellStyle name="Style 74 2 3 2 11" xfId="11956" xr:uid="{3297AAB0-262F-4F78-9EF0-A6DB8597E99E}"/>
    <cellStyle name="Style 74 2 3 2 11 2" xfId="30865" xr:uid="{8F430D03-D542-4C16-B3B3-98D53484FD7E}"/>
    <cellStyle name="Style 74 2 3 2 12" xfId="11957" xr:uid="{9C109608-2E74-428D-885E-03194C1DBF29}"/>
    <cellStyle name="Style 74 2 3 2 12 2" xfId="30866" xr:uid="{3F1303EB-D641-41A7-82FB-C833109AD6D0}"/>
    <cellStyle name="Style 74 2 3 2 2" xfId="3307" xr:uid="{1BBEB33E-3650-430F-AF56-D6DB52AADFCF}"/>
    <cellStyle name="Style 74 2 3 2 2 10" xfId="11958" xr:uid="{92905669-AECF-4A57-96CE-1D5BF454C4B0}"/>
    <cellStyle name="Style 74 2 3 2 2 10 2" xfId="30867" xr:uid="{A6A77849-BC9F-42C7-9762-4F1D72E45E7A}"/>
    <cellStyle name="Style 74 2 3 2 2 2" xfId="11959" xr:uid="{BC295F52-B768-443F-A652-55056338CEDD}"/>
    <cellStyle name="Style 74 2 3 2 2 2 2" xfId="11960" xr:uid="{26CFC6E8-B1DC-4930-975A-0BFD261CCE34}"/>
    <cellStyle name="Style 74 2 3 2 2 2 2 2" xfId="30868" xr:uid="{BF8A374C-4054-4C2C-B83F-0D794C1EBEE7}"/>
    <cellStyle name="Style 74 2 3 2 2 3" xfId="11961" xr:uid="{1673A99A-A9FE-4A57-AE0B-9223243F3E2E}"/>
    <cellStyle name="Style 74 2 3 2 2 3 2" xfId="30869" xr:uid="{4CBF273F-E6DE-4339-85A5-AEA6032C663E}"/>
    <cellStyle name="Style 74 2 3 2 2 4" xfId="11962" xr:uid="{80499904-777F-4D64-A3F6-628E890EE247}"/>
    <cellStyle name="Style 74 2 3 2 2 4 2" xfId="30870" xr:uid="{D2A3D188-E0CD-4D68-8562-186F7EDE019B}"/>
    <cellStyle name="Style 74 2 3 2 2 5" xfId="11963" xr:uid="{08BBEE08-A1CF-4F24-A9C9-EE503B7D9ECB}"/>
    <cellStyle name="Style 74 2 3 2 2 5 2" xfId="30871" xr:uid="{DAD3116F-10FC-4180-92C7-9966771B8D2F}"/>
    <cellStyle name="Style 74 2 3 2 2 6" xfId="11964" xr:uid="{43A2EF8F-DD21-406D-82D6-B33E25DF9E66}"/>
    <cellStyle name="Style 74 2 3 2 2 6 2" xfId="30872" xr:uid="{3A274F75-04F4-444C-B1EC-242B5C9145F8}"/>
    <cellStyle name="Style 74 2 3 2 2 7" xfId="11965" xr:uid="{341A005B-DB48-4B9E-80E2-E97988C65E65}"/>
    <cellStyle name="Style 74 2 3 2 2 7 2" xfId="30873" xr:uid="{6BE94584-EA0A-48D7-99DE-CD85EE7A1107}"/>
    <cellStyle name="Style 74 2 3 2 2 8" xfId="11966" xr:uid="{CDBA5537-020F-4FF7-B4AF-66320DC25627}"/>
    <cellStyle name="Style 74 2 3 2 2 8 2" xfId="30874" xr:uid="{FA81BFFE-E555-4290-9B1D-B1C245C57200}"/>
    <cellStyle name="Style 74 2 3 2 2 9" xfId="11967" xr:uid="{4753C657-20E8-46AD-A493-6A21D81ABF1F}"/>
    <cellStyle name="Style 74 2 3 2 2 9 2" xfId="30875" xr:uid="{1FAFCE6D-21F7-4565-828D-547314AB5BF3}"/>
    <cellStyle name="Style 74 2 3 2 3" xfId="11968" xr:uid="{834F760D-3583-4AC3-913F-9AF905F33FE4}"/>
    <cellStyle name="Style 74 2 3 2 3 2" xfId="11969" xr:uid="{AF551F2A-176A-4099-8AD8-6FA390948F36}"/>
    <cellStyle name="Style 74 2 3 2 3 2 2" xfId="30876" xr:uid="{C6123D31-05EA-4B96-A714-FF441AE03001}"/>
    <cellStyle name="Style 74 2 3 2 4" xfId="11970" xr:uid="{895C91CF-3295-4585-9BF0-4FA915685EF1}"/>
    <cellStyle name="Style 74 2 3 2 4 2" xfId="30877" xr:uid="{9C2B11E1-3EB0-4E38-95FF-3B7216EC1DC7}"/>
    <cellStyle name="Style 74 2 3 2 5" xfId="11971" xr:uid="{D88C5BE4-6409-4F23-9AE7-5514285F54B9}"/>
    <cellStyle name="Style 74 2 3 2 5 2" xfId="30878" xr:uid="{7A07835E-45B0-4D25-82C8-F34EB76AF03A}"/>
    <cellStyle name="Style 74 2 3 2 6" xfId="11972" xr:uid="{C558B60E-584D-4400-AA1F-274C1435C690}"/>
    <cellStyle name="Style 74 2 3 2 6 2" xfId="30879" xr:uid="{17AD7FC9-4A17-4C27-A1B7-5CAA3F9ED753}"/>
    <cellStyle name="Style 74 2 3 2 7" xfId="11973" xr:uid="{7BBC722E-19F7-4D65-B4DB-2F0C9F9DE8C8}"/>
    <cellStyle name="Style 74 2 3 2 7 2" xfId="30880" xr:uid="{39F8CB27-1171-428F-B39F-69C583C7E4CD}"/>
    <cellStyle name="Style 74 2 3 2 8" xfId="11974" xr:uid="{A4A06D74-4968-4008-A6ED-3B0DCA2E86C6}"/>
    <cellStyle name="Style 74 2 3 2 8 2" xfId="30881" xr:uid="{13B472FF-8484-4EED-ADD0-4228A2D1E2D0}"/>
    <cellStyle name="Style 74 2 3 2 9" xfId="11975" xr:uid="{DCDDC1A9-2DA8-4361-BE27-72F5F9A81E3E}"/>
    <cellStyle name="Style 74 2 3 2 9 2" xfId="30882" xr:uid="{E7F48C18-E9CA-47A3-AC60-B8D278811C08}"/>
    <cellStyle name="Style 74 2 3 3" xfId="3308" xr:uid="{2BFD8C9F-F574-43C1-9405-E61DB87BFF84}"/>
    <cellStyle name="Style 74 2 3 3 10" xfId="11976" xr:uid="{149C2757-85BF-420C-BC52-F7CD8E1194AA}"/>
    <cellStyle name="Style 74 2 3 3 10 2" xfId="30883" xr:uid="{BEED3A3B-1CBA-4827-AEB1-BB064241904D}"/>
    <cellStyle name="Style 74 2 3 3 2" xfId="11977" xr:uid="{F038086A-FA99-465E-994B-29604067C8BE}"/>
    <cellStyle name="Style 74 2 3 3 2 2" xfId="11978" xr:uid="{DBDA9517-5D21-4F70-A922-C542D57F1C3B}"/>
    <cellStyle name="Style 74 2 3 3 2 2 2" xfId="30884" xr:uid="{FA5FC1E6-9D5F-4DB2-971D-5CCCAF74F94D}"/>
    <cellStyle name="Style 74 2 3 3 3" xfId="11979" xr:uid="{C34531D0-6911-400B-8069-A6DCE2DCF747}"/>
    <cellStyle name="Style 74 2 3 3 3 2" xfId="30885" xr:uid="{53147B00-28CF-4760-AF4D-8E01216FBB8D}"/>
    <cellStyle name="Style 74 2 3 3 4" xfId="11980" xr:uid="{AEFE48C9-804D-44D8-A00A-BC9E7C93ED30}"/>
    <cellStyle name="Style 74 2 3 3 4 2" xfId="30886" xr:uid="{8870C127-9A0C-45A6-8CED-B0189C323820}"/>
    <cellStyle name="Style 74 2 3 3 5" xfId="11981" xr:uid="{7A2EAE44-EEB5-4C6F-AAAE-D7F63EDFAB3F}"/>
    <cellStyle name="Style 74 2 3 3 5 2" xfId="30887" xr:uid="{23F0B5BF-9417-4184-978E-365D9BFC5902}"/>
    <cellStyle name="Style 74 2 3 3 6" xfId="11982" xr:uid="{9EB7F253-963C-4A9F-9782-B9B6CDA78D00}"/>
    <cellStyle name="Style 74 2 3 3 6 2" xfId="30888" xr:uid="{C2C2B45D-CB02-4750-BC78-10692842AE46}"/>
    <cellStyle name="Style 74 2 3 3 7" xfId="11983" xr:uid="{94B155F8-38BB-4761-A24A-11793D619C6D}"/>
    <cellStyle name="Style 74 2 3 3 7 2" xfId="30889" xr:uid="{042E4AAA-5364-4842-A385-E567C74F8F8D}"/>
    <cellStyle name="Style 74 2 3 3 8" xfId="11984" xr:uid="{503C0E38-CD87-4673-88BB-1425E17BE80A}"/>
    <cellStyle name="Style 74 2 3 3 8 2" xfId="30890" xr:uid="{159AF495-115E-4EE4-BC64-007FC58D1773}"/>
    <cellStyle name="Style 74 2 3 3 9" xfId="11985" xr:uid="{28F5BD1E-A3DF-48BC-94DE-BFD52AAAED96}"/>
    <cellStyle name="Style 74 2 3 3 9 2" xfId="30891" xr:uid="{FE8DFC5A-7EB2-4125-830E-71109000E344}"/>
    <cellStyle name="Style 74 2 3 4" xfId="11986" xr:uid="{E0300F56-C4C7-4675-9108-736FFF7F636F}"/>
    <cellStyle name="Style 74 2 3 4 2" xfId="11987" xr:uid="{F022F326-FF7A-4DAC-8948-DFBACD2D6D73}"/>
    <cellStyle name="Style 74 2 3 4 2 2" xfId="30892" xr:uid="{FAF9DA03-82FB-429A-84B3-FD8AD8D5FFF4}"/>
    <cellStyle name="Style 74 2 3 5" xfId="11988" xr:uid="{4987E499-4ACE-4A57-A8BF-B136ACBEC803}"/>
    <cellStyle name="Style 74 2 3 5 2" xfId="30893" xr:uid="{24A670BB-DF9B-4E47-9BC3-56F92C2B0F1F}"/>
    <cellStyle name="Style 74 2 3 6" xfId="11989" xr:uid="{A65FF5DD-7376-45DF-BD2B-70B56D11063E}"/>
    <cellStyle name="Style 74 2 3 6 2" xfId="30894" xr:uid="{B6E3679F-080C-4EF2-A5AD-4A2E32A334FA}"/>
    <cellStyle name="Style 74 2 3 7" xfId="11990" xr:uid="{E9FA78BE-480C-49EB-A65A-0614BD9F477E}"/>
    <cellStyle name="Style 74 2 3 7 2" xfId="30895" xr:uid="{B71B2F6E-B1D2-4838-AB30-975C6A122857}"/>
    <cellStyle name="Style 74 2 3 8" xfId="11991" xr:uid="{B98B128F-7F85-4272-BC71-ED63C1845B38}"/>
    <cellStyle name="Style 74 2 3 8 2" xfId="30896" xr:uid="{B72ED6B2-8215-49C7-8E97-44EC9C562470}"/>
    <cellStyle name="Style 74 2 3 9" xfId="11992" xr:uid="{143FBF3F-063A-4FC9-939E-F98741DA474C}"/>
    <cellStyle name="Style 74 2 3 9 2" xfId="30897" xr:uid="{56D6B3BA-7905-463B-9C80-45479F65B602}"/>
    <cellStyle name="Style 74 2 4" xfId="3309" xr:uid="{BBAF2014-23C1-43A3-9668-9C44C9B2E00D}"/>
    <cellStyle name="Style 74 2 4 10" xfId="11993" xr:uid="{FFCD96C5-5DCA-4403-A790-5229216A1121}"/>
    <cellStyle name="Style 74 2 4 10 2" xfId="30898" xr:uid="{A948EC0E-2FFC-48A6-A723-417D3D010E5F}"/>
    <cellStyle name="Style 74 2 4 11" xfId="11994" xr:uid="{D3CDC667-6266-4475-98E3-8BCA082B2757}"/>
    <cellStyle name="Style 74 2 4 11 2" xfId="30899" xr:uid="{004C5F2C-1C39-4A58-89D3-699C490F0479}"/>
    <cellStyle name="Style 74 2 4 12" xfId="11995" xr:uid="{152E9B82-F1D4-4D34-A9EC-0302C5765C4C}"/>
    <cellStyle name="Style 74 2 4 12 2" xfId="30900" xr:uid="{72E93CDA-C21E-48F3-A6AF-E4E40425383B}"/>
    <cellStyle name="Style 74 2 4 2" xfId="3310" xr:uid="{515384E9-C9F1-4C81-89D7-611C20BCD5A8}"/>
    <cellStyle name="Style 74 2 4 2 10" xfId="11996" xr:uid="{725259C7-A4AD-4B66-BD1E-F2284C6E6D57}"/>
    <cellStyle name="Style 74 2 4 2 10 2" xfId="30901" xr:uid="{F876C7CC-7121-4F04-8DC4-C35B93AC5484}"/>
    <cellStyle name="Style 74 2 4 2 2" xfId="11997" xr:uid="{5D62F729-29C2-4F1E-A035-58C6DEA37FF6}"/>
    <cellStyle name="Style 74 2 4 2 2 2" xfId="11998" xr:uid="{3A96DDD9-E998-4F54-8F29-8549CECD112B}"/>
    <cellStyle name="Style 74 2 4 2 2 2 2" xfId="30902" xr:uid="{56595F15-3C86-4BFB-902C-BA9DD626E16C}"/>
    <cellStyle name="Style 74 2 4 2 3" xfId="11999" xr:uid="{0D11101B-BF4D-47C5-B7E7-F19662A5D1D5}"/>
    <cellStyle name="Style 74 2 4 2 3 2" xfId="30903" xr:uid="{D988FD6D-E981-40E4-870B-E9233D2F0FD0}"/>
    <cellStyle name="Style 74 2 4 2 4" xfId="12000" xr:uid="{6C9A2417-1D42-4364-8470-E86166C194D0}"/>
    <cellStyle name="Style 74 2 4 2 4 2" xfId="30904" xr:uid="{36B26F94-CBFD-454A-883E-7C4817AC5548}"/>
    <cellStyle name="Style 74 2 4 2 5" xfId="12001" xr:uid="{46010298-924D-4CF7-A5E0-B7A2244455DB}"/>
    <cellStyle name="Style 74 2 4 2 5 2" xfId="30905" xr:uid="{B240C2EE-159E-44F6-AF42-C5DE7FDCDD3C}"/>
    <cellStyle name="Style 74 2 4 2 6" xfId="12002" xr:uid="{7B4EF0F7-365F-46DB-BF75-21193D791FDD}"/>
    <cellStyle name="Style 74 2 4 2 6 2" xfId="30906" xr:uid="{3A05E279-931C-4F83-A317-42B83676F793}"/>
    <cellStyle name="Style 74 2 4 2 7" xfId="12003" xr:uid="{9E1E8840-EA51-491D-A255-2018EC9F5119}"/>
    <cellStyle name="Style 74 2 4 2 7 2" xfId="30907" xr:uid="{BA915CDD-A4ED-4701-8FA3-05F53E263DF8}"/>
    <cellStyle name="Style 74 2 4 2 8" xfId="12004" xr:uid="{1F524362-54BB-4B63-A26E-A504D122D772}"/>
    <cellStyle name="Style 74 2 4 2 8 2" xfId="30908" xr:uid="{5DC80269-5419-46E5-B779-97F30694E341}"/>
    <cellStyle name="Style 74 2 4 2 9" xfId="12005" xr:uid="{9ACD232C-04CD-4FD8-86CF-1A72C6A03935}"/>
    <cellStyle name="Style 74 2 4 2 9 2" xfId="30909" xr:uid="{3E6D42D3-B17F-4899-8D93-3ED69F3E53FD}"/>
    <cellStyle name="Style 74 2 4 3" xfId="12006" xr:uid="{8586E2DE-8934-46F7-9E9D-02063A19EEE8}"/>
    <cellStyle name="Style 74 2 4 3 2" xfId="12007" xr:uid="{FC478828-B44F-4E8B-B171-47F5C81CE921}"/>
    <cellStyle name="Style 74 2 4 3 2 2" xfId="30910" xr:uid="{CDCCDA34-14C1-4CFD-9CF5-DC98C9F7E408}"/>
    <cellStyle name="Style 74 2 4 4" xfId="12008" xr:uid="{A45E516B-1F5C-42E6-BCF3-0A2615D2C60A}"/>
    <cellStyle name="Style 74 2 4 4 2" xfId="30911" xr:uid="{279DAB52-2B8E-4709-AE50-504934F38410}"/>
    <cellStyle name="Style 74 2 4 5" xfId="12009" xr:uid="{8E3B168D-BC97-4365-BFAC-0A25AA1A0F35}"/>
    <cellStyle name="Style 74 2 4 5 2" xfId="30912" xr:uid="{39457828-663C-418D-B41B-1E5B1E095690}"/>
    <cellStyle name="Style 74 2 4 6" xfId="12010" xr:uid="{9313BD67-8301-44F1-944E-898DD48D616E}"/>
    <cellStyle name="Style 74 2 4 6 2" xfId="30913" xr:uid="{13E28A92-DC91-49FC-9F86-C9AEA09121CF}"/>
    <cellStyle name="Style 74 2 4 7" xfId="12011" xr:uid="{683AD605-E541-475B-8213-674B3FE20BED}"/>
    <cellStyle name="Style 74 2 4 7 2" xfId="30914" xr:uid="{4C259096-F24B-47E1-A7C9-694C3264A22E}"/>
    <cellStyle name="Style 74 2 4 8" xfId="12012" xr:uid="{946D92DB-0B9E-4481-ABA0-D60967356FB1}"/>
    <cellStyle name="Style 74 2 4 8 2" xfId="30915" xr:uid="{AFEBCC73-699F-4982-8C8E-423BE616B376}"/>
    <cellStyle name="Style 74 2 4 9" xfId="12013" xr:uid="{5A476900-009D-4E32-A04F-C4B26E9F4972}"/>
    <cellStyle name="Style 74 2 4 9 2" xfId="30916" xr:uid="{E9623CE9-AEA6-442D-A345-6601EC3A6917}"/>
    <cellStyle name="Style 74 2 5" xfId="3311" xr:uid="{211F9E82-CCA2-4C88-8970-FA3C5C70B75B}"/>
    <cellStyle name="Style 74 2 5 10" xfId="12014" xr:uid="{AB0FF36B-34B4-4D3F-86CB-C54CC81A521B}"/>
    <cellStyle name="Style 74 2 5 10 2" xfId="30917" xr:uid="{D45B9860-559D-4329-B70D-7B4DCF38B808}"/>
    <cellStyle name="Style 74 2 5 2" xfId="12015" xr:uid="{792F5BE0-BCDE-4C8B-8F90-309BDB0A82BA}"/>
    <cellStyle name="Style 74 2 5 2 2" xfId="12016" xr:uid="{0432CE31-8809-4F02-BFC3-A0D24B46C284}"/>
    <cellStyle name="Style 74 2 5 2 2 2" xfId="30918" xr:uid="{7AF42A9E-23AE-4998-AFA4-8894EBE8FCFA}"/>
    <cellStyle name="Style 74 2 5 3" xfId="12017" xr:uid="{B0BFB67C-C957-44EF-9427-A950FEAAE90A}"/>
    <cellStyle name="Style 74 2 5 3 2" xfId="30919" xr:uid="{22582838-A60F-416F-BB44-7EC4429703AE}"/>
    <cellStyle name="Style 74 2 5 4" xfId="12018" xr:uid="{0BDB3A4A-80B6-43B3-8D73-57322DAB0D65}"/>
    <cellStyle name="Style 74 2 5 4 2" xfId="30920" xr:uid="{A17D434E-8C82-4C55-9058-8B532BAE84F1}"/>
    <cellStyle name="Style 74 2 5 5" xfId="12019" xr:uid="{F81DE2F2-C234-4B03-AAEB-288E1BB06BB7}"/>
    <cellStyle name="Style 74 2 5 5 2" xfId="30921" xr:uid="{0A173E40-2AB4-4B47-9E7D-5AD5DED967A6}"/>
    <cellStyle name="Style 74 2 5 6" xfId="12020" xr:uid="{A6CA969F-D627-450A-8BFC-FEDB5DB48154}"/>
    <cellStyle name="Style 74 2 5 6 2" xfId="30922" xr:uid="{495A870D-9BC9-40F0-A486-C20633C7F413}"/>
    <cellStyle name="Style 74 2 5 7" xfId="12021" xr:uid="{977D9177-808D-4214-95F5-DF22945A6FA3}"/>
    <cellStyle name="Style 74 2 5 7 2" xfId="30923" xr:uid="{D5FC93AF-D676-463A-8F1B-7BFD5C2916F8}"/>
    <cellStyle name="Style 74 2 5 8" xfId="12022" xr:uid="{C6962522-9D39-4741-AE1F-4A98B3E205BB}"/>
    <cellStyle name="Style 74 2 5 8 2" xfId="30924" xr:uid="{658AC2CD-EE9C-426F-96EB-48F4763BCA15}"/>
    <cellStyle name="Style 74 2 5 9" xfId="12023" xr:uid="{CF6EF609-6DCA-4379-BF45-82950D23896F}"/>
    <cellStyle name="Style 74 2 5 9 2" xfId="30925" xr:uid="{1AA6AA37-5C37-4159-BF9B-9FEA979091DE}"/>
    <cellStyle name="Style 74 2 6" xfId="12024" xr:uid="{F3B56A0B-696B-4253-B888-AE4F255023D7}"/>
    <cellStyle name="Style 74 2 6 2" xfId="12025" xr:uid="{26D09FAC-88CF-43B3-B192-968055EB0759}"/>
    <cellStyle name="Style 74 2 6 2 2" xfId="30926" xr:uid="{CA2ECD42-2779-4935-AFBD-E05C00E0086F}"/>
    <cellStyle name="Style 74 2 7" xfId="12026" xr:uid="{0CBCEAB7-7F9B-4E0A-80CE-FE2A88C7E099}"/>
    <cellStyle name="Style 74 2 7 2" xfId="30927" xr:uid="{2FDDC614-2620-4418-8CD5-DC6D936D7AD2}"/>
    <cellStyle name="Style 74 2 8" xfId="12027" xr:uid="{40D4254C-6978-4EA8-ADBA-2346D5734BC3}"/>
    <cellStyle name="Style 74 2 8 2" xfId="30928" xr:uid="{F0C6FE20-E2A3-4492-A2D9-A363CEA28EFB}"/>
    <cellStyle name="Style 74 2 9" xfId="12028" xr:uid="{0A973F2D-7718-48EC-9733-E46EF4F48A7E}"/>
    <cellStyle name="Style 74 2 9 2" xfId="30929" xr:uid="{DC2F1F82-500F-429B-AF7C-383C443A9646}"/>
    <cellStyle name="Style 74 3" xfId="3312" xr:uid="{3C02CFE4-8AEF-4AEB-9CCB-7617014143B7}"/>
    <cellStyle name="Style 74 3 10" xfId="12029" xr:uid="{AED1667D-A7A5-47DA-82AE-510BFFB40BA7}"/>
    <cellStyle name="Style 74 3 10 2" xfId="30930" xr:uid="{2F302859-7A99-464C-ABFA-F96DB8F504FE}"/>
    <cellStyle name="Style 74 3 11" xfId="12030" xr:uid="{7E37A360-742F-4C49-A4EF-74B099C7C67A}"/>
    <cellStyle name="Style 74 3 11 2" xfId="30931" xr:uid="{22E880B3-897E-4B61-AE7E-038E47F8A046}"/>
    <cellStyle name="Style 74 3 12" xfId="12031" xr:uid="{5BFD4C7C-CCF0-4ED9-9DF1-A0199E9CC732}"/>
    <cellStyle name="Style 74 3 12 2" xfId="30932" xr:uid="{3FAA3E6E-87B0-4ED6-908E-0A3AA742ADFC}"/>
    <cellStyle name="Style 74 3 13" xfId="12032" xr:uid="{EFA549CE-BB1B-4763-989A-52A5ED2765AE}"/>
    <cellStyle name="Style 74 3 13 2" xfId="30933" xr:uid="{935EAFCD-C548-41DC-8CB2-6985FA8D0608}"/>
    <cellStyle name="Style 74 3 14" xfId="12033" xr:uid="{F32A673B-9A73-4AE4-AA67-14F46AF93850}"/>
    <cellStyle name="Style 74 3 14 2" xfId="30934" xr:uid="{F534DD4D-2CF9-4CC4-B300-85B349AD0D85}"/>
    <cellStyle name="Style 74 3 15" xfId="12034" xr:uid="{CD0F84B3-CEEC-439A-8D55-CC8A90DBFEBB}"/>
    <cellStyle name="Style 74 3 15 2" xfId="30935" xr:uid="{A2FA5D71-907F-45D7-A0B7-0D2BA8488631}"/>
    <cellStyle name="Style 74 3 2" xfId="3313" xr:uid="{A2D660AF-040B-41C9-B988-8E289BCE63E1}"/>
    <cellStyle name="Style 74 3 2 10" xfId="12035" xr:uid="{28C8EF0E-FC80-4E7F-8385-DCC51C8D9AAB}"/>
    <cellStyle name="Style 74 3 2 10 2" xfId="30936" xr:uid="{FE58B8F9-A1F9-44C5-BA74-60E54F46A266}"/>
    <cellStyle name="Style 74 3 2 11" xfId="12036" xr:uid="{3767C3A4-CB50-4B75-8EBC-75B1E06684AB}"/>
    <cellStyle name="Style 74 3 2 11 2" xfId="30937" xr:uid="{8F971D8F-99AE-4472-B2ED-E2BB1999AFFE}"/>
    <cellStyle name="Style 74 3 2 12" xfId="12037" xr:uid="{32BBB46C-56EB-40F9-A596-2152325C633A}"/>
    <cellStyle name="Style 74 3 2 12 2" xfId="30938" xr:uid="{A132F644-0F07-4024-A276-F477244AB7AB}"/>
    <cellStyle name="Style 74 3 2 13" xfId="12038" xr:uid="{2A7220E2-C98E-4B35-9986-B29E4BA674C7}"/>
    <cellStyle name="Style 74 3 2 13 2" xfId="30939" xr:uid="{B2527078-33A9-433B-8FF1-22ADAD2AF885}"/>
    <cellStyle name="Style 74 3 2 14" xfId="12039" xr:uid="{10D6B5B2-DE9A-46D7-9050-73F2169A9DEE}"/>
    <cellStyle name="Style 74 3 2 14 2" xfId="30940" xr:uid="{CDA481AE-7471-450E-88AF-4E2823635E46}"/>
    <cellStyle name="Style 74 3 2 2" xfId="3314" xr:uid="{F73BA3F9-E192-4C3C-B103-5F51DD46330C}"/>
    <cellStyle name="Style 74 3 2 2 10" xfId="12040" xr:uid="{084DA0A2-395B-425B-BE28-C2D5899AE31F}"/>
    <cellStyle name="Style 74 3 2 2 10 2" xfId="30941" xr:uid="{499CA1EF-D4DB-46C5-993C-B498F473D7DE}"/>
    <cellStyle name="Style 74 3 2 2 11" xfId="12041" xr:uid="{D8353C20-01C7-4DF2-9A68-B44E1F5E368F}"/>
    <cellStyle name="Style 74 3 2 2 11 2" xfId="30942" xr:uid="{02FCD317-BF98-4F3D-BCAF-A5830E0082C2}"/>
    <cellStyle name="Style 74 3 2 2 12" xfId="12042" xr:uid="{C6BD887E-2104-4C80-AD22-621E32370AA7}"/>
    <cellStyle name="Style 74 3 2 2 12 2" xfId="30943" xr:uid="{25E3E5A3-C342-4D2D-8E1F-F6673CB7B796}"/>
    <cellStyle name="Style 74 3 2 2 13" xfId="12043" xr:uid="{C55B1F4D-CE93-498B-A2FC-4EDAF4201A17}"/>
    <cellStyle name="Style 74 3 2 2 13 2" xfId="30944" xr:uid="{5620F0C0-B849-41AD-AE09-01E359A87675}"/>
    <cellStyle name="Style 74 3 2 2 2" xfId="3315" xr:uid="{8F2ABD79-4831-418A-BDD8-904D48463F36}"/>
    <cellStyle name="Style 74 3 2 2 2 10" xfId="12044" xr:uid="{393E084E-A7EC-42FA-A525-FE81A706BEFF}"/>
    <cellStyle name="Style 74 3 2 2 2 10 2" xfId="30945" xr:uid="{0551F8E3-EA33-451E-9158-C35B8C8D06D1}"/>
    <cellStyle name="Style 74 3 2 2 2 11" xfId="12045" xr:uid="{C20E6353-6FBA-426E-A20D-0E032604FC8B}"/>
    <cellStyle name="Style 74 3 2 2 2 11 2" xfId="30946" xr:uid="{CDE056FC-57CD-4596-B004-594B92E1EC44}"/>
    <cellStyle name="Style 74 3 2 2 2 12" xfId="12046" xr:uid="{9DCB2974-5F8E-4203-8427-2B3040308560}"/>
    <cellStyle name="Style 74 3 2 2 2 12 2" xfId="30947" xr:uid="{EA6C937F-BA62-41C8-9BC3-6AD2E19FE608}"/>
    <cellStyle name="Style 74 3 2 2 2 2" xfId="3316" xr:uid="{8D251A2B-ED8A-40AE-B9B4-708BD9C9E822}"/>
    <cellStyle name="Style 74 3 2 2 2 2 10" xfId="12047" xr:uid="{F678D8E4-D88A-410E-9C79-A94A60419C51}"/>
    <cellStyle name="Style 74 3 2 2 2 2 10 2" xfId="30948" xr:uid="{82331416-3200-43A8-8E98-87894C5C2033}"/>
    <cellStyle name="Style 74 3 2 2 2 2 2" xfId="12048" xr:uid="{933BF8AD-E6D7-4C13-81DA-8E73567FAF2C}"/>
    <cellStyle name="Style 74 3 2 2 2 2 2 2" xfId="12049" xr:uid="{FA9CB253-5EDD-4822-8C0A-55DFD2849E80}"/>
    <cellStyle name="Style 74 3 2 2 2 2 2 2 2" xfId="30949" xr:uid="{38388D15-A52F-47DD-B05F-C4957A39ABF5}"/>
    <cellStyle name="Style 74 3 2 2 2 2 3" xfId="12050" xr:uid="{18161D32-C331-4DDA-9AC2-B3D51FFF30D2}"/>
    <cellStyle name="Style 74 3 2 2 2 2 3 2" xfId="30950" xr:uid="{79E6C65C-E35F-4364-8A37-0EE69211EF65}"/>
    <cellStyle name="Style 74 3 2 2 2 2 4" xfId="12051" xr:uid="{A09EE2D4-6474-4AD6-8F67-D6A59BE8B428}"/>
    <cellStyle name="Style 74 3 2 2 2 2 4 2" xfId="30951" xr:uid="{89A060C4-A25C-48C5-AEEF-C5816D27910D}"/>
    <cellStyle name="Style 74 3 2 2 2 2 5" xfId="12052" xr:uid="{5FD82EA7-0623-4B75-B0CC-E7BE20B8B115}"/>
    <cellStyle name="Style 74 3 2 2 2 2 5 2" xfId="30952" xr:uid="{34775361-3C30-404F-8BBD-81DBAF33A40A}"/>
    <cellStyle name="Style 74 3 2 2 2 2 6" xfId="12053" xr:uid="{9A474CC1-E3BB-417A-B5B2-6FCA3D483404}"/>
    <cellStyle name="Style 74 3 2 2 2 2 6 2" xfId="30953" xr:uid="{60E53CB0-5CAC-4D39-90BA-6ADB8D5E945A}"/>
    <cellStyle name="Style 74 3 2 2 2 2 7" xfId="12054" xr:uid="{234CC5E5-91B5-4258-8CBC-ACC074193EBE}"/>
    <cellStyle name="Style 74 3 2 2 2 2 7 2" xfId="30954" xr:uid="{35380FAF-32D2-4690-9582-643C7BEDF2F2}"/>
    <cellStyle name="Style 74 3 2 2 2 2 8" xfId="12055" xr:uid="{AB4FEBDC-3314-4D03-9661-A6B29F1F74D0}"/>
    <cellStyle name="Style 74 3 2 2 2 2 8 2" xfId="30955" xr:uid="{D474BC80-8664-47B4-8A88-EB63DCAFD040}"/>
    <cellStyle name="Style 74 3 2 2 2 2 9" xfId="12056" xr:uid="{B1679304-FA8E-49AA-A78A-D083ED0FE2E4}"/>
    <cellStyle name="Style 74 3 2 2 2 2 9 2" xfId="30956" xr:uid="{E3F74483-5C23-4E94-8989-C6D386C05A61}"/>
    <cellStyle name="Style 74 3 2 2 2 3" xfId="12057" xr:uid="{1941FBFB-ABCC-4B09-BF24-ADC0F28E19D1}"/>
    <cellStyle name="Style 74 3 2 2 2 3 2" xfId="12058" xr:uid="{D712E6BF-8FF2-4563-8E25-2C5E33B87D6E}"/>
    <cellStyle name="Style 74 3 2 2 2 3 2 2" xfId="30957" xr:uid="{BE6D6993-C160-4E52-BA5B-2F4D185BD421}"/>
    <cellStyle name="Style 74 3 2 2 2 4" xfId="12059" xr:uid="{B7936AC8-2049-47B4-9AA1-92330276B729}"/>
    <cellStyle name="Style 74 3 2 2 2 4 2" xfId="30958" xr:uid="{11841C0B-EEA4-4750-B81F-DCFE6DEB0270}"/>
    <cellStyle name="Style 74 3 2 2 2 5" xfId="12060" xr:uid="{C67B7EDF-7A5F-40BB-A0A4-C21D6A558EEF}"/>
    <cellStyle name="Style 74 3 2 2 2 5 2" xfId="30959" xr:uid="{B52EF65D-1B78-4B8E-B050-9CC329BBE4BA}"/>
    <cellStyle name="Style 74 3 2 2 2 6" xfId="12061" xr:uid="{E4465819-EEAD-4C1A-B874-9D802B3FCB72}"/>
    <cellStyle name="Style 74 3 2 2 2 6 2" xfId="30960" xr:uid="{4FA8EF9C-8D24-46E4-B309-94DAC2DCD56A}"/>
    <cellStyle name="Style 74 3 2 2 2 7" xfId="12062" xr:uid="{EBDC6C5F-BC81-4470-A09D-1495D4A3C4D7}"/>
    <cellStyle name="Style 74 3 2 2 2 7 2" xfId="30961" xr:uid="{30F7D172-8099-46B1-93E8-AB16EB9DCC4E}"/>
    <cellStyle name="Style 74 3 2 2 2 8" xfId="12063" xr:uid="{883B7779-28B5-4F54-B7AC-49242FFDF931}"/>
    <cellStyle name="Style 74 3 2 2 2 8 2" xfId="30962" xr:uid="{E2B3F1D7-C6D3-4A0A-93BB-76FD78D61BBD}"/>
    <cellStyle name="Style 74 3 2 2 2 9" xfId="12064" xr:uid="{3DCAE137-6788-4218-BB9E-B2BB1C3C3F34}"/>
    <cellStyle name="Style 74 3 2 2 2 9 2" xfId="30963" xr:uid="{25EAE1EB-C7D7-4137-B590-2E5672A37080}"/>
    <cellStyle name="Style 74 3 2 2 3" xfId="3317" xr:uid="{72552B6A-B60D-4480-8F29-CFA85ED8229C}"/>
    <cellStyle name="Style 74 3 2 2 3 10" xfId="12065" xr:uid="{8C0D7FA9-CDC0-4200-818F-FE3BBCA834E8}"/>
    <cellStyle name="Style 74 3 2 2 3 10 2" xfId="30964" xr:uid="{8CF30877-1913-4EF2-896E-927188EACF25}"/>
    <cellStyle name="Style 74 3 2 2 3 2" xfId="12066" xr:uid="{0D11EEEF-3771-400D-BE43-C6056BACD856}"/>
    <cellStyle name="Style 74 3 2 2 3 2 2" xfId="12067" xr:uid="{59B79081-5C0F-45E3-B02C-EEFB18AB55DF}"/>
    <cellStyle name="Style 74 3 2 2 3 2 2 2" xfId="30965" xr:uid="{DAEE3114-E944-484E-B72E-4C768F3C8D15}"/>
    <cellStyle name="Style 74 3 2 2 3 3" xfId="12068" xr:uid="{DCF9D58A-B511-402D-90BD-26D992ABC5B3}"/>
    <cellStyle name="Style 74 3 2 2 3 3 2" xfId="30966" xr:uid="{A380E07B-FF4A-4600-A7F4-40E4EE064084}"/>
    <cellStyle name="Style 74 3 2 2 3 4" xfId="12069" xr:uid="{16FE499B-258D-49E6-8306-BF6F43CE94B2}"/>
    <cellStyle name="Style 74 3 2 2 3 4 2" xfId="30967" xr:uid="{3228C5C6-7D2C-4B0C-B6E1-91A99F84DAEC}"/>
    <cellStyle name="Style 74 3 2 2 3 5" xfId="12070" xr:uid="{9F719949-38BB-458A-95FF-0EEC05AE6BB1}"/>
    <cellStyle name="Style 74 3 2 2 3 5 2" xfId="30968" xr:uid="{21DD6B3D-5160-4752-A68C-8CA0B8A9E9B3}"/>
    <cellStyle name="Style 74 3 2 2 3 6" xfId="12071" xr:uid="{8F1226E9-6D72-4810-8EC4-D741CD0F3798}"/>
    <cellStyle name="Style 74 3 2 2 3 6 2" xfId="30969" xr:uid="{8CD217D7-885C-471A-AE14-5973FD155C43}"/>
    <cellStyle name="Style 74 3 2 2 3 7" xfId="12072" xr:uid="{9601C171-FC2C-403A-8FB3-4F3CF733F58F}"/>
    <cellStyle name="Style 74 3 2 2 3 7 2" xfId="30970" xr:uid="{337EF626-F7BB-4D16-9705-C8BA451CA485}"/>
    <cellStyle name="Style 74 3 2 2 3 8" xfId="12073" xr:uid="{FD7903D0-03B6-42DC-B0CE-15D626A81A00}"/>
    <cellStyle name="Style 74 3 2 2 3 8 2" xfId="30971" xr:uid="{D11E5582-0DA9-4D2A-89D1-E6036CD58F6B}"/>
    <cellStyle name="Style 74 3 2 2 3 9" xfId="12074" xr:uid="{415A3F93-39B2-416D-B78C-FBEB3A3D5490}"/>
    <cellStyle name="Style 74 3 2 2 3 9 2" xfId="30972" xr:uid="{65184B95-F2AB-4A78-9210-7B715B79EDC5}"/>
    <cellStyle name="Style 74 3 2 2 4" xfId="12075" xr:uid="{83CAD060-A1E2-432F-89DB-C0774F3BF290}"/>
    <cellStyle name="Style 74 3 2 2 4 2" xfId="12076" xr:uid="{1D1DDA4D-02F9-4B37-AAF7-081AE6F23AA9}"/>
    <cellStyle name="Style 74 3 2 2 4 2 2" xfId="30973" xr:uid="{E1920803-0B6B-48CE-B0ED-CD03720C3FF6}"/>
    <cellStyle name="Style 74 3 2 2 5" xfId="12077" xr:uid="{0AF0BC6B-E2DC-437B-B5F3-7AB6D4C5D683}"/>
    <cellStyle name="Style 74 3 2 2 5 2" xfId="30974" xr:uid="{E9A8FF1A-0EA1-4743-906C-5485BC5FE6BE}"/>
    <cellStyle name="Style 74 3 2 2 6" xfId="12078" xr:uid="{071A05BC-8DD0-43B2-8F49-7587B463F171}"/>
    <cellStyle name="Style 74 3 2 2 6 2" xfId="30975" xr:uid="{D3442062-CD03-4809-AA8D-983A1B954E9A}"/>
    <cellStyle name="Style 74 3 2 2 7" xfId="12079" xr:uid="{0895410F-CE8D-4851-93DA-ABB82C489909}"/>
    <cellStyle name="Style 74 3 2 2 7 2" xfId="30976" xr:uid="{0D34C01A-D259-49F7-A96C-7BEF26A25BC1}"/>
    <cellStyle name="Style 74 3 2 2 8" xfId="12080" xr:uid="{D470EE0A-AA2A-4EB6-8B6B-4B72428B2964}"/>
    <cellStyle name="Style 74 3 2 2 8 2" xfId="30977" xr:uid="{5CFCB51C-D16D-4C1A-A5BC-8D54F00EBB59}"/>
    <cellStyle name="Style 74 3 2 2 9" xfId="12081" xr:uid="{5ADFFC87-FAC5-45AB-871D-5B53955F6EE5}"/>
    <cellStyle name="Style 74 3 2 2 9 2" xfId="30978" xr:uid="{DEF3B049-7626-44EB-A296-A3CD5DDE6F1D}"/>
    <cellStyle name="Style 74 3 2 3" xfId="3318" xr:uid="{2FA0FA28-8398-47E3-957C-4ABE3D5F7791}"/>
    <cellStyle name="Style 74 3 2 3 10" xfId="12082" xr:uid="{09BB312B-C543-4FE6-803E-ACC9D12AE0BE}"/>
    <cellStyle name="Style 74 3 2 3 10 2" xfId="30979" xr:uid="{7EDFE0AB-A9EF-461C-B0FF-7FB4E9160611}"/>
    <cellStyle name="Style 74 3 2 3 11" xfId="12083" xr:uid="{E197ECF0-1AD3-4FC2-B815-AFCCA2EB4B2E}"/>
    <cellStyle name="Style 74 3 2 3 11 2" xfId="30980" xr:uid="{F6FED181-9A3C-446A-B0E7-0B601607FD0D}"/>
    <cellStyle name="Style 74 3 2 3 12" xfId="12084" xr:uid="{8487301B-25F8-4A37-9DF3-843B0BE79BA5}"/>
    <cellStyle name="Style 74 3 2 3 12 2" xfId="30981" xr:uid="{D493D0F2-00FF-46D1-84F4-F92DA8D26443}"/>
    <cellStyle name="Style 74 3 2 3 2" xfId="3319" xr:uid="{2E216ADB-4ABD-4ED0-A8A2-336CA33D8774}"/>
    <cellStyle name="Style 74 3 2 3 2 10" xfId="12085" xr:uid="{80F7DB15-EA83-44D1-BDCB-5443A794834F}"/>
    <cellStyle name="Style 74 3 2 3 2 10 2" xfId="30982" xr:uid="{104DBDC2-655D-4CCF-91CF-BD6012DF7E01}"/>
    <cellStyle name="Style 74 3 2 3 2 2" xfId="12086" xr:uid="{E80C35DE-A3E7-4912-9DFE-678E291F4E57}"/>
    <cellStyle name="Style 74 3 2 3 2 2 2" xfId="12087" xr:uid="{09716C45-1492-48DC-B70F-8C5BE4D63E5D}"/>
    <cellStyle name="Style 74 3 2 3 2 2 2 2" xfId="30983" xr:uid="{C3A8C67D-0737-483D-8E5F-1A9CAA99B83A}"/>
    <cellStyle name="Style 74 3 2 3 2 3" xfId="12088" xr:uid="{9271DD7F-4667-4AF2-BB46-05B6351BF6E2}"/>
    <cellStyle name="Style 74 3 2 3 2 3 2" xfId="30984" xr:uid="{81A7D3D5-FB26-4B79-853B-B28F36EEAAEE}"/>
    <cellStyle name="Style 74 3 2 3 2 4" xfId="12089" xr:uid="{753056EC-2457-49EE-9E78-9DAE76DFC84E}"/>
    <cellStyle name="Style 74 3 2 3 2 4 2" xfId="30985" xr:uid="{72B0BB6F-8933-487F-BC00-D2D1B6959CDF}"/>
    <cellStyle name="Style 74 3 2 3 2 5" xfId="12090" xr:uid="{176C507D-9844-450F-8F85-DD94E1DAF072}"/>
    <cellStyle name="Style 74 3 2 3 2 5 2" xfId="30986" xr:uid="{3474DE09-7063-45BA-85F6-ECBD81E18456}"/>
    <cellStyle name="Style 74 3 2 3 2 6" xfId="12091" xr:uid="{2F571238-D918-42E2-8FF7-F6828F9BACAB}"/>
    <cellStyle name="Style 74 3 2 3 2 6 2" xfId="30987" xr:uid="{EDA58E0E-FE0A-4539-9B55-7571A613818D}"/>
    <cellStyle name="Style 74 3 2 3 2 7" xfId="12092" xr:uid="{9DBBCC8F-5EB1-4570-AEFB-A563260D9B40}"/>
    <cellStyle name="Style 74 3 2 3 2 7 2" xfId="30988" xr:uid="{9CFC884F-CE3D-4A16-A468-8F421DC3BB74}"/>
    <cellStyle name="Style 74 3 2 3 2 8" xfId="12093" xr:uid="{A053C146-1843-480C-839F-F5DD1130F9D6}"/>
    <cellStyle name="Style 74 3 2 3 2 8 2" xfId="30989" xr:uid="{AEE063F9-B3EB-4F07-8FCC-F310DFE1357C}"/>
    <cellStyle name="Style 74 3 2 3 2 9" xfId="12094" xr:uid="{1A1E2941-6289-44FE-90AD-989FA6FD52C0}"/>
    <cellStyle name="Style 74 3 2 3 2 9 2" xfId="30990" xr:uid="{0BCE93F4-0991-48F4-8F28-A5ABB3596766}"/>
    <cellStyle name="Style 74 3 2 3 3" xfId="12095" xr:uid="{4E4D116E-A8AE-42D8-AFD9-8CA744195CE1}"/>
    <cellStyle name="Style 74 3 2 3 3 2" xfId="12096" xr:uid="{A7BB9C9E-9113-4822-9AE5-9EAE013C9D32}"/>
    <cellStyle name="Style 74 3 2 3 3 2 2" xfId="30991" xr:uid="{335DFE3D-23D4-4EA2-90C2-C29850DC2A09}"/>
    <cellStyle name="Style 74 3 2 3 4" xfId="12097" xr:uid="{4DB568BD-2F4A-444B-A75F-80C161688B87}"/>
    <cellStyle name="Style 74 3 2 3 4 2" xfId="30992" xr:uid="{266456E2-231D-4FA9-BA14-FB7D5A1D1452}"/>
    <cellStyle name="Style 74 3 2 3 5" xfId="12098" xr:uid="{2D5D2800-407B-4F45-8D48-42D96E6806DA}"/>
    <cellStyle name="Style 74 3 2 3 5 2" xfId="30993" xr:uid="{AFF3C317-4AF4-40DA-8D76-47B3B6705D51}"/>
    <cellStyle name="Style 74 3 2 3 6" xfId="12099" xr:uid="{664E351F-6C92-4B9B-B254-F00742576046}"/>
    <cellStyle name="Style 74 3 2 3 6 2" xfId="30994" xr:uid="{D5F599E6-66C9-4055-B68D-6FA502B4B52D}"/>
    <cellStyle name="Style 74 3 2 3 7" xfId="12100" xr:uid="{FFCCA65A-21AB-468B-A82B-B21E43ADC08D}"/>
    <cellStyle name="Style 74 3 2 3 7 2" xfId="30995" xr:uid="{11EC6CCC-1486-4877-861F-FE08B3F44223}"/>
    <cellStyle name="Style 74 3 2 3 8" xfId="12101" xr:uid="{07E68A29-3A41-435A-84EF-0ABE514CF358}"/>
    <cellStyle name="Style 74 3 2 3 8 2" xfId="30996" xr:uid="{D5859E49-6FC5-4905-AEC5-8587843DFA61}"/>
    <cellStyle name="Style 74 3 2 3 9" xfId="12102" xr:uid="{166C3C93-E792-49A1-A841-FDDC4F89703C}"/>
    <cellStyle name="Style 74 3 2 3 9 2" xfId="30997" xr:uid="{AAA1400D-F81E-4B49-BEE5-0E32374FEAD5}"/>
    <cellStyle name="Style 74 3 2 4" xfId="3320" xr:uid="{A77E9E40-D28F-447B-8143-883B22E274C9}"/>
    <cellStyle name="Style 74 3 2 4 10" xfId="12103" xr:uid="{DD5C91DB-BF04-4DE7-9869-D1401D3AC731}"/>
    <cellStyle name="Style 74 3 2 4 10 2" xfId="30998" xr:uid="{F4E8AE86-F9E6-42D8-9EA1-7F8648D8C205}"/>
    <cellStyle name="Style 74 3 2 4 2" xfId="12104" xr:uid="{6002F40A-CA3E-4BEA-9BC3-41F706612D77}"/>
    <cellStyle name="Style 74 3 2 4 2 2" xfId="12105" xr:uid="{7FCA1623-A1DF-430B-853C-71F7C8F39D0C}"/>
    <cellStyle name="Style 74 3 2 4 2 2 2" xfId="30999" xr:uid="{B91D0051-215E-4270-908D-4B50A424763F}"/>
    <cellStyle name="Style 74 3 2 4 3" xfId="12106" xr:uid="{8E73C32D-3D38-4944-9875-48C9B899DFFF}"/>
    <cellStyle name="Style 74 3 2 4 3 2" xfId="31000" xr:uid="{7AB2B2A0-DFF9-43C7-816E-8F0D71B8ADB4}"/>
    <cellStyle name="Style 74 3 2 4 4" xfId="12107" xr:uid="{C25CAC79-408C-4C17-A7A8-370E3FCEEC2B}"/>
    <cellStyle name="Style 74 3 2 4 4 2" xfId="31001" xr:uid="{D366CB91-587B-4713-9A74-96FAB6CE92E1}"/>
    <cellStyle name="Style 74 3 2 4 5" xfId="12108" xr:uid="{9741E86C-F5A8-4870-B768-465D7E59F949}"/>
    <cellStyle name="Style 74 3 2 4 5 2" xfId="31002" xr:uid="{E8A3CEB9-95F7-4A26-B338-8936A9BB3D03}"/>
    <cellStyle name="Style 74 3 2 4 6" xfId="12109" xr:uid="{9DDF68D2-B315-4E3E-BE97-F7F8EE7D7580}"/>
    <cellStyle name="Style 74 3 2 4 6 2" xfId="31003" xr:uid="{4AC21576-E965-4B9A-9B70-C0EF055CBBFB}"/>
    <cellStyle name="Style 74 3 2 4 7" xfId="12110" xr:uid="{A7AA9FBB-5C2A-4EB5-99B9-AFA0BD56C75D}"/>
    <cellStyle name="Style 74 3 2 4 7 2" xfId="31004" xr:uid="{20674251-587B-4F8E-8464-F11EF6B6CFDC}"/>
    <cellStyle name="Style 74 3 2 4 8" xfId="12111" xr:uid="{04907BC9-BF25-47BB-82A6-51654771ABC4}"/>
    <cellStyle name="Style 74 3 2 4 8 2" xfId="31005" xr:uid="{C1672401-C5AC-4D37-88B4-3FD57798D17A}"/>
    <cellStyle name="Style 74 3 2 4 9" xfId="12112" xr:uid="{4D459E9A-5AF4-426E-B120-022D840DBC06}"/>
    <cellStyle name="Style 74 3 2 4 9 2" xfId="31006" xr:uid="{7102742F-A3A7-4D0F-BBD7-84877ACC38B3}"/>
    <cellStyle name="Style 74 3 2 5" xfId="12113" xr:uid="{6D0D24B7-C4E9-4F64-A5C9-64543A320D73}"/>
    <cellStyle name="Style 74 3 2 5 2" xfId="12114" xr:uid="{63961FDC-9543-4DE0-A1E6-CDB938B371FD}"/>
    <cellStyle name="Style 74 3 2 5 2 2" xfId="31007" xr:uid="{0837ACFE-DE3A-47F3-8AFC-67A8152A5F1A}"/>
    <cellStyle name="Style 74 3 2 6" xfId="12115" xr:uid="{2907B8C3-730E-4E56-AF39-488EAFF5F22D}"/>
    <cellStyle name="Style 74 3 2 6 2" xfId="31008" xr:uid="{B1E95C15-9A03-4336-AE3D-BCE5668CAC0D}"/>
    <cellStyle name="Style 74 3 2 7" xfId="12116" xr:uid="{4952E317-B5A8-4886-AC57-0CB4684DB0D2}"/>
    <cellStyle name="Style 74 3 2 7 2" xfId="31009" xr:uid="{9606F5DB-484B-47BC-874C-F865790BFEF8}"/>
    <cellStyle name="Style 74 3 2 8" xfId="12117" xr:uid="{3CB4B5EF-AF03-4540-8D5B-3EE2EC31C92D}"/>
    <cellStyle name="Style 74 3 2 8 2" xfId="31010" xr:uid="{3EC771C2-BAC4-4722-B6CD-D6F9D8D36982}"/>
    <cellStyle name="Style 74 3 2 9" xfId="12118" xr:uid="{F90A8D35-607C-41CB-BFFA-80319BC2AA09}"/>
    <cellStyle name="Style 74 3 2 9 2" xfId="31011" xr:uid="{FD1E0716-3031-4D0D-88AB-CA8EDD78AB4E}"/>
    <cellStyle name="Style 74 3 3" xfId="3321" xr:uid="{BD49936E-85CE-461F-B75B-E0E0ED3DC57E}"/>
    <cellStyle name="Style 74 3 3 10" xfId="12119" xr:uid="{C5028D96-5FA2-4AEE-A528-AE05A6D04026}"/>
    <cellStyle name="Style 74 3 3 10 2" xfId="31012" xr:uid="{FF458515-ECBF-4581-8934-62A69BECBBA6}"/>
    <cellStyle name="Style 74 3 3 11" xfId="12120" xr:uid="{047FF368-717E-48B6-8A5D-260399B92FAF}"/>
    <cellStyle name="Style 74 3 3 11 2" xfId="31013" xr:uid="{7E95D3D3-B31D-40BD-91D0-9EF4135CC6AA}"/>
    <cellStyle name="Style 74 3 3 12" xfId="12121" xr:uid="{650F1A5F-9AC3-4FB3-ADA1-E8A3D4C3720D}"/>
    <cellStyle name="Style 74 3 3 12 2" xfId="31014" xr:uid="{678CE558-8508-480F-B1B2-3B031FBE2D0F}"/>
    <cellStyle name="Style 74 3 3 13" xfId="12122" xr:uid="{B3D3E213-D9EF-462E-BA65-848075005427}"/>
    <cellStyle name="Style 74 3 3 13 2" xfId="31015" xr:uid="{53CD16FC-CEBC-42B5-9851-664188C3A9EF}"/>
    <cellStyle name="Style 74 3 3 2" xfId="3322" xr:uid="{A856CE91-9A25-489E-B2D4-80542733D4F4}"/>
    <cellStyle name="Style 74 3 3 2 10" xfId="12123" xr:uid="{C8CE0927-C696-4CF1-BB93-10C170CDD79D}"/>
    <cellStyle name="Style 74 3 3 2 10 2" xfId="31016" xr:uid="{0BE0CB26-47A3-4FE6-87B2-70DFF2392EF2}"/>
    <cellStyle name="Style 74 3 3 2 11" xfId="12124" xr:uid="{B6D49A41-3337-4BCC-B505-F73CB9841A18}"/>
    <cellStyle name="Style 74 3 3 2 11 2" xfId="31017" xr:uid="{44F61E39-88CB-4094-BE9D-6FE1F1737517}"/>
    <cellStyle name="Style 74 3 3 2 12" xfId="12125" xr:uid="{786AACCB-729A-4410-AC39-7399DE95D931}"/>
    <cellStyle name="Style 74 3 3 2 12 2" xfId="31018" xr:uid="{975A72A2-923E-4849-AF94-1A6F9FDE84E2}"/>
    <cellStyle name="Style 74 3 3 2 13" xfId="12126" xr:uid="{63311DB7-7B6C-4E52-A6B7-5CAE2320A161}"/>
    <cellStyle name="Style 74 3 3 2 13 2" xfId="31019" xr:uid="{85C490A3-F59C-45BF-9AFC-20EB289FACC1}"/>
    <cellStyle name="Style 74 3 3 2 2" xfId="3323" xr:uid="{64919B6A-12F7-42ED-B648-C0E35E696187}"/>
    <cellStyle name="Style 74 3 3 2 2 10" xfId="12127" xr:uid="{A37B5F9A-BCC8-41F1-B3C5-6325420E9567}"/>
    <cellStyle name="Style 74 3 3 2 2 10 2" xfId="31020" xr:uid="{5BEF759A-2BF5-4EEA-85B4-A6A86ADC8097}"/>
    <cellStyle name="Style 74 3 3 2 2 11" xfId="12128" xr:uid="{74D480AF-645F-40CB-9ED0-41FF4D4BF4FC}"/>
    <cellStyle name="Style 74 3 3 2 2 11 2" xfId="31021" xr:uid="{CF9B4B60-24AE-4A4F-AE87-94E2D0372717}"/>
    <cellStyle name="Style 74 3 3 2 2 12" xfId="12129" xr:uid="{775971D2-817D-4BAA-9563-FD63F19D46E9}"/>
    <cellStyle name="Style 74 3 3 2 2 12 2" xfId="31022" xr:uid="{835FA68E-846A-4834-B5D1-CF5F0FB92D49}"/>
    <cellStyle name="Style 74 3 3 2 2 2" xfId="3324" xr:uid="{137DFE9A-09F9-46E0-9869-0188DEDBEA6B}"/>
    <cellStyle name="Style 74 3 3 2 2 2 10" xfId="12130" xr:uid="{4AAF778A-89A0-4AE0-8B2D-EFDA5A9E9476}"/>
    <cellStyle name="Style 74 3 3 2 2 2 10 2" xfId="31023" xr:uid="{F779B397-41D6-4207-ADED-662B716A862D}"/>
    <cellStyle name="Style 74 3 3 2 2 2 2" xfId="12131" xr:uid="{353322EF-F3D9-4FD7-8CE7-2C74AE14A59D}"/>
    <cellStyle name="Style 74 3 3 2 2 2 2 2" xfId="12132" xr:uid="{581C7318-96D9-4544-83B2-0CEBB8FF9CDA}"/>
    <cellStyle name="Style 74 3 3 2 2 2 2 2 2" xfId="31024" xr:uid="{FCDCA8D9-5780-451D-812C-7028A60948C7}"/>
    <cellStyle name="Style 74 3 3 2 2 2 3" xfId="12133" xr:uid="{6592131D-5B21-4DE4-BDAC-508D41130D6F}"/>
    <cellStyle name="Style 74 3 3 2 2 2 3 2" xfId="31025" xr:uid="{9A85E5E5-242E-4A8E-B1FB-245AF50DE00C}"/>
    <cellStyle name="Style 74 3 3 2 2 2 4" xfId="12134" xr:uid="{FB040B66-FCE3-4564-8254-C33536C025FF}"/>
    <cellStyle name="Style 74 3 3 2 2 2 4 2" xfId="31026" xr:uid="{3787C784-9362-41FD-858D-749E74F8C30A}"/>
    <cellStyle name="Style 74 3 3 2 2 2 5" xfId="12135" xr:uid="{B0BAC222-A27A-4D63-8827-C574DF3C38DA}"/>
    <cellStyle name="Style 74 3 3 2 2 2 5 2" xfId="31027" xr:uid="{52180C0E-4F64-48AD-BF10-6AA56B81C02F}"/>
    <cellStyle name="Style 74 3 3 2 2 2 6" xfId="12136" xr:uid="{E29EDD6B-7AEF-4492-B693-9853E013A7C1}"/>
    <cellStyle name="Style 74 3 3 2 2 2 6 2" xfId="31028" xr:uid="{DD837D8F-E2FD-4855-8C35-F4310DD1BE29}"/>
    <cellStyle name="Style 74 3 3 2 2 2 7" xfId="12137" xr:uid="{8823AFCA-C185-4F24-9154-EC529CA7FD30}"/>
    <cellStyle name="Style 74 3 3 2 2 2 7 2" xfId="31029" xr:uid="{61001950-832E-4521-8BB9-D6D5CBBEB9A2}"/>
    <cellStyle name="Style 74 3 3 2 2 2 8" xfId="12138" xr:uid="{C8CE9890-64E9-4EB5-9611-C984C2613BD8}"/>
    <cellStyle name="Style 74 3 3 2 2 2 8 2" xfId="31030" xr:uid="{595AF912-015F-4CCB-B3A0-9AF44F887683}"/>
    <cellStyle name="Style 74 3 3 2 2 2 9" xfId="12139" xr:uid="{345BB2A3-E0A3-4749-A410-CD35BAC8A6C2}"/>
    <cellStyle name="Style 74 3 3 2 2 2 9 2" xfId="31031" xr:uid="{FF3D6126-4D19-40F0-AB53-264F4B982DF3}"/>
    <cellStyle name="Style 74 3 3 2 2 3" xfId="12140" xr:uid="{07DC638A-AA8D-4D6B-9E2E-A6D5A1CD4C6C}"/>
    <cellStyle name="Style 74 3 3 2 2 3 2" xfId="12141" xr:uid="{4610BADD-2A3A-4384-9AF2-159FB9FCB545}"/>
    <cellStyle name="Style 74 3 3 2 2 3 2 2" xfId="31032" xr:uid="{D1147211-BAFE-42ED-A285-E24B33A03C44}"/>
    <cellStyle name="Style 74 3 3 2 2 4" xfId="12142" xr:uid="{61DEE86C-3E10-4DDF-9529-685BCEF7B33B}"/>
    <cellStyle name="Style 74 3 3 2 2 4 2" xfId="31033" xr:uid="{BE1FF7EA-7502-4554-A675-E20ABCBA0B99}"/>
    <cellStyle name="Style 74 3 3 2 2 5" xfId="12143" xr:uid="{91AE4921-196E-49B0-861E-2B9E8DF15270}"/>
    <cellStyle name="Style 74 3 3 2 2 5 2" xfId="31034" xr:uid="{D4F62ADB-7470-4969-9D20-807BFA7DEFA4}"/>
    <cellStyle name="Style 74 3 3 2 2 6" xfId="12144" xr:uid="{C16DB78A-FC27-4257-8F2C-AE3CAC167FD6}"/>
    <cellStyle name="Style 74 3 3 2 2 6 2" xfId="31035" xr:uid="{57ACDE33-7960-4CB9-B0E8-22C54C7FD82C}"/>
    <cellStyle name="Style 74 3 3 2 2 7" xfId="12145" xr:uid="{50569FE0-44C5-42B7-B64F-264D7F1FF2A7}"/>
    <cellStyle name="Style 74 3 3 2 2 7 2" xfId="31036" xr:uid="{D453ECFA-0604-4A63-8FC3-3DC679F3E558}"/>
    <cellStyle name="Style 74 3 3 2 2 8" xfId="12146" xr:uid="{71DC5DBC-3F9E-4BAD-8CB7-2118E9F39D92}"/>
    <cellStyle name="Style 74 3 3 2 2 8 2" xfId="31037" xr:uid="{C26BD740-7A4B-4FE4-9ABE-33AF5681D6EF}"/>
    <cellStyle name="Style 74 3 3 2 2 9" xfId="12147" xr:uid="{2D879B57-C6A7-424F-90E8-4EE1832CE480}"/>
    <cellStyle name="Style 74 3 3 2 2 9 2" xfId="31038" xr:uid="{8A703E5E-0BE5-4018-AA37-7D2C2D13C13B}"/>
    <cellStyle name="Style 74 3 3 2 3" xfId="3325" xr:uid="{48E7F90B-A37E-4D38-879E-B7D420BAEAC2}"/>
    <cellStyle name="Style 74 3 3 2 3 10" xfId="12148" xr:uid="{50CFD9D2-9D07-48D3-9A72-FCAC3A014A1B}"/>
    <cellStyle name="Style 74 3 3 2 3 10 2" xfId="31039" xr:uid="{4BA25434-2EB0-49D8-A0D6-23C4F1184E63}"/>
    <cellStyle name="Style 74 3 3 2 3 2" xfId="12149" xr:uid="{A1F9E61D-F07E-4218-8144-A18D0595EC96}"/>
    <cellStyle name="Style 74 3 3 2 3 2 2" xfId="12150" xr:uid="{307A31A8-6B1C-4772-97FB-8ECA09BB0E09}"/>
    <cellStyle name="Style 74 3 3 2 3 2 2 2" xfId="31040" xr:uid="{E0ADAEE2-CD28-4B02-9DEF-D2EF53EC6BD8}"/>
    <cellStyle name="Style 74 3 3 2 3 3" xfId="12151" xr:uid="{EF47A03B-974E-49F0-B443-5CC020066226}"/>
    <cellStyle name="Style 74 3 3 2 3 3 2" xfId="31041" xr:uid="{9844A22D-D5A3-4EE9-A2C0-E628BB12914E}"/>
    <cellStyle name="Style 74 3 3 2 3 4" xfId="12152" xr:uid="{3AD03B89-E7FE-490A-9F70-309F07688117}"/>
    <cellStyle name="Style 74 3 3 2 3 4 2" xfId="31042" xr:uid="{5AD7C152-C11B-41F4-822E-9EA30070F968}"/>
    <cellStyle name="Style 74 3 3 2 3 5" xfId="12153" xr:uid="{B3A650DD-EF59-4AFE-B243-4AC678A83021}"/>
    <cellStyle name="Style 74 3 3 2 3 5 2" xfId="31043" xr:uid="{60074CD7-D403-49B4-A6BA-D0200EB15A76}"/>
    <cellStyle name="Style 74 3 3 2 3 6" xfId="12154" xr:uid="{D873B54E-CE28-4E7B-A2D1-2E3674CA470B}"/>
    <cellStyle name="Style 74 3 3 2 3 6 2" xfId="31044" xr:uid="{380687E7-A8A8-44B4-92DD-A1EF1D5EA5AD}"/>
    <cellStyle name="Style 74 3 3 2 3 7" xfId="12155" xr:uid="{C54F9827-1F00-4BAC-AC8F-EE9997921FD7}"/>
    <cellStyle name="Style 74 3 3 2 3 7 2" xfId="31045" xr:uid="{E855E54C-7165-4BA1-A514-0FF49765BDB4}"/>
    <cellStyle name="Style 74 3 3 2 3 8" xfId="12156" xr:uid="{5519C7D0-4E64-45DB-ACD8-46F4635FAC5C}"/>
    <cellStyle name="Style 74 3 3 2 3 8 2" xfId="31046" xr:uid="{A25F4D37-339E-415C-A73B-B40AF094BAC8}"/>
    <cellStyle name="Style 74 3 3 2 3 9" xfId="12157" xr:uid="{966127E7-B812-492C-ACDC-8570FE7EB2B3}"/>
    <cellStyle name="Style 74 3 3 2 3 9 2" xfId="31047" xr:uid="{EE148844-3C0B-4BC4-AD82-E53E093AF21D}"/>
    <cellStyle name="Style 74 3 3 2 4" xfId="12158" xr:uid="{77D928F2-9BA9-44E6-B043-F29F8D69A634}"/>
    <cellStyle name="Style 74 3 3 2 4 2" xfId="12159" xr:uid="{330E7EAC-597F-4F37-845D-8BB91F4D2EF7}"/>
    <cellStyle name="Style 74 3 3 2 4 2 2" xfId="31048" xr:uid="{394FB568-56ED-40F0-91C3-379F894B758F}"/>
    <cellStyle name="Style 74 3 3 2 5" xfId="12160" xr:uid="{359E9FB1-F0BD-4BA1-A778-9CAFA437EB41}"/>
    <cellStyle name="Style 74 3 3 2 5 2" xfId="31049" xr:uid="{894268DD-03B4-4A52-A962-A9EE87A3D439}"/>
    <cellStyle name="Style 74 3 3 2 6" xfId="12161" xr:uid="{51F65235-24F2-40C0-8DA5-BACFDBF19C8A}"/>
    <cellStyle name="Style 74 3 3 2 6 2" xfId="31050" xr:uid="{862364D7-E9E6-4A35-A5BF-8F403623BDD5}"/>
    <cellStyle name="Style 74 3 3 2 7" xfId="12162" xr:uid="{9E99D2A5-403E-476C-A51A-D8012853AC45}"/>
    <cellStyle name="Style 74 3 3 2 7 2" xfId="31051" xr:uid="{F64A1581-140B-40FD-85EF-5F167E57E7A9}"/>
    <cellStyle name="Style 74 3 3 2 8" xfId="12163" xr:uid="{FB086409-BC24-455B-829C-0883FB97F2B6}"/>
    <cellStyle name="Style 74 3 3 2 8 2" xfId="31052" xr:uid="{602C9457-D311-4F8C-8755-F8B1C148FCAB}"/>
    <cellStyle name="Style 74 3 3 2 9" xfId="12164" xr:uid="{D686BA1F-EC7A-42EF-801E-A808D22C4E65}"/>
    <cellStyle name="Style 74 3 3 2 9 2" xfId="31053" xr:uid="{A74F22F5-B6CA-4308-AED5-69888C0DF578}"/>
    <cellStyle name="Style 74 3 3 3" xfId="3326" xr:uid="{A9870E0C-F44E-4BB9-8E26-621271FCDFCA}"/>
    <cellStyle name="Style 74 3 3 3 10" xfId="12165" xr:uid="{E06DD20A-924B-4F10-8B6D-FA8FD2FC9374}"/>
    <cellStyle name="Style 74 3 3 3 10 2" xfId="31054" xr:uid="{780DFFEC-15C7-4995-B8C7-06ECA4ED4662}"/>
    <cellStyle name="Style 74 3 3 3 11" xfId="12166" xr:uid="{DBFA1531-36FC-4077-AAB8-AFF56DCBB016}"/>
    <cellStyle name="Style 74 3 3 3 11 2" xfId="31055" xr:uid="{19A1AB16-8C07-40CB-AEFC-1A6DAC5AFB6B}"/>
    <cellStyle name="Style 74 3 3 3 2" xfId="12167" xr:uid="{5AF50CB3-03AB-418F-8F50-C316F08C93BB}"/>
    <cellStyle name="Style 74 3 3 3 2 2" xfId="12168" xr:uid="{ECCCD9CA-E70D-4643-9715-0F47BF75DB45}"/>
    <cellStyle name="Style 74 3 3 3 2 2 2" xfId="31056" xr:uid="{D4292B5D-AD46-403D-BCE7-7472514B7533}"/>
    <cellStyle name="Style 74 3 3 3 3" xfId="12169" xr:uid="{8534548B-7826-4104-8EAD-03E6EC427A10}"/>
    <cellStyle name="Style 74 3 3 3 3 2" xfId="31057" xr:uid="{1226083A-AECA-4B3E-B8EE-5E1B0F8E0229}"/>
    <cellStyle name="Style 74 3 3 3 4" xfId="12170" xr:uid="{8F2E1666-AC11-4A88-8193-53FE87ED94D3}"/>
    <cellStyle name="Style 74 3 3 3 4 2" xfId="31058" xr:uid="{D51AE4AF-30AA-492A-B50F-1DE2A2E02309}"/>
    <cellStyle name="Style 74 3 3 3 5" xfId="12171" xr:uid="{0A112873-7F66-48FB-AB0E-9BCF453E6EB2}"/>
    <cellStyle name="Style 74 3 3 3 5 2" xfId="31059" xr:uid="{7803E884-02E9-434B-9C98-FEFC34371C11}"/>
    <cellStyle name="Style 74 3 3 3 6" xfId="12172" xr:uid="{97529C4C-AACD-488F-89F6-9D6496D224FC}"/>
    <cellStyle name="Style 74 3 3 3 6 2" xfId="31060" xr:uid="{2A69CCCC-B26D-4D5E-AC14-7EBF15CB50BD}"/>
    <cellStyle name="Style 74 3 3 3 7" xfId="12173" xr:uid="{8A19D804-5767-4155-A3DF-CF23480089C3}"/>
    <cellStyle name="Style 74 3 3 3 7 2" xfId="31061" xr:uid="{4071DE4B-F3A0-4D69-9E22-7C16D315ABB5}"/>
    <cellStyle name="Style 74 3 3 3 8" xfId="12174" xr:uid="{982F23B8-7BD0-4493-AA51-3A1CDDE5EFE6}"/>
    <cellStyle name="Style 74 3 3 3 8 2" xfId="31062" xr:uid="{5C540673-7FDA-4A63-B91A-93B798B5E8C1}"/>
    <cellStyle name="Style 74 3 3 3 9" xfId="12175" xr:uid="{E6116580-7AAA-4307-AB5E-4A17AF4351FB}"/>
    <cellStyle name="Style 74 3 3 3 9 2" xfId="31063" xr:uid="{3F44C8BC-3130-41A9-8841-070EB03449A4}"/>
    <cellStyle name="Style 74 3 3 4" xfId="6752" xr:uid="{76C8E033-9746-4FDB-8BD7-A1738F45F2DE}"/>
    <cellStyle name="Style 74 3 3 4 2" xfId="12176" xr:uid="{9F73AD9C-EB01-4AAC-908D-78B18E61153F}"/>
    <cellStyle name="Style 74 3 3 4 2 2" xfId="31064" xr:uid="{01BFB039-FC56-4CD4-A8B9-C12D561B7C5B}"/>
    <cellStyle name="Style 74 3 3 5" xfId="12177" xr:uid="{9764E877-79BF-4EC8-B411-F1B71FCB5B7B}"/>
    <cellStyle name="Style 74 3 3 5 2" xfId="12178" xr:uid="{01EC19ED-670B-43DB-9013-4E38E48A0C71}"/>
    <cellStyle name="Style 74 3 3 5 2 2" xfId="31065" xr:uid="{3DAC9AE9-76A9-406B-8B5B-2A6E9525BBAE}"/>
    <cellStyle name="Style 74 3 3 6" xfId="12179" xr:uid="{4FE1A572-AE83-494D-B5F5-30014C76C010}"/>
    <cellStyle name="Style 74 3 3 6 2" xfId="31066" xr:uid="{079A902B-F3CE-45BB-951C-F7CBBC2E19EA}"/>
    <cellStyle name="Style 74 3 3 7" xfId="12180" xr:uid="{6A08AD52-96C5-4037-AD80-9914C44E0016}"/>
    <cellStyle name="Style 74 3 3 7 2" xfId="31067" xr:uid="{80EABA92-2C53-48E1-A91B-80C6DCECE52C}"/>
    <cellStyle name="Style 74 3 3 8" xfId="12181" xr:uid="{4C045B0F-9FE2-4E90-9598-51B9D12A0494}"/>
    <cellStyle name="Style 74 3 3 8 2" xfId="31068" xr:uid="{978799EF-F56C-4A9E-806C-26319C22DCB2}"/>
    <cellStyle name="Style 74 3 3 9" xfId="12182" xr:uid="{4A561A10-847F-4F75-A124-B47D07B90B5B}"/>
    <cellStyle name="Style 74 3 3 9 2" xfId="31069" xr:uid="{51DFE3AA-5131-4856-9F20-485FB07945DD}"/>
    <cellStyle name="Style 74 3 4" xfId="3327" xr:uid="{BDEDB35D-B239-4ECE-891C-DC5941537257}"/>
    <cellStyle name="Style 74 3 4 10" xfId="12183" xr:uid="{5053B318-A2BE-44BC-B304-E1A77BFB292F}"/>
    <cellStyle name="Style 74 3 4 10 2" xfId="31070" xr:uid="{6ED9819A-640D-429A-9B51-FB6D11C989AA}"/>
    <cellStyle name="Style 74 3 4 11" xfId="12184" xr:uid="{F8D1FBBC-9AF7-4C79-82CF-0B7F7EB1669B}"/>
    <cellStyle name="Style 74 3 4 11 2" xfId="31071" xr:uid="{458EFCED-9912-4009-A5D3-82EEF6C29519}"/>
    <cellStyle name="Style 74 3 4 12" xfId="12185" xr:uid="{CD1DAA7A-1539-465B-971E-EBA2F434AC67}"/>
    <cellStyle name="Style 74 3 4 12 2" xfId="31072" xr:uid="{876A358E-090A-4CA7-855D-4F6B4FF833FA}"/>
    <cellStyle name="Style 74 3 4 2" xfId="3328" xr:uid="{DA3C6A76-AB3E-4487-817F-0793F5AA5F5A}"/>
    <cellStyle name="Style 74 3 4 2 10" xfId="12186" xr:uid="{38C73D73-F373-4DF7-8A65-D1072FEC26E4}"/>
    <cellStyle name="Style 74 3 4 2 10 2" xfId="31073" xr:uid="{191FDBF2-CC69-455D-99A6-DD4F77C67722}"/>
    <cellStyle name="Style 74 3 4 2 2" xfId="12187" xr:uid="{440BB471-D073-4161-A491-9AF480A89312}"/>
    <cellStyle name="Style 74 3 4 2 2 2" xfId="12188" xr:uid="{22DCF511-1BB1-4FD2-87AC-B06C3A71D0D8}"/>
    <cellStyle name="Style 74 3 4 2 2 2 2" xfId="31074" xr:uid="{96180AF0-A410-4E2D-AF5D-D7690FA800F7}"/>
    <cellStyle name="Style 74 3 4 2 3" xfId="12189" xr:uid="{DFCBF1B1-D43C-46D5-BEDF-8FB8713E3F62}"/>
    <cellStyle name="Style 74 3 4 2 3 2" xfId="31075" xr:uid="{1CFA18CB-3F27-44E2-ABA4-FCAB34D0B66C}"/>
    <cellStyle name="Style 74 3 4 2 4" xfId="12190" xr:uid="{197BE9B9-74E7-4772-9DF7-66DCB903EAC4}"/>
    <cellStyle name="Style 74 3 4 2 4 2" xfId="31076" xr:uid="{34CB7155-6BDC-4F41-82F9-562B6C7EA068}"/>
    <cellStyle name="Style 74 3 4 2 5" xfId="12191" xr:uid="{0E1A5E03-AA86-4232-9FD2-E4FC20CB753F}"/>
    <cellStyle name="Style 74 3 4 2 5 2" xfId="31077" xr:uid="{23385BF5-E118-4DF1-9917-E0CA19AA6456}"/>
    <cellStyle name="Style 74 3 4 2 6" xfId="12192" xr:uid="{1F7CF4DC-FD69-4ECC-B394-AD5221BAABAE}"/>
    <cellStyle name="Style 74 3 4 2 6 2" xfId="31078" xr:uid="{77E30EEB-98A3-495D-BBFC-2E4A94A77150}"/>
    <cellStyle name="Style 74 3 4 2 7" xfId="12193" xr:uid="{D0ADDF17-3318-4CC3-A4FE-82FDBABC4695}"/>
    <cellStyle name="Style 74 3 4 2 7 2" xfId="31079" xr:uid="{7E7AF852-C9E3-4FDA-A361-0CDE3CA30575}"/>
    <cellStyle name="Style 74 3 4 2 8" xfId="12194" xr:uid="{917CFDE8-087C-4440-80FE-785FC0997031}"/>
    <cellStyle name="Style 74 3 4 2 8 2" xfId="31080" xr:uid="{C90BD2E5-01AA-4DE5-A843-19B5D69847B8}"/>
    <cellStyle name="Style 74 3 4 2 9" xfId="12195" xr:uid="{FFF13CA0-64FB-4AA7-AC90-6BE85EA6EAD4}"/>
    <cellStyle name="Style 74 3 4 2 9 2" xfId="31081" xr:uid="{408C4C6F-2225-4EBF-9300-0EE84A3DABE1}"/>
    <cellStyle name="Style 74 3 4 3" xfId="12196" xr:uid="{62F610E6-DA61-469F-81ED-7B3178C83920}"/>
    <cellStyle name="Style 74 3 4 3 2" xfId="12197" xr:uid="{1CE9907A-474D-438C-8329-F9F972BC4BDA}"/>
    <cellStyle name="Style 74 3 4 3 2 2" xfId="31082" xr:uid="{D101E253-06AF-4F11-BE72-76B5EA34EA9E}"/>
    <cellStyle name="Style 74 3 4 4" xfId="12198" xr:uid="{C90F01A8-BDCD-43F7-86A3-03973DF2EB25}"/>
    <cellStyle name="Style 74 3 4 4 2" xfId="31083" xr:uid="{9A1DC46F-866C-4004-8D97-0DFBF06D5300}"/>
    <cellStyle name="Style 74 3 4 5" xfId="12199" xr:uid="{3CD1F3F6-3E4B-4F67-BCCB-AAA506E841C4}"/>
    <cellStyle name="Style 74 3 4 5 2" xfId="31084" xr:uid="{9C8368B4-39E6-43F1-A3D4-7F16548C05D2}"/>
    <cellStyle name="Style 74 3 4 6" xfId="12200" xr:uid="{E9E05366-1C62-4F18-B7AB-5021A6ED3C8B}"/>
    <cellStyle name="Style 74 3 4 6 2" xfId="31085" xr:uid="{68AA15BB-4E56-4991-8712-FD92BCFF0F2F}"/>
    <cellStyle name="Style 74 3 4 7" xfId="12201" xr:uid="{D1413413-825C-4033-9CAB-842BD36E2C75}"/>
    <cellStyle name="Style 74 3 4 7 2" xfId="31086" xr:uid="{A34C23D9-5FEB-40A7-8E53-3EB3AAC12D34}"/>
    <cellStyle name="Style 74 3 4 8" xfId="12202" xr:uid="{187A9ED2-40A7-45B3-A431-501A17C2FD7F}"/>
    <cellStyle name="Style 74 3 4 8 2" xfId="31087" xr:uid="{D81E89D9-D313-4250-BED0-0E5CDAC2690A}"/>
    <cellStyle name="Style 74 3 4 9" xfId="12203" xr:uid="{2578BD03-52EA-4CB9-9CE4-ACD18DD88BAF}"/>
    <cellStyle name="Style 74 3 4 9 2" xfId="31088" xr:uid="{F793CF94-53E0-44AC-A50D-D4D52892CBB6}"/>
    <cellStyle name="Style 74 3 5" xfId="3329" xr:uid="{97AC208B-75CA-46C9-943E-F88B799FF390}"/>
    <cellStyle name="Style 74 3 5 10" xfId="12204" xr:uid="{7DC41E89-F0FE-4610-B310-83BCC339D785}"/>
    <cellStyle name="Style 74 3 5 10 2" xfId="31089" xr:uid="{750DCB20-8B25-4755-B633-08EA6D475B39}"/>
    <cellStyle name="Style 74 3 5 11" xfId="12205" xr:uid="{B560C6A9-2167-4E9E-8C4F-23A29AB0AE38}"/>
    <cellStyle name="Style 74 3 5 11 2" xfId="31090" xr:uid="{5EEB2881-DD02-4734-A648-230D59660DA1}"/>
    <cellStyle name="Style 74 3 5 2" xfId="12206" xr:uid="{CAFB30E4-B877-4478-BD98-A9A7E97CAF6F}"/>
    <cellStyle name="Style 74 3 5 2 2" xfId="12207" xr:uid="{03438FDD-6EB5-4066-886E-4EA7145B7E32}"/>
    <cellStyle name="Style 74 3 5 2 2 2" xfId="31091" xr:uid="{E5AB75EF-D8B4-4592-BBBB-F2F3CE801AF8}"/>
    <cellStyle name="Style 74 3 5 3" xfId="12208" xr:uid="{1DCB3D31-CA30-41C6-8533-3BE4B6A545F4}"/>
    <cellStyle name="Style 74 3 5 3 2" xfId="31092" xr:uid="{FB0A6417-3B60-4566-A7D2-ECFA79D60B83}"/>
    <cellStyle name="Style 74 3 5 4" xfId="12209" xr:uid="{8517D911-8926-48A9-BA36-95603090A440}"/>
    <cellStyle name="Style 74 3 5 4 2" xfId="31093" xr:uid="{819FF0B3-4296-4BB2-AD8D-4FFA43789284}"/>
    <cellStyle name="Style 74 3 5 5" xfId="12210" xr:uid="{9101A5A2-8311-4309-8CC7-FCE77C871313}"/>
    <cellStyle name="Style 74 3 5 5 2" xfId="31094" xr:uid="{AAF3E863-0DF3-45B6-B571-C5B9CB3A36ED}"/>
    <cellStyle name="Style 74 3 5 6" xfId="12211" xr:uid="{2D610A7C-BACF-4B22-A33B-D1E690DC4EDD}"/>
    <cellStyle name="Style 74 3 5 6 2" xfId="31095" xr:uid="{57530D3E-1A0D-4F6B-BD19-8725644B46BB}"/>
    <cellStyle name="Style 74 3 5 7" xfId="12212" xr:uid="{6BE4142D-5B64-4CB7-91D7-73851FE10423}"/>
    <cellStyle name="Style 74 3 5 7 2" xfId="31096" xr:uid="{EBE37202-C004-4252-9A5F-A74179A12252}"/>
    <cellStyle name="Style 74 3 5 8" xfId="12213" xr:uid="{7BB2AE02-E6D6-4623-8E57-11028AD2422A}"/>
    <cellStyle name="Style 74 3 5 8 2" xfId="31097" xr:uid="{57662605-AE5D-4FA2-BCA7-9B06C70050E9}"/>
    <cellStyle name="Style 74 3 5 9" xfId="12214" xr:uid="{FB7178D6-59C1-458E-BA8C-A364B2632218}"/>
    <cellStyle name="Style 74 3 5 9 2" xfId="31098" xr:uid="{7ADA1BC0-3C34-4209-A183-60485ABB8ACF}"/>
    <cellStyle name="Style 74 3 6" xfId="12215" xr:uid="{3CD72179-5D11-4C6C-9ACD-56ED57AF0948}"/>
    <cellStyle name="Style 74 3 6 2" xfId="12216" xr:uid="{959AD6C8-B357-432C-9E21-E3EB752D0505}"/>
    <cellStyle name="Style 74 3 6 2 2" xfId="31099" xr:uid="{C19869A8-F1D3-4517-9535-73D668B2BC07}"/>
    <cellStyle name="Style 74 3 7" xfId="12217" xr:uid="{FE8BB727-8F57-460D-8252-E9E9388C69DC}"/>
    <cellStyle name="Style 74 3 7 2" xfId="31100" xr:uid="{C03AA56C-50A7-4546-9B23-317CC30B9944}"/>
    <cellStyle name="Style 74 3 8" xfId="12218" xr:uid="{5316C259-E157-4862-983A-C6AC3447FF88}"/>
    <cellStyle name="Style 74 3 8 2" xfId="31101" xr:uid="{5734C856-E4AA-4AEF-94EA-4408AD58F4DD}"/>
    <cellStyle name="Style 74 3 9" xfId="12219" xr:uid="{CC81F28C-D284-49B5-833C-CD1696BC5268}"/>
    <cellStyle name="Style 74 3 9 2" xfId="31102" xr:uid="{A77469DE-FE64-4D1A-B14C-67F3BDE92F4C}"/>
    <cellStyle name="Style 74 4" xfId="3330" xr:uid="{7C5D45ED-49EE-4F08-A5A5-53F605995813}"/>
    <cellStyle name="Style 74 4 10" xfId="12220" xr:uid="{42991E82-B087-4E80-8311-6A3EE0858593}"/>
    <cellStyle name="Style 74 4 10 2" xfId="31103" xr:uid="{F6E2EC0B-E145-4E3E-9A1F-59AD64DC50AF}"/>
    <cellStyle name="Style 74 4 11" xfId="12221" xr:uid="{20AF411F-47C1-4D3C-8338-B428071CD005}"/>
    <cellStyle name="Style 74 4 11 2" xfId="31104" xr:uid="{081F82DE-3D7D-4EC1-9822-86197F444A86}"/>
    <cellStyle name="Style 74 4 12" xfId="12222" xr:uid="{7C9D4222-AEC5-4271-95F4-04E23300C29A}"/>
    <cellStyle name="Style 74 4 12 2" xfId="31105" xr:uid="{4F48BC7F-FE9E-4862-946D-062E15E3FB5E}"/>
    <cellStyle name="Style 74 4 13" xfId="12223" xr:uid="{8254F6BD-7841-41B9-A122-F5F007BBD5DB}"/>
    <cellStyle name="Style 74 4 13 2" xfId="31106" xr:uid="{394F117E-2033-4A55-8D51-A12E9654219E}"/>
    <cellStyle name="Style 74 4 2" xfId="3331" xr:uid="{06AF752B-3D73-47EE-BD12-DE415A3886AF}"/>
    <cellStyle name="Style 74 4 2 10" xfId="12224" xr:uid="{EC0EE764-0833-4360-A684-CCA75006424F}"/>
    <cellStyle name="Style 74 4 2 10 2" xfId="31107" xr:uid="{4141AA7B-458C-439F-8939-7499A05BDCBF}"/>
    <cellStyle name="Style 74 4 2 11" xfId="12225" xr:uid="{B539C174-7FA1-4B23-8357-9BCC13B065C4}"/>
    <cellStyle name="Style 74 4 2 11 2" xfId="31108" xr:uid="{989F84D8-496E-4D8A-9EEA-3524CD637C8F}"/>
    <cellStyle name="Style 74 4 2 12" xfId="12226" xr:uid="{AA17882C-BFB0-45EC-A910-EDE8DCE39BA7}"/>
    <cellStyle name="Style 74 4 2 12 2" xfId="31109" xr:uid="{B53DC232-9D81-4B1D-A7DD-D0078EE70ED1}"/>
    <cellStyle name="Style 74 4 2 13" xfId="12227" xr:uid="{89407A4A-E571-4FF8-AF00-9FA29F92DD23}"/>
    <cellStyle name="Style 74 4 2 13 2" xfId="31110" xr:uid="{9E0D182D-340A-44AF-831B-1290810407AE}"/>
    <cellStyle name="Style 74 4 2 2" xfId="3332" xr:uid="{7277F999-7AA7-4DD1-B406-1DB50B4349D9}"/>
    <cellStyle name="Style 74 4 2 2 10" xfId="12228" xr:uid="{0BC96281-0EE3-426F-96D2-7AB8223D9333}"/>
    <cellStyle name="Style 74 4 2 2 10 2" xfId="31111" xr:uid="{F3694E2C-2B18-4E1E-BB87-7AEE65D32305}"/>
    <cellStyle name="Style 74 4 2 2 11" xfId="12229" xr:uid="{59A888E7-AA2D-489D-8E0B-94DF241159BF}"/>
    <cellStyle name="Style 74 4 2 2 11 2" xfId="31112" xr:uid="{C24BC9F6-5FD4-4BD6-A583-8A1E1DCA70BF}"/>
    <cellStyle name="Style 74 4 2 2 12" xfId="12230" xr:uid="{3BB86D83-2F31-47EA-96A4-6EFEAFA61BAB}"/>
    <cellStyle name="Style 74 4 2 2 12 2" xfId="31113" xr:uid="{C7E71D66-6DEC-4A58-8EE3-B8199BDC96CA}"/>
    <cellStyle name="Style 74 4 2 2 2" xfId="3333" xr:uid="{1AE26E04-3B9A-4C24-A45F-B457EA2824FA}"/>
    <cellStyle name="Style 74 4 2 2 2 10" xfId="12231" xr:uid="{FCBFB6E6-A84B-41AE-9E64-404CAEFB6C8E}"/>
    <cellStyle name="Style 74 4 2 2 2 10 2" xfId="31114" xr:uid="{3F436B97-C44E-4E56-BB2C-302BC9D7A96E}"/>
    <cellStyle name="Style 74 4 2 2 2 2" xfId="12232" xr:uid="{224B0E06-C8A9-4955-BEC2-B8EF5743D35A}"/>
    <cellStyle name="Style 74 4 2 2 2 2 2" xfId="12233" xr:uid="{55CC40D2-E5D4-46EA-A776-DB8F4FF4C64E}"/>
    <cellStyle name="Style 74 4 2 2 2 2 2 2" xfId="31115" xr:uid="{DA1FF3FE-1A3A-46FC-A829-9CBE2EBB0CFA}"/>
    <cellStyle name="Style 74 4 2 2 2 3" xfId="12234" xr:uid="{4F5F2E87-5B86-4C72-AC33-7F863CD278BA}"/>
    <cellStyle name="Style 74 4 2 2 2 3 2" xfId="31116" xr:uid="{C946BE10-270F-44D6-A802-7AF9F2733FC7}"/>
    <cellStyle name="Style 74 4 2 2 2 4" xfId="12235" xr:uid="{29581059-05E8-4AF8-8F05-21CA2CC49F32}"/>
    <cellStyle name="Style 74 4 2 2 2 4 2" xfId="31117" xr:uid="{08C5D5B6-43C5-45CF-9B70-78797BC853E5}"/>
    <cellStyle name="Style 74 4 2 2 2 5" xfId="12236" xr:uid="{24DFE2F7-E3DF-4E62-95B6-ACF327943BF0}"/>
    <cellStyle name="Style 74 4 2 2 2 5 2" xfId="31118" xr:uid="{DF481DB0-889F-4167-BDAA-0B74EFE0BD3D}"/>
    <cellStyle name="Style 74 4 2 2 2 6" xfId="12237" xr:uid="{C5A2BBA3-8E1A-4AA3-B243-BD984E81BE29}"/>
    <cellStyle name="Style 74 4 2 2 2 6 2" xfId="31119" xr:uid="{8298BE4B-68E9-4877-B55C-EADDEAB90EFC}"/>
    <cellStyle name="Style 74 4 2 2 2 7" xfId="12238" xr:uid="{1DA1574C-86C4-4A66-8AB7-F311AD68BCE2}"/>
    <cellStyle name="Style 74 4 2 2 2 7 2" xfId="31120" xr:uid="{0A945D2F-915B-4083-BA6B-0C6F53BAD1D9}"/>
    <cellStyle name="Style 74 4 2 2 2 8" xfId="12239" xr:uid="{539A09CC-7FDB-4A93-8E19-5864C4F0BF20}"/>
    <cellStyle name="Style 74 4 2 2 2 8 2" xfId="31121" xr:uid="{88C1FBCD-F33F-423F-BD49-00AE1323E9BC}"/>
    <cellStyle name="Style 74 4 2 2 2 9" xfId="12240" xr:uid="{FA9207D5-C8DB-43D9-89D8-D5DA90E0E23E}"/>
    <cellStyle name="Style 74 4 2 2 2 9 2" xfId="31122" xr:uid="{E05471DF-F40D-4ED9-9984-9C558BBDC1F5}"/>
    <cellStyle name="Style 74 4 2 2 3" xfId="6753" xr:uid="{1A32D7AE-C688-463E-9C77-F8807C5C5734}"/>
    <cellStyle name="Style 74 4 2 2 3 2" xfId="12241" xr:uid="{855CA6F0-0161-442F-8048-52DB576D3F09}"/>
    <cellStyle name="Style 74 4 2 2 3 2 2" xfId="31123" xr:uid="{04804CFF-1273-47DA-84B0-748AA61CA04C}"/>
    <cellStyle name="Style 74 4 2 2 4" xfId="12242" xr:uid="{4C95B060-D5F8-4BE7-BACB-20443F304C2B}"/>
    <cellStyle name="Style 74 4 2 2 4 2" xfId="12243" xr:uid="{2F511C89-C30B-4C3A-B84D-703299C11316}"/>
    <cellStyle name="Style 74 4 2 2 4 2 2" xfId="31124" xr:uid="{14287733-F3B1-467F-84C8-7EBE2ECA229C}"/>
    <cellStyle name="Style 74 4 2 2 5" xfId="12244" xr:uid="{CD02B281-EAB6-4983-8399-5BBB29D21000}"/>
    <cellStyle name="Style 74 4 2 2 5 2" xfId="31125" xr:uid="{6984423A-77F0-4348-9820-5E5F631DF6E5}"/>
    <cellStyle name="Style 74 4 2 2 6" xfId="12245" xr:uid="{B0357B7C-D881-471C-847C-A1DBE507A6E1}"/>
    <cellStyle name="Style 74 4 2 2 6 2" xfId="31126" xr:uid="{A5933E7D-DB69-455D-88E6-A0C2A9D4564F}"/>
    <cellStyle name="Style 74 4 2 2 7" xfId="12246" xr:uid="{1CBB3E66-52EA-4657-8E6B-7C37EDA65729}"/>
    <cellStyle name="Style 74 4 2 2 7 2" xfId="31127" xr:uid="{6F72F9C0-A2A8-4622-A0C9-0BA251B32D71}"/>
    <cellStyle name="Style 74 4 2 2 8" xfId="12247" xr:uid="{FB2FA1C8-1455-4D09-A241-F296D7B918AD}"/>
    <cellStyle name="Style 74 4 2 2 8 2" xfId="31128" xr:uid="{37BFDE5A-EC60-45CA-BB09-0CC7DDA1EB5F}"/>
    <cellStyle name="Style 74 4 2 2 9" xfId="12248" xr:uid="{934C583B-6251-49C4-B339-0C16CBA44D96}"/>
    <cellStyle name="Style 74 4 2 2 9 2" xfId="31129" xr:uid="{D96F4E79-6B19-47B8-988A-5AF0EE75B4F0}"/>
    <cellStyle name="Style 74 4 2 3" xfId="3334" xr:uid="{0E7A5DB4-E022-4CB3-AFA3-8AD0A2EF694F}"/>
    <cellStyle name="Style 74 4 2 3 10" xfId="12249" xr:uid="{5D739469-3C36-4BA9-867B-3079E1EEE811}"/>
    <cellStyle name="Style 74 4 2 3 10 2" xfId="31130" xr:uid="{2743DF9A-85EF-4CD1-A33E-EEB85E43CB3A}"/>
    <cellStyle name="Style 74 4 2 3 2" xfId="12250" xr:uid="{A8E2315B-6591-4ACC-AC6A-328539804D4E}"/>
    <cellStyle name="Style 74 4 2 3 2 2" xfId="12251" xr:uid="{A7B0AA56-13F8-40C1-A4C3-E9F2D2E4BFB5}"/>
    <cellStyle name="Style 74 4 2 3 2 2 2" xfId="31131" xr:uid="{9779CA1A-A920-48EE-A685-897C79598B85}"/>
    <cellStyle name="Style 74 4 2 3 3" xfId="12252" xr:uid="{CF284D45-584F-4438-84A2-BF39EEB7133B}"/>
    <cellStyle name="Style 74 4 2 3 3 2" xfId="31132" xr:uid="{297E17C1-AEE0-45C5-A950-3AAB2F088DC1}"/>
    <cellStyle name="Style 74 4 2 3 4" xfId="12253" xr:uid="{5865AD5A-A00B-4A62-89B7-149CF6BBF32A}"/>
    <cellStyle name="Style 74 4 2 3 4 2" xfId="31133" xr:uid="{00DE1E1D-6277-420A-AD09-7596E96014AF}"/>
    <cellStyle name="Style 74 4 2 3 5" xfId="12254" xr:uid="{10475A24-31BA-4B2A-A2A9-E79F1E6D55E3}"/>
    <cellStyle name="Style 74 4 2 3 5 2" xfId="31134" xr:uid="{3A0E929A-0E8C-4CC3-B3FB-B735F17AA196}"/>
    <cellStyle name="Style 74 4 2 3 6" xfId="12255" xr:uid="{01018D1E-8CD0-4764-9B1B-B3E6AEE3C5BF}"/>
    <cellStyle name="Style 74 4 2 3 6 2" xfId="31135" xr:uid="{706399F6-093A-4AFA-929D-56EE4CA9B1FD}"/>
    <cellStyle name="Style 74 4 2 3 7" xfId="12256" xr:uid="{6F2EAB40-797E-4289-86B4-DFA5D07A9385}"/>
    <cellStyle name="Style 74 4 2 3 7 2" xfId="31136" xr:uid="{5097A1B8-EB0A-4B7F-9985-32B7D9315C76}"/>
    <cellStyle name="Style 74 4 2 3 8" xfId="12257" xr:uid="{53B502D1-C65A-4CB4-8207-007E13AC3137}"/>
    <cellStyle name="Style 74 4 2 3 8 2" xfId="31137" xr:uid="{75EC0725-CD8A-47D9-9645-4B9B4499D9E2}"/>
    <cellStyle name="Style 74 4 2 3 9" xfId="12258" xr:uid="{3A58A24B-7644-4101-A5C5-1941A24B2452}"/>
    <cellStyle name="Style 74 4 2 3 9 2" xfId="31138" xr:uid="{FB706DB6-1E31-498C-8F93-E0335317E753}"/>
    <cellStyle name="Style 74 4 2 4" xfId="12259" xr:uid="{C898BD0A-2AE0-49C4-B4A0-1E42BABA1E54}"/>
    <cellStyle name="Style 74 4 2 4 2" xfId="12260" xr:uid="{199DB3C0-1841-4EEC-8F22-7595284FB5F7}"/>
    <cellStyle name="Style 74 4 2 4 2 2" xfId="31139" xr:uid="{FD30E2A7-C0AF-4E17-A219-94E14658DB27}"/>
    <cellStyle name="Style 74 4 2 5" xfId="12261" xr:uid="{EC2B9991-AD01-4266-868B-A1BD5F51BB2D}"/>
    <cellStyle name="Style 74 4 2 5 2" xfId="31140" xr:uid="{8A761C87-807F-4FBB-B6C2-61C91C8747D8}"/>
    <cellStyle name="Style 74 4 2 6" xfId="12262" xr:uid="{F2310BDE-5DA7-4282-8D8B-3FAF191492A4}"/>
    <cellStyle name="Style 74 4 2 6 2" xfId="31141" xr:uid="{540E4EC1-8A0A-4973-96E6-58DD26C370AC}"/>
    <cellStyle name="Style 74 4 2 7" xfId="12263" xr:uid="{DFA0083F-EF0F-421D-A922-D2D8BB30E5D5}"/>
    <cellStyle name="Style 74 4 2 7 2" xfId="31142" xr:uid="{8912C3EE-5661-47D2-8F96-D9878E5089BF}"/>
    <cellStyle name="Style 74 4 2 8" xfId="12264" xr:uid="{4B55608E-6F55-49C9-A340-2DCB4CA33743}"/>
    <cellStyle name="Style 74 4 2 8 2" xfId="31143" xr:uid="{34AA7CF7-40E3-4592-8683-462EBB6BFA48}"/>
    <cellStyle name="Style 74 4 2 9" xfId="12265" xr:uid="{8049CD70-E690-4466-A029-438E9E19C439}"/>
    <cellStyle name="Style 74 4 2 9 2" xfId="31144" xr:uid="{A94E3C61-407B-45B0-A27E-A742D350A8A5}"/>
    <cellStyle name="Style 74 4 3" xfId="3335" xr:uid="{7452A87B-8C31-4A06-8CDD-5CDBE03CA547}"/>
    <cellStyle name="Style 74 4 3 10" xfId="12266" xr:uid="{6EEB2BFB-3867-4423-A3EC-A63A0CE3D5D1}"/>
    <cellStyle name="Style 74 4 3 10 2" xfId="31145" xr:uid="{CC005732-9BD9-4057-9FBA-110FEFF18819}"/>
    <cellStyle name="Style 74 4 3 11" xfId="12267" xr:uid="{F4FADA0A-F654-4C1E-BA33-1B61595F7AEF}"/>
    <cellStyle name="Style 74 4 3 11 2" xfId="31146" xr:uid="{CD3E49FA-62FC-4743-9247-33CF4C8E99BF}"/>
    <cellStyle name="Style 74 4 3 2" xfId="6754" xr:uid="{CCA0384C-A5AD-44F5-8602-E1DEE44C2DF7}"/>
    <cellStyle name="Style 74 4 3 2 2" xfId="12268" xr:uid="{C6AE97A1-A009-44FA-AB69-BEFE8AD057A1}"/>
    <cellStyle name="Style 74 4 3 2 2 2" xfId="31147" xr:uid="{192A4327-8DE3-46CD-B26B-27FF88A2C515}"/>
    <cellStyle name="Style 74 4 3 3" xfId="12269" xr:uid="{8C8CA42F-9D84-45CA-98E9-5E3C2F61C178}"/>
    <cellStyle name="Style 74 4 3 3 2" xfId="12270" xr:uid="{61A4C19F-9283-4E74-A596-94FA49A8650C}"/>
    <cellStyle name="Style 74 4 3 3 2 2" xfId="31148" xr:uid="{F4919CC9-2BEC-46A4-904F-E9728CD699C6}"/>
    <cellStyle name="Style 74 4 3 4" xfId="12271" xr:uid="{2181C661-802D-4315-A372-0B9A0CE8465E}"/>
    <cellStyle name="Style 74 4 3 4 2" xfId="31149" xr:uid="{EA2F7400-830C-49A3-B90D-CB49333A73E9}"/>
    <cellStyle name="Style 74 4 3 5" xfId="12272" xr:uid="{23378FD6-2961-469F-BB16-019EC79AB476}"/>
    <cellStyle name="Style 74 4 3 5 2" xfId="31150" xr:uid="{937B5755-EA15-4856-AF20-611E4C7AB135}"/>
    <cellStyle name="Style 74 4 3 6" xfId="12273" xr:uid="{37D339B2-112C-462E-894C-4D65791FB96A}"/>
    <cellStyle name="Style 74 4 3 6 2" xfId="31151" xr:uid="{0F1599F7-8477-441A-BE5A-63ECED52E9BC}"/>
    <cellStyle name="Style 74 4 3 7" xfId="12274" xr:uid="{B985A02B-0D9F-4DE4-8556-E27D76970A2D}"/>
    <cellStyle name="Style 74 4 3 7 2" xfId="31152" xr:uid="{FB5A934E-D3BD-4CD2-BB6D-EB8FCFE4F714}"/>
    <cellStyle name="Style 74 4 3 8" xfId="12275" xr:uid="{682AFD6C-30D6-4431-930B-CA66A7C5BCF4}"/>
    <cellStyle name="Style 74 4 3 8 2" xfId="31153" xr:uid="{5B9903D9-F1F3-45B3-AB67-C298A8C70072}"/>
    <cellStyle name="Style 74 4 3 9" xfId="12276" xr:uid="{AFF2D8D7-12E7-4DDD-B869-B77678129FC4}"/>
    <cellStyle name="Style 74 4 3 9 2" xfId="31154" xr:uid="{B1C75783-4752-4563-A28C-4BF060B1D3E0}"/>
    <cellStyle name="Style 74 4 4" xfId="6755" xr:uid="{49645096-C66B-489C-8069-42D9366E40E7}"/>
    <cellStyle name="Style 74 4 4 2" xfId="12277" xr:uid="{D5356CD5-8897-4B56-A997-D9A8298A11A4}"/>
    <cellStyle name="Style 74 4 4 2 2" xfId="31155" xr:uid="{E195A485-ECCE-459B-A52B-579A0A5C1F8F}"/>
    <cellStyle name="Style 74 4 5" xfId="12278" xr:uid="{5F12C8F7-FEDD-4F5F-A1F5-84A32B6D2492}"/>
    <cellStyle name="Style 74 4 5 2" xfId="12279" xr:uid="{7380B003-681E-408D-AD73-5A9CCEB5DC04}"/>
    <cellStyle name="Style 74 4 5 2 2" xfId="31156" xr:uid="{C8693359-9C15-4EED-8B62-290055A48D1A}"/>
    <cellStyle name="Style 74 4 6" xfId="12280" xr:uid="{01324FBE-47FB-4885-9F3D-6E1213DC8C72}"/>
    <cellStyle name="Style 74 4 6 2" xfId="31157" xr:uid="{6A96CC40-98FA-462C-91A0-4451281062D0}"/>
    <cellStyle name="Style 74 4 7" xfId="12281" xr:uid="{C3F6457C-54FD-465C-A00B-4CEAC989172B}"/>
    <cellStyle name="Style 74 4 7 2" xfId="31158" xr:uid="{FAE7EB50-2DBA-4DCB-98C9-B302F2E6302C}"/>
    <cellStyle name="Style 74 4 8" xfId="12282" xr:uid="{AAABEB06-976D-4AEA-91F4-A2A5039A329F}"/>
    <cellStyle name="Style 74 4 8 2" xfId="31159" xr:uid="{E9AFA7B8-F1A0-405E-9E1C-5EF58A5D132E}"/>
    <cellStyle name="Style 74 4 9" xfId="12283" xr:uid="{FAC092EE-A7E5-4D8A-ACD3-BE22B564D36F}"/>
    <cellStyle name="Style 74 4 9 2" xfId="31160" xr:uid="{BF1E29A7-5931-46DB-A407-5AE0090BC5B3}"/>
    <cellStyle name="Style 74 5" xfId="3336" xr:uid="{3328633F-B171-4BE5-8907-CB44C4ECD95C}"/>
    <cellStyle name="Style 74 5 10" xfId="12284" xr:uid="{14AE39AB-8752-4A66-9021-DB9C1C10AB60}"/>
    <cellStyle name="Style 74 5 10 2" xfId="31161" xr:uid="{E9CFA9A2-5FA8-4331-9D62-AF869BC0A8D3}"/>
    <cellStyle name="Style 74 5 11" xfId="12285" xr:uid="{0FDF900D-7303-4287-BF48-C6A5B2F84D50}"/>
    <cellStyle name="Style 74 5 11 2" xfId="31162" xr:uid="{83F84C1D-8C3D-4F02-9A4B-1E4FEFC4D09F}"/>
    <cellStyle name="Style 74 5 12" xfId="12286" xr:uid="{FA5FE42F-982D-4308-B6CC-62B0F0391413}"/>
    <cellStyle name="Style 74 5 12 2" xfId="31163" xr:uid="{8CCC487B-1F6A-4DB7-8A17-57A88AA952BA}"/>
    <cellStyle name="Style 74 5 2" xfId="3337" xr:uid="{CCD30F1A-85D5-41AD-9B5F-9144404B8E65}"/>
    <cellStyle name="Style 74 5 2 10" xfId="12287" xr:uid="{FB2C2005-EA5F-47B3-B0A2-FA2933091B0E}"/>
    <cellStyle name="Style 74 5 2 10 2" xfId="31164" xr:uid="{EB9F6882-938E-4F6B-8E3A-37E74B9C452C}"/>
    <cellStyle name="Style 74 5 2 2" xfId="12288" xr:uid="{AE5822B1-9B3A-45FC-86D2-F6928E6E3B29}"/>
    <cellStyle name="Style 74 5 2 2 2" xfId="12289" xr:uid="{ED290816-6402-488F-8F0B-17964595EF48}"/>
    <cellStyle name="Style 74 5 2 2 2 2" xfId="31165" xr:uid="{0F517F72-3848-4A91-A599-0EA4AB8978A9}"/>
    <cellStyle name="Style 74 5 2 3" xfId="12290" xr:uid="{F178B62C-FDBE-484C-A5A4-6591C0111C98}"/>
    <cellStyle name="Style 74 5 2 3 2" xfId="31166" xr:uid="{E1F07A4F-B03D-43B5-8075-EBE77C96FFCC}"/>
    <cellStyle name="Style 74 5 2 4" xfId="12291" xr:uid="{543E648F-03EE-45C4-AD75-15AEA51A17EA}"/>
    <cellStyle name="Style 74 5 2 4 2" xfId="31167" xr:uid="{978DE7C0-F467-4618-8991-0E2F6520C922}"/>
    <cellStyle name="Style 74 5 2 5" xfId="12292" xr:uid="{277D2B6B-AB43-4E35-A141-42C635AD71BF}"/>
    <cellStyle name="Style 74 5 2 5 2" xfId="31168" xr:uid="{CAE62979-06CD-4FB2-ACA2-3D1D90CB7D12}"/>
    <cellStyle name="Style 74 5 2 6" xfId="12293" xr:uid="{2218EBE5-F2A1-4CD0-9B43-1CEC45E374EF}"/>
    <cellStyle name="Style 74 5 2 6 2" xfId="31169" xr:uid="{0211BB75-3227-4DAB-A9FE-893B1611CB10}"/>
    <cellStyle name="Style 74 5 2 7" xfId="12294" xr:uid="{E90F27F9-CC6B-4063-A412-2C29E6528D65}"/>
    <cellStyle name="Style 74 5 2 7 2" xfId="31170" xr:uid="{B45386E9-EF09-49DD-89BA-E55662FAD642}"/>
    <cellStyle name="Style 74 5 2 8" xfId="12295" xr:uid="{682A79CA-B4FF-4025-9025-032BBBF2B208}"/>
    <cellStyle name="Style 74 5 2 8 2" xfId="31171" xr:uid="{AF81C075-D653-491F-9717-9A84DD2123B1}"/>
    <cellStyle name="Style 74 5 2 9" xfId="12296" xr:uid="{C791B6CB-FBCE-40E1-996F-D620E15341E4}"/>
    <cellStyle name="Style 74 5 2 9 2" xfId="31172" xr:uid="{FF0A5542-7550-40E4-9AC1-17FF1A51D849}"/>
    <cellStyle name="Style 74 5 3" xfId="6756" xr:uid="{73B6C822-C6E7-4323-A708-C15696216035}"/>
    <cellStyle name="Style 74 5 3 2" xfId="12297" xr:uid="{49B12951-4204-4BDD-8932-59F283B21C94}"/>
    <cellStyle name="Style 74 5 3 2 2" xfId="31173" xr:uid="{89458E57-D08D-4300-A054-DD803B787932}"/>
    <cellStyle name="Style 74 5 4" xfId="12298" xr:uid="{E98CBFE3-FE21-427F-BB3C-DD291454506D}"/>
    <cellStyle name="Style 74 5 4 2" xfId="12299" xr:uid="{7E5D8568-B0C9-485D-9DE9-9C029E3199B0}"/>
    <cellStyle name="Style 74 5 4 2 2" xfId="31174" xr:uid="{8BDB601F-A812-4340-B900-11C5318CD0D7}"/>
    <cellStyle name="Style 74 5 5" xfId="12300" xr:uid="{D9FB3AC9-0CE1-4E39-B126-6DD747837DB4}"/>
    <cellStyle name="Style 74 5 5 2" xfId="31175" xr:uid="{0B69A9B9-55D6-4167-8F42-28D16949D4A3}"/>
    <cellStyle name="Style 74 5 6" xfId="12301" xr:uid="{F1775EBC-0B8E-4771-8724-9C031AC5D951}"/>
    <cellStyle name="Style 74 5 6 2" xfId="31176" xr:uid="{0F2E3D9F-05C6-4453-A668-281C44479A39}"/>
    <cellStyle name="Style 74 5 7" xfId="12302" xr:uid="{E1C87F4B-9ED8-437A-B1BC-FF1891A83F83}"/>
    <cellStyle name="Style 74 5 7 2" xfId="31177" xr:uid="{080B016A-FB55-42EE-8A54-50F458388C3D}"/>
    <cellStyle name="Style 74 5 8" xfId="12303" xr:uid="{D042B1FB-D4B7-43DA-BCA7-EE506FA1B8EC}"/>
    <cellStyle name="Style 74 5 8 2" xfId="31178" xr:uid="{66DE4992-F187-4A5D-9DFB-9853ED661F4A}"/>
    <cellStyle name="Style 74 5 9" xfId="12304" xr:uid="{15DCCEB9-90A4-4F39-A552-BF03F272B4CA}"/>
    <cellStyle name="Style 74 5 9 2" xfId="31179" xr:uid="{0A672E4F-0B61-405C-B1F0-A7D3AC282CAB}"/>
    <cellStyle name="Style 74 6" xfId="3338" xr:uid="{485A354C-A4F9-468D-BFF7-347BA617B7FE}"/>
    <cellStyle name="Style 74 6 10" xfId="12305" xr:uid="{6E1D0804-4E7B-44E8-94D9-0BC38410605D}"/>
    <cellStyle name="Style 74 6 10 2" xfId="31180" xr:uid="{EC134594-3DFC-4945-B3B0-767B5970201A}"/>
    <cellStyle name="Style 74 6 11" xfId="12306" xr:uid="{8AB66D64-540B-4788-B525-C204A9C9FBD9}"/>
    <cellStyle name="Style 74 6 11 2" xfId="31181" xr:uid="{DAC5510C-F79A-44E0-82F5-F8F800917D59}"/>
    <cellStyle name="Style 74 6 2" xfId="4201" xr:uid="{724364B9-129B-4AF6-949E-BCC471662FA6}"/>
    <cellStyle name="Style 74 6 2 2" xfId="6758" xr:uid="{3E2D4999-E289-4BE5-A66F-AE903A28BC20}"/>
    <cellStyle name="Style 74 6 2 2 2" xfId="28334" xr:uid="{3DA1A3F3-97B2-4656-A5FB-C565891334A9}"/>
    <cellStyle name="Style 74 6 2 3" xfId="12307" xr:uid="{CBD17C21-7D3B-4A8A-A522-B6CDF922249B}"/>
    <cellStyle name="Style 74 6 2 3 2" xfId="31182" xr:uid="{93F61FEA-E3D4-4418-B583-15C6CE51A3C5}"/>
    <cellStyle name="Style 74 6 3" xfId="6757" xr:uid="{1E98A74D-25D7-4202-8096-C911E894D29D}"/>
    <cellStyle name="Style 74 6 3 2" xfId="12308" xr:uid="{ACDBAC73-76D1-4C6C-AE55-9EB28B0DD6CA}"/>
    <cellStyle name="Style 74 6 3 2 2" xfId="31183" xr:uid="{F97E929A-2F25-4555-A9C1-1DDCDECAB17E}"/>
    <cellStyle name="Style 74 6 4" xfId="12309" xr:uid="{942421C6-055C-404C-9D8D-64041CC43F16}"/>
    <cellStyle name="Style 74 6 4 2" xfId="12310" xr:uid="{7D8D7B6E-0003-4C24-8BBD-08FBF6429354}"/>
    <cellStyle name="Style 74 6 4 2 2" xfId="31184" xr:uid="{2F7B12AF-C6E5-4BA4-AC2E-69F1D9DED7DC}"/>
    <cellStyle name="Style 74 6 5" xfId="12311" xr:uid="{98DEFF43-0B73-457C-9F47-1BCA8952151E}"/>
    <cellStyle name="Style 74 6 5 2" xfId="31185" xr:uid="{DD642C60-F938-41E0-AA76-BAF397AD8419}"/>
    <cellStyle name="Style 74 6 6" xfId="12312" xr:uid="{C5972DDC-5EA6-4282-943E-905C9D1BC98F}"/>
    <cellStyle name="Style 74 6 6 2" xfId="31186" xr:uid="{ADA29130-03A3-4743-9E1C-9F86627785D9}"/>
    <cellStyle name="Style 74 6 7" xfId="12313" xr:uid="{30C6E967-7B98-4ED2-BD29-15ECF0930C92}"/>
    <cellStyle name="Style 74 6 7 2" xfId="31187" xr:uid="{1AAE1141-BB87-44C8-9472-41547525D94A}"/>
    <cellStyle name="Style 74 6 8" xfId="12314" xr:uid="{6173B207-7259-481C-8EEF-ADCBD9D7D4C5}"/>
    <cellStyle name="Style 74 6 8 2" xfId="31188" xr:uid="{D2E9048E-53E8-4E45-8EB2-6DF736897CF8}"/>
    <cellStyle name="Style 74 6 9" xfId="12315" xr:uid="{F231C372-BF07-4664-89CD-DA36024F3220}"/>
    <cellStyle name="Style 74 6 9 2" xfId="31189" xr:uid="{6FAC0163-83E7-439E-B5F2-95361E3152CA}"/>
    <cellStyle name="Style 74 7" xfId="4200" xr:uid="{9B0DB62C-D953-42D2-A943-AB8A359C95D5}"/>
    <cellStyle name="Style 74 7 2" xfId="6760" xr:uid="{B34FCD42-0266-4D87-BA5B-7E5619303E63}"/>
    <cellStyle name="Style 74 7 3" xfId="6761" xr:uid="{A8454879-2D37-4EFC-BEB3-3AA128BADB8E}"/>
    <cellStyle name="Style 74 7 4" xfId="6759" xr:uid="{EABE0582-C0FE-45A1-BFE6-484836F6F8AD}"/>
    <cellStyle name="Style 74 7 4 2" xfId="28333" xr:uid="{723298AB-B5DE-4CC4-B5A0-F142744771E8}"/>
    <cellStyle name="Style 74 7 5" xfId="12316" xr:uid="{5F586F5C-FE2E-45E0-BD61-6A9687A04D19}"/>
    <cellStyle name="Style 74 7 5 2" xfId="31190" xr:uid="{3FA65D15-3270-4971-9694-63BF1235DD05}"/>
    <cellStyle name="Style 74 7 6" xfId="23973" xr:uid="{4E6C0EC2-55A7-497D-B163-5CB694EF01AA}"/>
    <cellStyle name="Style 74 8" xfId="6762" xr:uid="{7100E8AA-C989-4745-89F2-F4DDF75509AB}"/>
    <cellStyle name="Style 74 8 2" xfId="12317" xr:uid="{3672F3F6-BDE6-4BD8-A6FA-0C25D7594EDF}"/>
    <cellStyle name="Style 74 8 2 2" xfId="31191" xr:uid="{C6A0F619-61DD-45BF-BCEF-F2E1D943EDF1}"/>
    <cellStyle name="Style 74 9" xfId="12318" xr:uid="{A7EABCE0-B6B1-4E89-A6FD-A53C5073A75F}"/>
    <cellStyle name="Style 74 9 2" xfId="12319" xr:uid="{9A3CF782-EB24-481F-99A7-BD8EC6F3CA16}"/>
    <cellStyle name="Style 74 9 2 2" xfId="31192" xr:uid="{C5A445E9-4FBF-4C56-B761-31F0833B9CEF}"/>
    <cellStyle name="Style 74 9 3" xfId="26693" xr:uid="{8DFE05A7-25FC-45EC-B8C9-8EFB2C620C59}"/>
    <cellStyle name="Style 74_ADDON" xfId="25807" xr:uid="{0DA8A524-3809-4486-9515-E7C1D9DA98B5}"/>
    <cellStyle name="Style 75" xfId="3339" xr:uid="{2A774672-B554-4F05-89BA-B8D822BF6B50}"/>
    <cellStyle name="Style 75 10" xfId="6763" xr:uid="{D59E66C5-4D97-4A26-81EF-FDAABBFC3C37}"/>
    <cellStyle name="Style 75 10 2" xfId="12320" xr:uid="{04797776-42CD-49D0-8345-8A800B2626BE}"/>
    <cellStyle name="Style 75 10 2 2" xfId="31193" xr:uid="{9C9EB8F0-9B2C-4BF5-9BAB-96058755E894}"/>
    <cellStyle name="Style 75 11" xfId="12321" xr:uid="{6615B2E1-E1A8-48DD-99D1-455E310E9CFE}"/>
    <cellStyle name="Style 75 11 2" xfId="12322" xr:uid="{607091CB-7873-4D6A-B8F0-EE7E6D9F67C7}"/>
    <cellStyle name="Style 75 11 2 2" xfId="31194" xr:uid="{B8EDD2CC-3AD0-4E66-96A0-07DD84025EE8}"/>
    <cellStyle name="Style 75 11 3" xfId="26694" xr:uid="{7DFB5FC1-8732-4D55-9E24-60CC04FBC006}"/>
    <cellStyle name="Style 75 12" xfId="12323" xr:uid="{075634B8-7900-4EE5-BF5F-20F51879F936}"/>
    <cellStyle name="Style 75 12 2" xfId="31195" xr:uid="{B9D667B5-4AEE-48A5-BB4C-F43F08B88ECD}"/>
    <cellStyle name="Style 75 13" xfId="12324" xr:uid="{66BBF1B1-7A16-480F-8682-F095376D6F16}"/>
    <cellStyle name="Style 75 13 2" xfId="31196" xr:uid="{45B31A6F-8237-41F5-BD79-9F4780B8FBF5}"/>
    <cellStyle name="Style 75 14" xfId="12325" xr:uid="{E659AF89-94AF-4E87-B5A4-B7977190AA0B}"/>
    <cellStyle name="Style 75 14 2" xfId="31197" xr:uid="{3E6B5723-895F-4C47-9283-29854D4C34FB}"/>
    <cellStyle name="Style 75 15" xfId="12326" xr:uid="{22F0217A-09AA-49E6-A82C-B8E6FB991B70}"/>
    <cellStyle name="Style 75 15 2" xfId="31198" xr:uid="{9DFA1A22-4CC2-4D9E-947D-68D520C1E916}"/>
    <cellStyle name="Style 75 16" xfId="12327" xr:uid="{809F306E-704F-4671-A0A1-00A79C4C22ED}"/>
    <cellStyle name="Style 75 16 2" xfId="31199" xr:uid="{B5730649-B232-4E64-814D-4394BCA21656}"/>
    <cellStyle name="Style 75 17" xfId="12328" xr:uid="{0FBDEDA6-A53D-4456-9845-60371396B9FB}"/>
    <cellStyle name="Style 75 17 2" xfId="31200" xr:uid="{3CF9255D-043F-44F5-846E-EA3D7F8F2780}"/>
    <cellStyle name="Style 75 2" xfId="3340" xr:uid="{6FA25D73-B01E-4014-B046-A69134D12E72}"/>
    <cellStyle name="Style 75 2 10" xfId="12329" xr:uid="{99576915-DE74-4CB0-81A4-01D7EAC8F9C6}"/>
    <cellStyle name="Style 75 2 10 2" xfId="31201" xr:uid="{98B43763-002C-4EA1-B3E0-C00B0A0BAEF0}"/>
    <cellStyle name="Style 75 2 11" xfId="12330" xr:uid="{D3F581EF-C47B-4764-9A11-3B62BE6B9B96}"/>
    <cellStyle name="Style 75 2 11 2" xfId="31202" xr:uid="{D7B543A8-E9E1-4EAC-847A-FCA3B99D78BE}"/>
    <cellStyle name="Style 75 2 12" xfId="12331" xr:uid="{6EDD57E5-42B4-41FC-9B12-331B1DC3935F}"/>
    <cellStyle name="Style 75 2 12 2" xfId="31203" xr:uid="{6AD87CAA-A37F-4DE1-9497-6B620007EF2A}"/>
    <cellStyle name="Style 75 2 13" xfId="12332" xr:uid="{9E929C7A-159E-4856-9025-F51D44862761}"/>
    <cellStyle name="Style 75 2 13 2" xfId="31204" xr:uid="{31555D64-85FB-441D-A6A9-AA29FE58C137}"/>
    <cellStyle name="Style 75 2 14" xfId="12333" xr:uid="{E07B99C1-0475-4098-8AA7-3C1D373C1EA1}"/>
    <cellStyle name="Style 75 2 14 2" xfId="31205" xr:uid="{6404CA70-CBF1-4DA0-A32A-E6A26740A80A}"/>
    <cellStyle name="Style 75 2 15" xfId="12334" xr:uid="{547CF6F8-8E78-444A-AF7A-E1DAD8E4A774}"/>
    <cellStyle name="Style 75 2 15 2" xfId="31206" xr:uid="{EFCCA1F1-3CA1-4367-92D1-90378DCDEC14}"/>
    <cellStyle name="Style 75 2 2" xfId="3341" xr:uid="{A3DD5C2F-1610-45AD-B1FF-C5E99268C374}"/>
    <cellStyle name="Style 75 2 2 10" xfId="12335" xr:uid="{D1C64555-0841-48F8-B1BD-B8EF6F059924}"/>
    <cellStyle name="Style 75 2 2 10 2" xfId="31207" xr:uid="{C8D16837-DAEB-4DA5-8F74-6F822E485CAC}"/>
    <cellStyle name="Style 75 2 2 11" xfId="12336" xr:uid="{3DFA1410-A6AA-40C4-A3F4-47B4220077F1}"/>
    <cellStyle name="Style 75 2 2 11 2" xfId="31208" xr:uid="{1959C513-A4BB-485E-BCF3-F62B6D462E46}"/>
    <cellStyle name="Style 75 2 2 12" xfId="12337" xr:uid="{82830BD2-8222-47EA-AF76-B372FE620CF6}"/>
    <cellStyle name="Style 75 2 2 12 2" xfId="31209" xr:uid="{E9D08B27-2E5B-4B51-9488-7E89F6BF9E1D}"/>
    <cellStyle name="Style 75 2 2 13" xfId="12338" xr:uid="{B3618C90-F92A-45B7-B333-1FDA670EA018}"/>
    <cellStyle name="Style 75 2 2 13 2" xfId="31210" xr:uid="{393B8994-B8EE-4F93-A5C6-3EFB6AF44EC8}"/>
    <cellStyle name="Style 75 2 2 14" xfId="12339" xr:uid="{BCB8D697-A6E8-445B-849F-2F9E163656F2}"/>
    <cellStyle name="Style 75 2 2 14 2" xfId="31211" xr:uid="{AB42BA3B-7AD3-49D4-9833-02F2A5B41DF7}"/>
    <cellStyle name="Style 75 2 2 2" xfId="3342" xr:uid="{65A649A8-4F5C-4CD0-B851-83554FB3317D}"/>
    <cellStyle name="Style 75 2 2 2 10" xfId="12340" xr:uid="{91CA6E90-AA89-4C5A-95D9-C88B345D4AD4}"/>
    <cellStyle name="Style 75 2 2 2 10 2" xfId="31212" xr:uid="{AA69BF58-1C28-4EDB-BEA6-5D32FBCF3646}"/>
    <cellStyle name="Style 75 2 2 2 11" xfId="12341" xr:uid="{DB3CAAC9-A195-4AA2-BAAD-F173C217327A}"/>
    <cellStyle name="Style 75 2 2 2 11 2" xfId="31213" xr:uid="{FF912366-093E-4ABA-A276-877E3246A527}"/>
    <cellStyle name="Style 75 2 2 2 12" xfId="12342" xr:uid="{3272169F-8757-47D0-9A51-CE0B80DAD405}"/>
    <cellStyle name="Style 75 2 2 2 12 2" xfId="31214" xr:uid="{1CAF6D87-2040-46EA-8202-BA2F360484C2}"/>
    <cellStyle name="Style 75 2 2 2 13" xfId="12343" xr:uid="{9E10C36F-652F-4B64-9616-0F78F25A2547}"/>
    <cellStyle name="Style 75 2 2 2 13 2" xfId="31215" xr:uid="{5D34D530-DBB6-43F9-8247-457CEA4517D2}"/>
    <cellStyle name="Style 75 2 2 2 2" xfId="3343" xr:uid="{C552E9D7-8DDD-4E6A-828A-97CEF025F2E8}"/>
    <cellStyle name="Style 75 2 2 2 2 10" xfId="12344" xr:uid="{BF3B340A-A106-4597-9C8C-D7D783FCEE7D}"/>
    <cellStyle name="Style 75 2 2 2 2 10 2" xfId="31216" xr:uid="{EF9787EC-A87C-419E-AFDA-6D8BB0ABF1B6}"/>
    <cellStyle name="Style 75 2 2 2 2 11" xfId="12345" xr:uid="{AD609BFD-DF40-47B6-88C3-E0A454017805}"/>
    <cellStyle name="Style 75 2 2 2 2 11 2" xfId="31217" xr:uid="{C74EF9DC-D6B4-43AD-82D7-0862E52DBF25}"/>
    <cellStyle name="Style 75 2 2 2 2 12" xfId="12346" xr:uid="{6187B7C4-4E82-4B04-A4F8-15F732BF4767}"/>
    <cellStyle name="Style 75 2 2 2 2 12 2" xfId="31218" xr:uid="{78517698-1C85-44AE-8779-6806438E56C8}"/>
    <cellStyle name="Style 75 2 2 2 2 2" xfId="3344" xr:uid="{3FB5E5A9-671D-40EA-B1F6-90A263F2FF1D}"/>
    <cellStyle name="Style 75 2 2 2 2 2 10" xfId="12347" xr:uid="{2FDDF41E-0728-4644-A82D-751E7F5DBEF9}"/>
    <cellStyle name="Style 75 2 2 2 2 2 10 2" xfId="31219" xr:uid="{FA31A70D-4681-4967-B15F-33DB772E7A32}"/>
    <cellStyle name="Style 75 2 2 2 2 2 2" xfId="6768" xr:uid="{620F00E8-6C9B-44AF-824E-556D9048C627}"/>
    <cellStyle name="Style 75 2 2 2 2 2 2 2" xfId="12348" xr:uid="{F1067C0A-D38E-469E-AF4A-A056D87F4FFC}"/>
    <cellStyle name="Style 75 2 2 2 2 2 2 2 2" xfId="31220" xr:uid="{C33C945A-8B31-49C1-BC2A-836B6CBA76C4}"/>
    <cellStyle name="Style 75 2 2 2 2 2 3" xfId="12349" xr:uid="{7ECA3FA7-0739-4099-A9DB-F31FD0BA7A20}"/>
    <cellStyle name="Style 75 2 2 2 2 2 3 2" xfId="12350" xr:uid="{F14D5161-AA5B-4516-9970-007E38C26A49}"/>
    <cellStyle name="Style 75 2 2 2 2 2 3 2 2" xfId="31221" xr:uid="{AB21826C-6872-45BF-83A2-1DA92EDFD5CD}"/>
    <cellStyle name="Style 75 2 2 2 2 2 4" xfId="12351" xr:uid="{3E18E9CA-DA05-49F5-83D4-B405B7CB2E6D}"/>
    <cellStyle name="Style 75 2 2 2 2 2 4 2" xfId="31222" xr:uid="{253A27F8-1970-4601-986B-39ABF9E8AC10}"/>
    <cellStyle name="Style 75 2 2 2 2 2 5" xfId="12352" xr:uid="{377D238E-1C6B-44CB-9CC0-B429F3E928F6}"/>
    <cellStyle name="Style 75 2 2 2 2 2 5 2" xfId="31223" xr:uid="{3812FFB7-44D7-4194-B8B2-7A614115E600}"/>
    <cellStyle name="Style 75 2 2 2 2 2 6" xfId="12353" xr:uid="{6B28A318-69C7-46C1-9835-BBDA40CE5E69}"/>
    <cellStyle name="Style 75 2 2 2 2 2 6 2" xfId="31224" xr:uid="{AC9DE474-BD44-4B01-AD0C-51C1188DE247}"/>
    <cellStyle name="Style 75 2 2 2 2 2 7" xfId="12354" xr:uid="{EFB47890-3AA1-4EB2-9C5F-F4FB6716D039}"/>
    <cellStyle name="Style 75 2 2 2 2 2 7 2" xfId="31225" xr:uid="{F235B363-C6A2-4638-A871-0C6552517B7C}"/>
    <cellStyle name="Style 75 2 2 2 2 2 8" xfId="12355" xr:uid="{9E5F0FF0-00AC-4C94-969C-816CD37F4F4D}"/>
    <cellStyle name="Style 75 2 2 2 2 2 8 2" xfId="31226" xr:uid="{FC33BA48-F5DF-4873-A1E0-E870FF165FB1}"/>
    <cellStyle name="Style 75 2 2 2 2 2 9" xfId="12356" xr:uid="{49AE19E8-A51A-459F-9C47-5B68A74A8C1D}"/>
    <cellStyle name="Style 75 2 2 2 2 2 9 2" xfId="31227" xr:uid="{7052A78E-F387-4069-8FC1-66122FF3D8BC}"/>
    <cellStyle name="Style 75 2 2 2 2 3" xfId="6767" xr:uid="{A45E3363-3A29-47AF-A535-6A67F9E14326}"/>
    <cellStyle name="Style 75 2 2 2 2 3 2" xfId="12357" xr:uid="{361F76FB-FBF9-4AD6-98D2-177D911812BA}"/>
    <cellStyle name="Style 75 2 2 2 2 3 2 2" xfId="31228" xr:uid="{2D887D40-840C-4208-BE3A-589D8889C11B}"/>
    <cellStyle name="Style 75 2 2 2 2 4" xfId="12358" xr:uid="{76ED2C3B-1F96-4CD4-BD92-157621469B93}"/>
    <cellStyle name="Style 75 2 2 2 2 4 2" xfId="12359" xr:uid="{2E350ADA-1029-4D98-9432-D676C67C582D}"/>
    <cellStyle name="Style 75 2 2 2 2 4 2 2" xfId="31229" xr:uid="{8C906963-5C62-4DD1-BE71-86A6B4E67E57}"/>
    <cellStyle name="Style 75 2 2 2 2 5" xfId="12360" xr:uid="{C0F140F6-4F3B-4636-89C4-30EE7FF0972C}"/>
    <cellStyle name="Style 75 2 2 2 2 5 2" xfId="31230" xr:uid="{D3D119E7-8181-420A-8945-9FEE879D82DC}"/>
    <cellStyle name="Style 75 2 2 2 2 6" xfId="12361" xr:uid="{181B5E79-093C-428D-BFDD-40C1479DA80A}"/>
    <cellStyle name="Style 75 2 2 2 2 6 2" xfId="31231" xr:uid="{18C8AEAE-92B8-460C-B945-2EE09DBDE054}"/>
    <cellStyle name="Style 75 2 2 2 2 7" xfId="12362" xr:uid="{71C1FF04-91FC-4D25-877C-B06313059999}"/>
    <cellStyle name="Style 75 2 2 2 2 7 2" xfId="31232" xr:uid="{D6D7513A-B376-435A-947E-88175113FFF5}"/>
    <cellStyle name="Style 75 2 2 2 2 8" xfId="12363" xr:uid="{C5E5A591-AF50-4BAC-918E-BD34B059A23D}"/>
    <cellStyle name="Style 75 2 2 2 2 8 2" xfId="31233" xr:uid="{09B8CAC2-E940-4693-AF5E-6D22FEE8C08E}"/>
    <cellStyle name="Style 75 2 2 2 2 9" xfId="12364" xr:uid="{5AFEEF4B-E95E-4671-88EF-0F6328B6C52F}"/>
    <cellStyle name="Style 75 2 2 2 2 9 2" xfId="31234" xr:uid="{484B6C29-01E0-40FE-9866-F5CDF52B82F0}"/>
    <cellStyle name="Style 75 2 2 2 3" xfId="3345" xr:uid="{13BD7DE8-70AC-4A31-83DB-67BCDA76851A}"/>
    <cellStyle name="Style 75 2 2 2 3 10" xfId="12365" xr:uid="{C709FF04-4F4E-47FF-89B4-98BAA74DD379}"/>
    <cellStyle name="Style 75 2 2 2 3 10 2" xfId="31235" xr:uid="{FBAD71DF-5830-43D6-B317-D199904CB0F2}"/>
    <cellStyle name="Style 75 2 2 2 3 2" xfId="6769" xr:uid="{E07DB368-5D41-4DD6-8FD9-E91CFB845B37}"/>
    <cellStyle name="Style 75 2 2 2 3 2 2" xfId="12366" xr:uid="{BB6EA565-269A-48BA-B510-877C24DA8BEE}"/>
    <cellStyle name="Style 75 2 2 2 3 2 2 2" xfId="31236" xr:uid="{41BBB3A6-060B-4188-ABED-E67EB9E93F00}"/>
    <cellStyle name="Style 75 2 2 2 3 3" xfId="12367" xr:uid="{ADAB14AE-9BF9-47F5-919D-CC1F5C95315A}"/>
    <cellStyle name="Style 75 2 2 2 3 3 2" xfId="12368" xr:uid="{C33EF564-63DE-432E-B688-2D89EBE0E9F9}"/>
    <cellStyle name="Style 75 2 2 2 3 3 2 2" xfId="31237" xr:uid="{CF2CE477-A2F2-4E96-814C-4C2AE3A36EDA}"/>
    <cellStyle name="Style 75 2 2 2 3 4" xfId="12369" xr:uid="{B68D9268-33C2-4996-8757-19BC50437536}"/>
    <cellStyle name="Style 75 2 2 2 3 4 2" xfId="31238" xr:uid="{DDDBF929-6885-4734-8AF6-9C158666EF15}"/>
    <cellStyle name="Style 75 2 2 2 3 5" xfId="12370" xr:uid="{B2270D90-0774-4AC9-8E9A-8862094CFD4E}"/>
    <cellStyle name="Style 75 2 2 2 3 5 2" xfId="31239" xr:uid="{9A672C50-CDA1-44C8-A4AD-9AB9E5EACBE6}"/>
    <cellStyle name="Style 75 2 2 2 3 6" xfId="12371" xr:uid="{7E20F49A-0B9D-4C41-9A26-72DA3A769135}"/>
    <cellStyle name="Style 75 2 2 2 3 6 2" xfId="31240" xr:uid="{9ECFC22A-281E-42EF-9826-F44779990082}"/>
    <cellStyle name="Style 75 2 2 2 3 7" xfId="12372" xr:uid="{7291430D-7397-48CE-B52E-8232B1AD6335}"/>
    <cellStyle name="Style 75 2 2 2 3 7 2" xfId="31241" xr:uid="{51E75B4A-0E33-482C-84CF-90D59C6EF112}"/>
    <cellStyle name="Style 75 2 2 2 3 8" xfId="12373" xr:uid="{B76151D9-A2E7-47AC-98AC-0E7A4A19647A}"/>
    <cellStyle name="Style 75 2 2 2 3 8 2" xfId="31242" xr:uid="{D809B33D-7149-449B-9677-3041E0B7DDFE}"/>
    <cellStyle name="Style 75 2 2 2 3 9" xfId="12374" xr:uid="{2F4D6E28-1B3A-4438-860F-0708A561D4E3}"/>
    <cellStyle name="Style 75 2 2 2 3 9 2" xfId="31243" xr:uid="{39B197D0-6CC0-4229-A751-2C882BF0D6A1}"/>
    <cellStyle name="Style 75 2 2 2 4" xfId="6766" xr:uid="{AADDE4C2-0C89-4434-BA45-070D7641870C}"/>
    <cellStyle name="Style 75 2 2 2 4 2" xfId="12375" xr:uid="{8760DEDF-EA4F-4AA2-9C89-FDE9C70ED84D}"/>
    <cellStyle name="Style 75 2 2 2 4 2 2" xfId="31244" xr:uid="{2DAA66A5-0F44-4F50-84EA-8FEF16DFC49F}"/>
    <cellStyle name="Style 75 2 2 2 5" xfId="12376" xr:uid="{96C24094-B8E9-447C-96F0-C911132A6F3D}"/>
    <cellStyle name="Style 75 2 2 2 5 2" xfId="12377" xr:uid="{AE34B7E6-5DDE-45E8-9EB9-33F714B3EA9C}"/>
    <cellStyle name="Style 75 2 2 2 5 2 2" xfId="31245" xr:uid="{15251BD5-01EB-4B27-A9D7-55F9845A4D39}"/>
    <cellStyle name="Style 75 2 2 2 6" xfId="12378" xr:uid="{6128ACCA-F05B-463F-AAA4-45720715DBEF}"/>
    <cellStyle name="Style 75 2 2 2 6 2" xfId="31246" xr:uid="{71275FA4-270C-428F-A26F-A6958D87827B}"/>
    <cellStyle name="Style 75 2 2 2 7" xfId="12379" xr:uid="{CC4F7493-9336-4E4D-8E71-34D90435AF13}"/>
    <cellStyle name="Style 75 2 2 2 7 2" xfId="31247" xr:uid="{7AEA11F5-100E-4A4A-BA0B-7675E10C4A0E}"/>
    <cellStyle name="Style 75 2 2 2 8" xfId="12380" xr:uid="{2CDEC9C9-D2AA-4038-9454-17DEFEB9E964}"/>
    <cellStyle name="Style 75 2 2 2 8 2" xfId="31248" xr:uid="{4AA5A26B-C193-4352-8C7C-85C05AD9483E}"/>
    <cellStyle name="Style 75 2 2 2 9" xfId="12381" xr:uid="{57C3A602-E179-4F37-AD2B-FB51EBD02A84}"/>
    <cellStyle name="Style 75 2 2 2 9 2" xfId="31249" xr:uid="{F3A8F16D-6286-4071-9D2D-4F57254D35BA}"/>
    <cellStyle name="Style 75 2 2 3" xfId="3346" xr:uid="{82CE032E-FBFC-4CC9-B342-A1362C4894F6}"/>
    <cellStyle name="Style 75 2 2 3 10" xfId="12382" xr:uid="{0CF97BF2-42B3-471F-987D-1E375EE75340}"/>
    <cellStyle name="Style 75 2 2 3 10 2" xfId="31250" xr:uid="{66643297-152F-4088-BA17-50758B62B153}"/>
    <cellStyle name="Style 75 2 2 3 11" xfId="12383" xr:uid="{448AB41C-61B0-4D63-98FA-24D6E87D4481}"/>
    <cellStyle name="Style 75 2 2 3 11 2" xfId="31251" xr:uid="{58AD8C63-04D2-4075-B11D-FFB68E512430}"/>
    <cellStyle name="Style 75 2 2 3 12" xfId="12384" xr:uid="{4041EC4B-E26D-456E-A3EA-9B0573ED4F0D}"/>
    <cellStyle name="Style 75 2 2 3 12 2" xfId="31252" xr:uid="{31BBB407-BDAD-40D5-A3A6-D8FDAD396E54}"/>
    <cellStyle name="Style 75 2 2 3 2" xfId="3347" xr:uid="{BA96E4F6-0439-41BA-BB83-E5F2B89BE1C6}"/>
    <cellStyle name="Style 75 2 2 3 2 10" xfId="12385" xr:uid="{F2A820EF-1504-4D4C-9F27-156A28F3E2D5}"/>
    <cellStyle name="Style 75 2 2 3 2 10 2" xfId="31253" xr:uid="{F4CB2BCE-6DE1-460C-88F3-9DF5FCB6B69E}"/>
    <cellStyle name="Style 75 2 2 3 2 2" xfId="6771" xr:uid="{E15F9F26-F4E0-42AE-9603-00B8BD1F6A0B}"/>
    <cellStyle name="Style 75 2 2 3 2 2 2" xfId="12386" xr:uid="{EEAC3453-CB23-4332-8EB4-95DE11703F77}"/>
    <cellStyle name="Style 75 2 2 3 2 2 2 2" xfId="31254" xr:uid="{774279F4-C434-4629-9E9C-1F29B4AF8C9E}"/>
    <cellStyle name="Style 75 2 2 3 2 3" xfId="12387" xr:uid="{178F09EF-DAFE-4332-9677-BB2BA57AA105}"/>
    <cellStyle name="Style 75 2 2 3 2 3 2" xfId="12388" xr:uid="{E8D149ED-1ACF-4206-929D-11AAA98D1928}"/>
    <cellStyle name="Style 75 2 2 3 2 3 2 2" xfId="31255" xr:uid="{B13612F5-4334-4548-A9EB-9279C89C5842}"/>
    <cellStyle name="Style 75 2 2 3 2 4" xfId="12389" xr:uid="{D9BC0D25-B3C9-4D94-9CAE-60E8A3FA06D9}"/>
    <cellStyle name="Style 75 2 2 3 2 4 2" xfId="31256" xr:uid="{7D4DEB7F-5856-4142-80B2-1DBC9BEE6B06}"/>
    <cellStyle name="Style 75 2 2 3 2 5" xfId="12390" xr:uid="{7E1721A6-57DB-46EE-8DDE-8E967DBE6450}"/>
    <cellStyle name="Style 75 2 2 3 2 5 2" xfId="31257" xr:uid="{28D9B840-0F85-4A2E-8616-8AE955913878}"/>
    <cellStyle name="Style 75 2 2 3 2 6" xfId="12391" xr:uid="{EA2388DD-9C34-4CF7-AFE3-AE40C3A2B2DF}"/>
    <cellStyle name="Style 75 2 2 3 2 6 2" xfId="31258" xr:uid="{B6D71436-E6C0-4890-BF68-B400B3DC185B}"/>
    <cellStyle name="Style 75 2 2 3 2 7" xfId="12392" xr:uid="{27D5DCD3-4C05-452D-B23C-6AC1A150097D}"/>
    <cellStyle name="Style 75 2 2 3 2 7 2" xfId="31259" xr:uid="{B72306B3-68CE-45FF-BA94-32552612DE3D}"/>
    <cellStyle name="Style 75 2 2 3 2 8" xfId="12393" xr:uid="{F0F75709-14A0-4CA5-807B-3F6115ABA5FB}"/>
    <cellStyle name="Style 75 2 2 3 2 8 2" xfId="31260" xr:uid="{FC90CDA6-21D6-48D8-B2F9-6D0A44B0D85F}"/>
    <cellStyle name="Style 75 2 2 3 2 9" xfId="12394" xr:uid="{A6E4FF14-8260-403D-BC30-F6A33FF17F13}"/>
    <cellStyle name="Style 75 2 2 3 2 9 2" xfId="31261" xr:uid="{52A9606E-92AC-44CD-AD5F-FDC3FA9565F0}"/>
    <cellStyle name="Style 75 2 2 3 3" xfId="6770" xr:uid="{A95A3493-EBE7-4D32-A1E8-EA1B6BC93E5A}"/>
    <cellStyle name="Style 75 2 2 3 3 2" xfId="12395" xr:uid="{3DB5A959-328C-47D1-8BF8-504791BC5959}"/>
    <cellStyle name="Style 75 2 2 3 3 2 2" xfId="31262" xr:uid="{06923DD6-34FC-4EBD-926E-83E9800833BC}"/>
    <cellStyle name="Style 75 2 2 3 4" xfId="12396" xr:uid="{620F27C1-D0C8-4AA9-938A-A4F2AECD0136}"/>
    <cellStyle name="Style 75 2 2 3 4 2" xfId="12397" xr:uid="{9DD430D7-CA97-42AF-B6F2-A3C16EE23A6B}"/>
    <cellStyle name="Style 75 2 2 3 4 2 2" xfId="31263" xr:uid="{AFB98095-91F6-4589-8A5D-6E3BC45967B7}"/>
    <cellStyle name="Style 75 2 2 3 5" xfId="12398" xr:uid="{8051037F-C859-4E68-B8FC-D9F3266C72E2}"/>
    <cellStyle name="Style 75 2 2 3 5 2" xfId="31264" xr:uid="{9A4757D7-9B3B-4055-B202-5E6E904B7CC1}"/>
    <cellStyle name="Style 75 2 2 3 6" xfId="12399" xr:uid="{238F7A5C-9BCA-4671-8E9C-57464CF0C429}"/>
    <cellStyle name="Style 75 2 2 3 6 2" xfId="31265" xr:uid="{12F47E77-F2BA-4702-8484-96C138E1ED01}"/>
    <cellStyle name="Style 75 2 2 3 7" xfId="12400" xr:uid="{E4DFF03E-2F95-4C64-B600-B9F91936B58E}"/>
    <cellStyle name="Style 75 2 2 3 7 2" xfId="31266" xr:uid="{9E1492E9-B12D-4CFA-9254-BE60F2629DE0}"/>
    <cellStyle name="Style 75 2 2 3 8" xfId="12401" xr:uid="{EBC2FB51-34F8-4A74-BAE7-63846B882567}"/>
    <cellStyle name="Style 75 2 2 3 8 2" xfId="31267" xr:uid="{787E11F3-256C-4812-9C0C-22471D1350A9}"/>
    <cellStyle name="Style 75 2 2 3 9" xfId="12402" xr:uid="{81F54112-4F66-47A4-9D41-F03B3C1835B4}"/>
    <cellStyle name="Style 75 2 2 3 9 2" xfId="31268" xr:uid="{5E957938-9E61-4FBD-B239-E7AE47D01983}"/>
    <cellStyle name="Style 75 2 2 4" xfId="3348" xr:uid="{A8329FF2-3A3F-4EFC-BB73-ED17062F83C4}"/>
    <cellStyle name="Style 75 2 2 4 10" xfId="12403" xr:uid="{E20C630D-E330-4884-9559-A102C078157C}"/>
    <cellStyle name="Style 75 2 2 4 10 2" xfId="31269" xr:uid="{C851D62F-4923-4D81-B105-F72963012088}"/>
    <cellStyle name="Style 75 2 2 4 2" xfId="6772" xr:uid="{6C9EFD0C-595B-4D00-A3CF-59C3D79BC637}"/>
    <cellStyle name="Style 75 2 2 4 2 2" xfId="12404" xr:uid="{5972A118-3BC6-4E2A-90BE-3167095643CE}"/>
    <cellStyle name="Style 75 2 2 4 2 2 2" xfId="31270" xr:uid="{34AA93D7-9203-4A0B-AD6F-3A0F7DE3CDDF}"/>
    <cellStyle name="Style 75 2 2 4 3" xfId="12405" xr:uid="{CCB96EAA-DD90-4B97-B821-17450FFDDFB2}"/>
    <cellStyle name="Style 75 2 2 4 3 2" xfId="12406" xr:uid="{8F8D7DBD-9417-4D34-9C6C-E8ED6D71BEF3}"/>
    <cellStyle name="Style 75 2 2 4 3 2 2" xfId="31271" xr:uid="{C5AD4E12-A24A-456D-BFD5-1776DAE76075}"/>
    <cellStyle name="Style 75 2 2 4 4" xfId="12407" xr:uid="{89EF7143-D713-43E0-B333-6F2952054D9C}"/>
    <cellStyle name="Style 75 2 2 4 4 2" xfId="31272" xr:uid="{EA4CD9BB-114D-48FC-9DDC-E9D3B7E3BBCA}"/>
    <cellStyle name="Style 75 2 2 4 5" xfId="12408" xr:uid="{67E508C7-78D1-4B6A-A7E4-DCEE4DCC5EE6}"/>
    <cellStyle name="Style 75 2 2 4 5 2" xfId="31273" xr:uid="{32C75C67-CE75-4F47-9E47-A2A006FBA019}"/>
    <cellStyle name="Style 75 2 2 4 6" xfId="12409" xr:uid="{83ECE792-0967-47CA-AF5A-DB70BA761891}"/>
    <cellStyle name="Style 75 2 2 4 6 2" xfId="31274" xr:uid="{DBF135AC-7DC0-4DC1-9132-BE4D33F59F3B}"/>
    <cellStyle name="Style 75 2 2 4 7" xfId="12410" xr:uid="{1F2E93F0-95B1-4EA1-83D6-16938BADFECA}"/>
    <cellStyle name="Style 75 2 2 4 7 2" xfId="31275" xr:uid="{F21EC4C4-2264-40B4-933B-954654520977}"/>
    <cellStyle name="Style 75 2 2 4 8" xfId="12411" xr:uid="{B35C48E4-EAC5-4CFA-AF7F-EC9A3E632B60}"/>
    <cellStyle name="Style 75 2 2 4 8 2" xfId="31276" xr:uid="{99266886-A950-4688-95BE-DD5504E7B3A9}"/>
    <cellStyle name="Style 75 2 2 4 9" xfId="12412" xr:uid="{932F902C-0065-46B1-B660-F3DC77A4DA26}"/>
    <cellStyle name="Style 75 2 2 4 9 2" xfId="31277" xr:uid="{D72BFBE4-1746-4241-9C3C-FBD46DCAD04C}"/>
    <cellStyle name="Style 75 2 2 5" xfId="6765" xr:uid="{E9B2DE06-AA8E-4B81-B72E-F192AA6B5B7C}"/>
    <cellStyle name="Style 75 2 2 5 2" xfId="12413" xr:uid="{845C2CF0-97C5-4D4B-8431-C05C3ADD69F5}"/>
    <cellStyle name="Style 75 2 2 5 2 2" xfId="31278" xr:uid="{D5C3395C-ABAD-4D9C-9014-D910357A8853}"/>
    <cellStyle name="Style 75 2 2 6" xfId="12414" xr:uid="{A8BF2A83-A4F9-4655-87A2-39FB40A9BB66}"/>
    <cellStyle name="Style 75 2 2 6 2" xfId="12415" xr:uid="{518B2C16-EA3F-40ED-A439-56F4443EFDEB}"/>
    <cellStyle name="Style 75 2 2 6 2 2" xfId="31279" xr:uid="{DC61E74B-1C64-4035-8F42-828DCA388FD7}"/>
    <cellStyle name="Style 75 2 2 7" xfId="12416" xr:uid="{EB603B54-E7E6-4C97-9A99-E70ABB18D75C}"/>
    <cellStyle name="Style 75 2 2 7 2" xfId="31280" xr:uid="{89A58AF2-22ED-4C9E-A3F1-A0B9342013CF}"/>
    <cellStyle name="Style 75 2 2 8" xfId="12417" xr:uid="{8D18FF1A-AE92-421C-9842-82857EBFD62A}"/>
    <cellStyle name="Style 75 2 2 8 2" xfId="31281" xr:uid="{06CFB57D-C793-4B8D-B2E2-9E8BF8D363E4}"/>
    <cellStyle name="Style 75 2 2 9" xfId="12418" xr:uid="{8B111699-5899-4E00-9176-72405CF5243B}"/>
    <cellStyle name="Style 75 2 2 9 2" xfId="31282" xr:uid="{D693E3AB-B4A1-4717-93B6-A2F94B7EB804}"/>
    <cellStyle name="Style 75 2 3" xfId="3349" xr:uid="{BBF9BB2B-1B2D-4398-8566-AE32DB8A2511}"/>
    <cellStyle name="Style 75 2 3 10" xfId="12419" xr:uid="{5A523F5C-36B4-497E-9D81-FFB646C3490B}"/>
    <cellStyle name="Style 75 2 3 10 2" xfId="31283" xr:uid="{030B24B3-0EAB-4795-87C6-56B1F28308DE}"/>
    <cellStyle name="Style 75 2 3 11" xfId="12420" xr:uid="{69720BDA-BB1E-4A66-9F34-F7233845115D}"/>
    <cellStyle name="Style 75 2 3 11 2" xfId="31284" xr:uid="{7CFAC6F2-C2CE-49E5-9B9F-0E76D0CD38F7}"/>
    <cellStyle name="Style 75 2 3 12" xfId="12421" xr:uid="{8E8AE0F9-3516-4312-9042-326E2C6C3F20}"/>
    <cellStyle name="Style 75 2 3 12 2" xfId="31285" xr:uid="{4C7F223E-AE3B-46F8-A4AC-E794A7B659D7}"/>
    <cellStyle name="Style 75 2 3 13" xfId="12422" xr:uid="{C3A34A39-1CE9-4C23-993E-D008F2365366}"/>
    <cellStyle name="Style 75 2 3 13 2" xfId="31286" xr:uid="{1876DA7D-CAAE-47A3-A910-0C66C16F66D4}"/>
    <cellStyle name="Style 75 2 3 2" xfId="3350" xr:uid="{FE5E40AC-4C64-48EA-AFD7-24A10C47A00E}"/>
    <cellStyle name="Style 75 2 3 2 10" xfId="12423" xr:uid="{107B662D-EE25-48CB-BF54-BDC33FEABE3A}"/>
    <cellStyle name="Style 75 2 3 2 10 2" xfId="31287" xr:uid="{F7D8DCCA-B425-4BC7-8EB1-650E0F1C0084}"/>
    <cellStyle name="Style 75 2 3 2 11" xfId="12424" xr:uid="{A8DF7220-8F4B-4F57-9CB8-6D25F7671DF7}"/>
    <cellStyle name="Style 75 2 3 2 11 2" xfId="31288" xr:uid="{C6D752E4-9F11-4813-8EDD-002009156CFE}"/>
    <cellStyle name="Style 75 2 3 2 12" xfId="12425" xr:uid="{C8C7A972-B6B4-415D-9330-653D226D1425}"/>
    <cellStyle name="Style 75 2 3 2 12 2" xfId="31289" xr:uid="{2E4041F3-5231-4558-8B3F-0AA91AF46973}"/>
    <cellStyle name="Style 75 2 3 2 2" xfId="3351" xr:uid="{AE4D5B0C-32F5-4FB3-BF5A-F1F588DDDFFC}"/>
    <cellStyle name="Style 75 2 3 2 2 10" xfId="12426" xr:uid="{4F337863-2C50-4D7D-943E-605F6E8E63AA}"/>
    <cellStyle name="Style 75 2 3 2 2 10 2" xfId="31290" xr:uid="{C32B4D03-5F9D-4160-9886-70A9DC7F8946}"/>
    <cellStyle name="Style 75 2 3 2 2 2" xfId="6775" xr:uid="{B1EB520C-1914-4929-AD72-D92067130381}"/>
    <cellStyle name="Style 75 2 3 2 2 2 2" xfId="12427" xr:uid="{2A659CA3-4721-4497-A613-560256BF385E}"/>
    <cellStyle name="Style 75 2 3 2 2 2 2 2" xfId="31291" xr:uid="{8D115A42-BDFD-4B82-B16B-2C6F849A872A}"/>
    <cellStyle name="Style 75 2 3 2 2 3" xfId="12428" xr:uid="{63FF2EDD-5ED9-4FAD-BB7B-6CF657388790}"/>
    <cellStyle name="Style 75 2 3 2 2 3 2" xfId="12429" xr:uid="{AE513C0F-AF23-48CD-8F71-753B8D098444}"/>
    <cellStyle name="Style 75 2 3 2 2 3 2 2" xfId="31292" xr:uid="{5D11E41A-23C3-48C8-A266-C9064C85F984}"/>
    <cellStyle name="Style 75 2 3 2 2 4" xfId="12430" xr:uid="{23D78641-E779-4C97-9C57-E2D08B55F111}"/>
    <cellStyle name="Style 75 2 3 2 2 4 2" xfId="31293" xr:uid="{B685EB26-956A-4AA1-AFE5-73921F669512}"/>
    <cellStyle name="Style 75 2 3 2 2 5" xfId="12431" xr:uid="{A6013E8F-64CA-4F1E-BCB0-C828B068146F}"/>
    <cellStyle name="Style 75 2 3 2 2 5 2" xfId="31294" xr:uid="{A9B2EE98-8B63-4A74-BCD4-45A3191613A2}"/>
    <cellStyle name="Style 75 2 3 2 2 6" xfId="12432" xr:uid="{BB2049AA-265C-4675-8261-D66A60D46BDE}"/>
    <cellStyle name="Style 75 2 3 2 2 6 2" xfId="31295" xr:uid="{6265B3CA-228B-43FB-A3D9-870806B127ED}"/>
    <cellStyle name="Style 75 2 3 2 2 7" xfId="12433" xr:uid="{0231F446-1280-489F-AD82-45696F56792A}"/>
    <cellStyle name="Style 75 2 3 2 2 7 2" xfId="31296" xr:uid="{5D964E3B-02A2-4B90-92F9-AFDA095F3386}"/>
    <cellStyle name="Style 75 2 3 2 2 8" xfId="12434" xr:uid="{ABADCCDF-21D0-4E83-A926-03ADE188BB17}"/>
    <cellStyle name="Style 75 2 3 2 2 8 2" xfId="31297" xr:uid="{5E8A29F4-FFE6-4C88-AA16-22CE144C29FC}"/>
    <cellStyle name="Style 75 2 3 2 2 9" xfId="12435" xr:uid="{408B7138-033C-4A86-9BBB-FB9B33414281}"/>
    <cellStyle name="Style 75 2 3 2 2 9 2" xfId="31298" xr:uid="{B2491F52-0163-4FB0-BD8B-4D540528E5C2}"/>
    <cellStyle name="Style 75 2 3 2 3" xfId="6774" xr:uid="{0187B8FA-CAA8-4A30-86C4-E5E393E3733D}"/>
    <cellStyle name="Style 75 2 3 2 3 2" xfId="12436" xr:uid="{83CF7F65-0386-40A9-B1B5-07C8ABFA255A}"/>
    <cellStyle name="Style 75 2 3 2 3 2 2" xfId="31299" xr:uid="{83CA4659-3D00-47B3-8A5C-F1F46DE7C289}"/>
    <cellStyle name="Style 75 2 3 2 4" xfId="12437" xr:uid="{771356E7-52F6-4F1E-81A1-1D4E58FBFC14}"/>
    <cellStyle name="Style 75 2 3 2 4 2" xfId="12438" xr:uid="{DFF4052A-4D6F-4089-ADCA-77613FF18EAB}"/>
    <cellStyle name="Style 75 2 3 2 4 2 2" xfId="31300" xr:uid="{877E2B72-5F9F-4850-8745-1797AA99C605}"/>
    <cellStyle name="Style 75 2 3 2 5" xfId="12439" xr:uid="{9A3E3A31-09E3-4A85-8AAA-E7486E1EB096}"/>
    <cellStyle name="Style 75 2 3 2 5 2" xfId="31301" xr:uid="{861231CC-0DE6-4CF4-8366-3098CE1B17E7}"/>
    <cellStyle name="Style 75 2 3 2 6" xfId="12440" xr:uid="{6378FB01-CE7B-4B20-B9E6-5B8039B8B934}"/>
    <cellStyle name="Style 75 2 3 2 6 2" xfId="31302" xr:uid="{6BE4D556-7E9D-4441-BCC5-72CFEEB04327}"/>
    <cellStyle name="Style 75 2 3 2 7" xfId="12441" xr:uid="{8AF3F675-10D9-4B11-ADC8-A884B6142DAF}"/>
    <cellStyle name="Style 75 2 3 2 7 2" xfId="31303" xr:uid="{432F726A-D789-48EC-8E6A-7AE8DC43F2F4}"/>
    <cellStyle name="Style 75 2 3 2 8" xfId="12442" xr:uid="{678DB293-CDCB-49BB-96DF-09370BF9C449}"/>
    <cellStyle name="Style 75 2 3 2 8 2" xfId="31304" xr:uid="{CA11D60A-C3C0-4DF8-81B6-DCC48E254D6D}"/>
    <cellStyle name="Style 75 2 3 2 9" xfId="12443" xr:uid="{BE68A06C-CA72-49C3-B5F1-CC56C239FE30}"/>
    <cellStyle name="Style 75 2 3 2 9 2" xfId="31305" xr:uid="{15EE212B-B13E-4198-A606-984985954C13}"/>
    <cellStyle name="Style 75 2 3 3" xfId="3352" xr:uid="{6A3C1474-C3B3-4798-89C0-312E764CD1CF}"/>
    <cellStyle name="Style 75 2 3 3 10" xfId="12444" xr:uid="{D1AF70E5-84B9-4784-9BB1-B6DFEF9C3764}"/>
    <cellStyle name="Style 75 2 3 3 10 2" xfId="31306" xr:uid="{AA98D17C-0AE8-49CC-8FA1-F82A41BF62BF}"/>
    <cellStyle name="Style 75 2 3 3 2" xfId="6776" xr:uid="{729E6209-4059-450B-948E-7E0C8E3F30D4}"/>
    <cellStyle name="Style 75 2 3 3 2 2" xfId="12445" xr:uid="{9E1941FD-0CFB-49ED-B5BD-B19EFCFE8954}"/>
    <cellStyle name="Style 75 2 3 3 2 2 2" xfId="31307" xr:uid="{F9E4A6E8-C1CF-4C4F-A5CB-ACFBC97FB8B4}"/>
    <cellStyle name="Style 75 2 3 3 3" xfId="12446" xr:uid="{2C7783A8-4531-4476-993A-87BDAB8AE93D}"/>
    <cellStyle name="Style 75 2 3 3 3 2" xfId="12447" xr:uid="{9B793B22-E5CD-45BE-8D2E-A0552DA25C2A}"/>
    <cellStyle name="Style 75 2 3 3 3 2 2" xfId="31308" xr:uid="{67D49697-03DC-434A-BCC3-DE0FCB9093D9}"/>
    <cellStyle name="Style 75 2 3 3 4" xfId="12448" xr:uid="{B790B910-3F82-4D2A-893A-B6BFFBBE3760}"/>
    <cellStyle name="Style 75 2 3 3 4 2" xfId="31309" xr:uid="{ED2CC720-8871-4AD4-A719-63FB9AF591C7}"/>
    <cellStyle name="Style 75 2 3 3 5" xfId="12449" xr:uid="{7D4A1527-3779-4DC2-9CF8-6B13C50CC86C}"/>
    <cellStyle name="Style 75 2 3 3 5 2" xfId="31310" xr:uid="{91C249A0-5564-45FD-B07F-78D96E1A48BA}"/>
    <cellStyle name="Style 75 2 3 3 6" xfId="12450" xr:uid="{BDD71B1E-7C77-4B70-A65B-88031060689B}"/>
    <cellStyle name="Style 75 2 3 3 6 2" xfId="31311" xr:uid="{BE2686E4-2C01-4A18-A6DC-547540AA5E55}"/>
    <cellStyle name="Style 75 2 3 3 7" xfId="12451" xr:uid="{39705E48-20B1-465E-A633-7D74524C1BD7}"/>
    <cellStyle name="Style 75 2 3 3 7 2" xfId="31312" xr:uid="{A5CF5463-C520-4626-9503-183BC7E4E986}"/>
    <cellStyle name="Style 75 2 3 3 8" xfId="12452" xr:uid="{1BA7AA66-5C5C-402D-A618-96EDDD5ADD31}"/>
    <cellStyle name="Style 75 2 3 3 8 2" xfId="31313" xr:uid="{53FED4F2-9B9D-4322-A7F4-A1DDE17DB8D3}"/>
    <cellStyle name="Style 75 2 3 3 9" xfId="12453" xr:uid="{B87A3064-E0C5-4F09-B408-FF21DA2815EB}"/>
    <cellStyle name="Style 75 2 3 3 9 2" xfId="31314" xr:uid="{92083CC8-FC5C-48E0-9766-D0893F45AFBF}"/>
    <cellStyle name="Style 75 2 3 4" xfId="6773" xr:uid="{C825E90C-E7C7-478F-A083-4681F0302CAE}"/>
    <cellStyle name="Style 75 2 3 4 2" xfId="12454" xr:uid="{79734665-D8C9-4057-9547-E4B237D5DBC7}"/>
    <cellStyle name="Style 75 2 3 4 2 2" xfId="31315" xr:uid="{09FC5444-C50B-42AC-A19D-BD38F198BAD9}"/>
    <cellStyle name="Style 75 2 3 5" xfId="12455" xr:uid="{6557BD36-D449-48CA-8ADE-0AEEF3B1C63D}"/>
    <cellStyle name="Style 75 2 3 5 2" xfId="12456" xr:uid="{7ADC6327-99DD-4DFF-854B-318EB349043F}"/>
    <cellStyle name="Style 75 2 3 5 2 2" xfId="31316" xr:uid="{1DDA621E-D525-4458-AFDA-B07ECB7A187E}"/>
    <cellStyle name="Style 75 2 3 6" xfId="12457" xr:uid="{38B1216B-0A63-42A3-842B-21A3DD1DA29B}"/>
    <cellStyle name="Style 75 2 3 6 2" xfId="31317" xr:uid="{600A95E4-CE78-4608-BB34-56F2DDDE86A2}"/>
    <cellStyle name="Style 75 2 3 7" xfId="12458" xr:uid="{4A4E686A-C224-453C-9A71-675FE325FCCE}"/>
    <cellStyle name="Style 75 2 3 7 2" xfId="31318" xr:uid="{3581FD50-E7F3-49C3-BE24-5AA6939C26B9}"/>
    <cellStyle name="Style 75 2 3 8" xfId="12459" xr:uid="{AD7885F5-8B12-44A3-8DB9-7253A6680EA3}"/>
    <cellStyle name="Style 75 2 3 8 2" xfId="31319" xr:uid="{1FFA3458-AFAE-437F-BB15-9D608339F5A3}"/>
    <cellStyle name="Style 75 2 3 9" xfId="12460" xr:uid="{236A3275-8BE4-45BF-8617-F185704044C4}"/>
    <cellStyle name="Style 75 2 3 9 2" xfId="31320" xr:uid="{2A99C0C9-95F0-4438-83C6-E251C106E111}"/>
    <cellStyle name="Style 75 2 4" xfId="3353" xr:uid="{0D6BCE14-F449-438B-8569-564C22DC92F7}"/>
    <cellStyle name="Style 75 2 4 10" xfId="12461" xr:uid="{79923E11-A0C0-44C2-BD9E-C23F2279A9DA}"/>
    <cellStyle name="Style 75 2 4 10 2" xfId="31321" xr:uid="{0F28E9C7-BA77-40E1-A8F6-C9E11B69C291}"/>
    <cellStyle name="Style 75 2 4 11" xfId="12462" xr:uid="{33CE235E-1362-42D7-A454-3F2CD23762ED}"/>
    <cellStyle name="Style 75 2 4 11 2" xfId="31322" xr:uid="{C48ADE80-B8FC-4673-A48F-EBA4DB9EFAB2}"/>
    <cellStyle name="Style 75 2 4 12" xfId="12463" xr:uid="{CE1EB24D-0AE4-45FC-8371-9DB752B7C75F}"/>
    <cellStyle name="Style 75 2 4 12 2" xfId="31323" xr:uid="{92302A17-CB45-4D1F-AC07-65D6C43E02D4}"/>
    <cellStyle name="Style 75 2 4 2" xfId="3354" xr:uid="{2D2A2AC5-BB75-447D-96A0-D7D50870A728}"/>
    <cellStyle name="Style 75 2 4 2 10" xfId="12464" xr:uid="{D35066B9-F09E-4C94-80E2-3908CD915E6E}"/>
    <cellStyle name="Style 75 2 4 2 10 2" xfId="31324" xr:uid="{F4EFD80E-F925-4E07-9154-3F1973C887C2}"/>
    <cellStyle name="Style 75 2 4 2 2" xfId="6778" xr:uid="{C1446B53-D557-490A-931D-340BB49B4E11}"/>
    <cellStyle name="Style 75 2 4 2 2 2" xfId="12465" xr:uid="{C6046BEC-8C60-4F9A-8489-63918ADDD49A}"/>
    <cellStyle name="Style 75 2 4 2 2 2 2" xfId="31325" xr:uid="{379EDE18-CCDA-4E79-88F4-C71E37FFF312}"/>
    <cellStyle name="Style 75 2 4 2 3" xfId="12466" xr:uid="{A7B5F018-54F8-4198-A4D2-E59149751AC2}"/>
    <cellStyle name="Style 75 2 4 2 3 2" xfId="12467" xr:uid="{791C2D67-27AD-49EA-92F1-FF1B5298A4EE}"/>
    <cellStyle name="Style 75 2 4 2 3 2 2" xfId="31326" xr:uid="{1284D2BA-3078-4C00-8112-E21D27BD757B}"/>
    <cellStyle name="Style 75 2 4 2 4" xfId="12468" xr:uid="{713F72AE-4140-4768-9A92-235E25BDACEC}"/>
    <cellStyle name="Style 75 2 4 2 4 2" xfId="31327" xr:uid="{00E2A1AF-0BB3-4C70-8FFF-162D1D278AED}"/>
    <cellStyle name="Style 75 2 4 2 5" xfId="12469" xr:uid="{2B81465F-D5B0-45EC-B0FD-BCBE62FA5A93}"/>
    <cellStyle name="Style 75 2 4 2 5 2" xfId="31328" xr:uid="{DEB8D012-1079-4A49-B9E1-0F769CFA5387}"/>
    <cellStyle name="Style 75 2 4 2 6" xfId="12470" xr:uid="{F0B61345-CC3A-4D1F-84E3-69AEFC67BE77}"/>
    <cellStyle name="Style 75 2 4 2 6 2" xfId="31329" xr:uid="{03EFC9DB-FE59-449D-A25E-825ECF769D70}"/>
    <cellStyle name="Style 75 2 4 2 7" xfId="12471" xr:uid="{A4130414-C5D8-4FB8-B3A4-4765567A53F9}"/>
    <cellStyle name="Style 75 2 4 2 7 2" xfId="31330" xr:uid="{E3851D92-0D34-474D-9BA8-D1012610B896}"/>
    <cellStyle name="Style 75 2 4 2 8" xfId="12472" xr:uid="{C771F680-7EB3-497B-A029-A38AF9B0E431}"/>
    <cellStyle name="Style 75 2 4 2 8 2" xfId="31331" xr:uid="{3A915358-60E4-4F11-8246-B351532E488D}"/>
    <cellStyle name="Style 75 2 4 2 9" xfId="12473" xr:uid="{79027092-028E-4EBF-835E-97ACD1378EF1}"/>
    <cellStyle name="Style 75 2 4 2 9 2" xfId="31332" xr:uid="{D1382CA9-9711-4274-BBD2-6E0C93A233A1}"/>
    <cellStyle name="Style 75 2 4 3" xfId="6777" xr:uid="{252EE528-1297-47E6-B274-5CE3DF11F49B}"/>
    <cellStyle name="Style 75 2 4 3 2" xfId="12474" xr:uid="{462B95C5-EF7D-4132-8E79-7303F694883E}"/>
    <cellStyle name="Style 75 2 4 3 2 2" xfId="31333" xr:uid="{907C7970-11A3-4D34-BBEF-34BE0D59309C}"/>
    <cellStyle name="Style 75 2 4 4" xfId="12475" xr:uid="{4296BDA2-7969-4384-9F22-2192BFCA227E}"/>
    <cellStyle name="Style 75 2 4 4 2" xfId="12476" xr:uid="{75EDBB05-8DC0-49C9-AC90-84E969298B08}"/>
    <cellStyle name="Style 75 2 4 4 2 2" xfId="31334" xr:uid="{145A7EF6-9A04-4680-99F6-1129FB00109E}"/>
    <cellStyle name="Style 75 2 4 5" xfId="12477" xr:uid="{0E451E99-5C43-40EB-A99A-CECB13A87E2F}"/>
    <cellStyle name="Style 75 2 4 5 2" xfId="31335" xr:uid="{88E6D487-3B4C-4696-BA81-463956BCCC5C}"/>
    <cellStyle name="Style 75 2 4 6" xfId="12478" xr:uid="{A236DFEF-3A95-4762-9E97-8983D6169CA7}"/>
    <cellStyle name="Style 75 2 4 6 2" xfId="31336" xr:uid="{51536D37-47DC-473D-A05C-FD55CB403499}"/>
    <cellStyle name="Style 75 2 4 7" xfId="12479" xr:uid="{BFCD840D-B430-4B37-95EE-495DE2F2EE95}"/>
    <cellStyle name="Style 75 2 4 7 2" xfId="31337" xr:uid="{7A066D18-487E-47F5-97F7-06E622D89163}"/>
    <cellStyle name="Style 75 2 4 8" xfId="12480" xr:uid="{A4B824BF-999A-47FC-B815-4A2FBED6A16D}"/>
    <cellStyle name="Style 75 2 4 8 2" xfId="31338" xr:uid="{F60FB0FD-578E-4AB8-83FB-79DF9752B784}"/>
    <cellStyle name="Style 75 2 4 9" xfId="12481" xr:uid="{16521417-3CA4-4336-98EE-707C0C56ED16}"/>
    <cellStyle name="Style 75 2 4 9 2" xfId="31339" xr:uid="{ACD2B2DA-7564-4D39-B1A8-86461A95E286}"/>
    <cellStyle name="Style 75 2 5" xfId="3355" xr:uid="{910E5A9E-0708-43EB-AC99-BF4266EEBC78}"/>
    <cellStyle name="Style 75 2 5 10" xfId="12482" xr:uid="{6B16B344-0120-4E58-87FC-3D73EA79594A}"/>
    <cellStyle name="Style 75 2 5 10 2" xfId="31340" xr:uid="{A630FFD5-EB5A-450E-8830-394F5C7E30CB}"/>
    <cellStyle name="Style 75 2 5 2" xfId="6779" xr:uid="{22D8CB41-AA41-4592-A730-18556FC61B86}"/>
    <cellStyle name="Style 75 2 5 2 2" xfId="12483" xr:uid="{B12E1A7D-4C06-46CF-89EF-B53B01A3945D}"/>
    <cellStyle name="Style 75 2 5 2 2 2" xfId="31341" xr:uid="{21094047-452F-4FD4-BF30-A81E8B586132}"/>
    <cellStyle name="Style 75 2 5 3" xfId="12484" xr:uid="{199057C6-80CC-4536-9ACE-D8ED6C6DDC27}"/>
    <cellStyle name="Style 75 2 5 3 2" xfId="12485" xr:uid="{1EDCC352-D03B-4F78-B5A9-411E9ECCE62F}"/>
    <cellStyle name="Style 75 2 5 3 2 2" xfId="31342" xr:uid="{8D998785-020F-477F-BE28-47F380E38124}"/>
    <cellStyle name="Style 75 2 5 4" xfId="12486" xr:uid="{D98125FF-68CB-4B4C-87E3-C7FFD4C089CA}"/>
    <cellStyle name="Style 75 2 5 4 2" xfId="31343" xr:uid="{84B2E51E-2313-4D51-9D58-60182B738BDE}"/>
    <cellStyle name="Style 75 2 5 5" xfId="12487" xr:uid="{A5297E2F-6B3D-4185-BE20-C751C586D3F2}"/>
    <cellStyle name="Style 75 2 5 5 2" xfId="31344" xr:uid="{678DC221-69DE-4CE3-9769-AF46C9D52882}"/>
    <cellStyle name="Style 75 2 5 6" xfId="12488" xr:uid="{EF7A621B-C46E-4D1D-83CF-88D6C9D6D57D}"/>
    <cellStyle name="Style 75 2 5 6 2" xfId="31345" xr:uid="{532C7764-F75A-4C48-ADE7-72C0B758ED71}"/>
    <cellStyle name="Style 75 2 5 7" xfId="12489" xr:uid="{B662B589-4E26-49E0-AAB5-80D55BB2E044}"/>
    <cellStyle name="Style 75 2 5 7 2" xfId="31346" xr:uid="{C8B7AC8E-FDC3-4F57-9A27-F6B7033764DD}"/>
    <cellStyle name="Style 75 2 5 8" xfId="12490" xr:uid="{C8A109A2-9F9D-44DA-8AA3-0D105A6BEE22}"/>
    <cellStyle name="Style 75 2 5 8 2" xfId="31347" xr:uid="{E71080A0-A393-4713-BB5D-A75B5B1DDF2D}"/>
    <cellStyle name="Style 75 2 5 9" xfId="12491" xr:uid="{301243BB-69E2-43E0-9FA1-22C9CE0F06F1}"/>
    <cellStyle name="Style 75 2 5 9 2" xfId="31348" xr:uid="{AB6B8704-1F66-4ED1-93C8-3F57DBB0BA21}"/>
    <cellStyle name="Style 75 2 6" xfId="6764" xr:uid="{AE797EA3-D3E5-46E2-8097-87FABCA3D5D4}"/>
    <cellStyle name="Style 75 2 6 2" xfId="12492" xr:uid="{75C5119B-7418-4F11-8122-FA87A2702A62}"/>
    <cellStyle name="Style 75 2 6 2 2" xfId="31349" xr:uid="{0756A80E-A20D-42DE-B965-FDA50B21F8B4}"/>
    <cellStyle name="Style 75 2 7" xfId="12493" xr:uid="{5D62324D-9485-4325-AA1D-E6A3927FD1F8}"/>
    <cellStyle name="Style 75 2 7 2" xfId="12494" xr:uid="{22F664FB-1592-449D-918E-754320332315}"/>
    <cellStyle name="Style 75 2 7 2 2" xfId="31350" xr:uid="{E23A806A-2B94-4758-B7EB-D58448FD89E9}"/>
    <cellStyle name="Style 75 2 8" xfId="12495" xr:uid="{80CAE66E-182D-4BEA-B859-877620CF8104}"/>
    <cellStyle name="Style 75 2 8 2" xfId="31351" xr:uid="{5FF8AD37-33B4-4E25-AA18-EFA8ADDC6E24}"/>
    <cellStyle name="Style 75 2 9" xfId="12496" xr:uid="{0D40E92D-B3B8-4B67-B08A-626B8B69F9CE}"/>
    <cellStyle name="Style 75 2 9 2" xfId="31352" xr:uid="{EAA60256-A6E5-43BF-A5C8-51B2A8155AEB}"/>
    <cellStyle name="Style 75 3" xfId="3356" xr:uid="{AFFC8988-AE45-4211-89C8-C1A22E50028F}"/>
    <cellStyle name="Style 75 3 10" xfId="12497" xr:uid="{E3F5976B-7EEA-48B1-B068-5B73B5C03CE4}"/>
    <cellStyle name="Style 75 3 10 2" xfId="31353" xr:uid="{29E49F70-168F-4261-B813-C8ACF4F5AA38}"/>
    <cellStyle name="Style 75 3 11" xfId="12498" xr:uid="{41E5B3C0-82B8-40B5-A02B-8146A69042B1}"/>
    <cellStyle name="Style 75 3 11 2" xfId="31354" xr:uid="{C762DAE9-FC9F-42EE-AC0B-6FC1291C7D98}"/>
    <cellStyle name="Style 75 3 12" xfId="12499" xr:uid="{5EA097CC-8AA6-41A8-BF40-01BFB65A4699}"/>
    <cellStyle name="Style 75 3 12 2" xfId="31355" xr:uid="{C574DDE5-1255-405D-B299-B5972CD5512F}"/>
    <cellStyle name="Style 75 3 13" xfId="12500" xr:uid="{A062EE04-342B-4813-97C8-9F8C40DCFCB8}"/>
    <cellStyle name="Style 75 3 13 2" xfId="31356" xr:uid="{CC79709F-E1FE-4A2C-9F61-8ADD466A1A4C}"/>
    <cellStyle name="Style 75 3 14" xfId="12501" xr:uid="{55DBD525-99EC-4DAA-B5E3-AF5EE3464EC2}"/>
    <cellStyle name="Style 75 3 14 2" xfId="31357" xr:uid="{4F6533FA-9F04-44CB-A8B1-B3E0AA76143B}"/>
    <cellStyle name="Style 75 3 15" xfId="12502" xr:uid="{7AFDB276-60B5-4007-8CE6-96C3557AC7F6}"/>
    <cellStyle name="Style 75 3 15 2" xfId="31358" xr:uid="{5B7F8BA1-64C8-4B47-BEB2-7AB900FBB15E}"/>
    <cellStyle name="Style 75 3 2" xfId="3357" xr:uid="{BB653F5F-FB99-437B-9B35-0EF6D0770A6D}"/>
    <cellStyle name="Style 75 3 2 10" xfId="12503" xr:uid="{BB326903-0E16-494E-94F2-B1DA85AC8C6B}"/>
    <cellStyle name="Style 75 3 2 10 2" xfId="31359" xr:uid="{5330B284-44D9-4C14-8D9F-9C72956D88B4}"/>
    <cellStyle name="Style 75 3 2 11" xfId="12504" xr:uid="{24FF87B1-7F3C-4405-BA6F-FBBE9FCE9B52}"/>
    <cellStyle name="Style 75 3 2 11 2" xfId="31360" xr:uid="{91CC53C1-9F4C-42BD-87A7-8D9E0C979EF1}"/>
    <cellStyle name="Style 75 3 2 12" xfId="12505" xr:uid="{38719C9F-6143-4CC4-B286-043FFBCF6D85}"/>
    <cellStyle name="Style 75 3 2 12 2" xfId="31361" xr:uid="{AB49A6D7-51E2-4368-8FA1-5B8D965874C4}"/>
    <cellStyle name="Style 75 3 2 13" xfId="12506" xr:uid="{DE00FFA5-E059-4CFC-984E-AE01AAE6CC59}"/>
    <cellStyle name="Style 75 3 2 13 2" xfId="31362" xr:uid="{AF43E2E4-18F6-4BF4-9F51-A1F5B97515CC}"/>
    <cellStyle name="Style 75 3 2 14" xfId="12507" xr:uid="{B46F673C-CA1C-458A-BB62-694EC1D9F0E3}"/>
    <cellStyle name="Style 75 3 2 14 2" xfId="31363" xr:uid="{45E43D13-7001-4D49-88A3-C005D875C336}"/>
    <cellStyle name="Style 75 3 2 2" xfId="3358" xr:uid="{C5B780FE-0265-48EA-AC2C-12DA9BDFA21F}"/>
    <cellStyle name="Style 75 3 2 2 10" xfId="12508" xr:uid="{DF0723DD-6795-4F6B-9ECF-B728E08F4FF2}"/>
    <cellStyle name="Style 75 3 2 2 10 2" xfId="31364" xr:uid="{B0E7F53D-D9E6-4A10-8439-71CFDBB96123}"/>
    <cellStyle name="Style 75 3 2 2 11" xfId="12509" xr:uid="{C2AE5E54-FF40-4327-876B-00DC999A6B72}"/>
    <cellStyle name="Style 75 3 2 2 11 2" xfId="31365" xr:uid="{62B409E2-D6DD-483D-8378-8721AD411923}"/>
    <cellStyle name="Style 75 3 2 2 12" xfId="12510" xr:uid="{CB088130-9E96-4A1A-9D56-80DD23BD3490}"/>
    <cellStyle name="Style 75 3 2 2 12 2" xfId="31366" xr:uid="{283A0396-B166-4979-9644-5CD9E441BA97}"/>
    <cellStyle name="Style 75 3 2 2 13" xfId="12511" xr:uid="{A00C6CCE-46D7-46A5-8973-339BB9088472}"/>
    <cellStyle name="Style 75 3 2 2 13 2" xfId="31367" xr:uid="{694E1033-0165-4F3E-8566-32A7D01EB058}"/>
    <cellStyle name="Style 75 3 2 2 2" xfId="3359" xr:uid="{AD6B9677-3E96-4F8C-9C2A-1AA516FFB8EB}"/>
    <cellStyle name="Style 75 3 2 2 2 10" xfId="12512" xr:uid="{691069A5-74A9-462F-A7B1-3A7E8DAF425B}"/>
    <cellStyle name="Style 75 3 2 2 2 10 2" xfId="31368" xr:uid="{ECDECA5E-8F5B-40FA-88D0-9569E9E11E13}"/>
    <cellStyle name="Style 75 3 2 2 2 11" xfId="12513" xr:uid="{526CE6DA-F3F8-479F-BD48-2E29B2EAC488}"/>
    <cellStyle name="Style 75 3 2 2 2 11 2" xfId="31369" xr:uid="{EF7A1C7D-7817-4A15-9AFC-FB7C01814E04}"/>
    <cellStyle name="Style 75 3 2 2 2 12" xfId="12514" xr:uid="{B086A220-7DB0-465F-BEB1-736A77634748}"/>
    <cellStyle name="Style 75 3 2 2 2 12 2" xfId="31370" xr:uid="{BF1F2E08-0940-416B-A6EB-436F30A4986C}"/>
    <cellStyle name="Style 75 3 2 2 2 2" xfId="3360" xr:uid="{E44397DC-A1CD-438F-BCDE-19DE2BC69F40}"/>
    <cellStyle name="Style 75 3 2 2 2 2 10" xfId="12515" xr:uid="{581C0B15-3B79-4417-831C-EE290204C534}"/>
    <cellStyle name="Style 75 3 2 2 2 2 10 2" xfId="31371" xr:uid="{8CAF4B75-8548-4257-8F80-B2CD36FCF5E1}"/>
    <cellStyle name="Style 75 3 2 2 2 2 2" xfId="6784" xr:uid="{D13C4128-4CC5-4157-9C36-BA357709BFF5}"/>
    <cellStyle name="Style 75 3 2 2 2 2 2 2" xfId="12516" xr:uid="{6240799E-DACE-4B3D-8CC7-3AE66D371D8D}"/>
    <cellStyle name="Style 75 3 2 2 2 2 2 2 2" xfId="31372" xr:uid="{79AA7405-3865-4256-8476-D3683ABA300A}"/>
    <cellStyle name="Style 75 3 2 2 2 2 3" xfId="12517" xr:uid="{BC9E9E52-0769-4BFB-8B76-B8CABEEADE1C}"/>
    <cellStyle name="Style 75 3 2 2 2 2 3 2" xfId="12518" xr:uid="{0B298CD1-F6AB-4E58-BEF8-D1CC86724ED2}"/>
    <cellStyle name="Style 75 3 2 2 2 2 3 2 2" xfId="31373" xr:uid="{649C64E3-D048-49B5-89F3-D0BC7A05BEC4}"/>
    <cellStyle name="Style 75 3 2 2 2 2 4" xfId="12519" xr:uid="{2FF62919-FDB4-46BE-8D9E-D30FE071013D}"/>
    <cellStyle name="Style 75 3 2 2 2 2 4 2" xfId="31374" xr:uid="{59639A2E-D5C9-4DB5-90C1-FAA5F8C8928E}"/>
    <cellStyle name="Style 75 3 2 2 2 2 5" xfId="12520" xr:uid="{BECC2249-9CB6-4E74-BDBE-07C11CFCEF6C}"/>
    <cellStyle name="Style 75 3 2 2 2 2 5 2" xfId="31375" xr:uid="{CAC945D5-1E48-49DD-9831-B1AC47128A20}"/>
    <cellStyle name="Style 75 3 2 2 2 2 6" xfId="12521" xr:uid="{18BA371C-CCCC-4966-9C10-CC7950120A88}"/>
    <cellStyle name="Style 75 3 2 2 2 2 6 2" xfId="31376" xr:uid="{F8C07E7F-BBB0-4107-8520-9850CEFA8C47}"/>
    <cellStyle name="Style 75 3 2 2 2 2 7" xfId="12522" xr:uid="{64A888B7-13AA-450D-8003-E2F3D902A776}"/>
    <cellStyle name="Style 75 3 2 2 2 2 7 2" xfId="31377" xr:uid="{5CC7768B-A8E7-4E5C-8070-BCEAB00A0E5F}"/>
    <cellStyle name="Style 75 3 2 2 2 2 8" xfId="12523" xr:uid="{3BE0B1F9-3F2C-46FC-986B-A5EFF53314E4}"/>
    <cellStyle name="Style 75 3 2 2 2 2 8 2" xfId="31378" xr:uid="{6BFEEB52-E36D-45C6-B8AC-7AA48E250266}"/>
    <cellStyle name="Style 75 3 2 2 2 2 9" xfId="12524" xr:uid="{41D69F7E-4E9A-4BC2-8F57-400713D57656}"/>
    <cellStyle name="Style 75 3 2 2 2 2 9 2" xfId="31379" xr:uid="{7B4D2E7D-8AA5-4B05-908C-B52ED40B1D29}"/>
    <cellStyle name="Style 75 3 2 2 2 3" xfId="6783" xr:uid="{37D02473-7A35-4057-9C8E-B9213607C609}"/>
    <cellStyle name="Style 75 3 2 2 2 3 2" xfId="12525" xr:uid="{D6D3ACEC-5161-48DA-ABA5-1B8A106DFC8D}"/>
    <cellStyle name="Style 75 3 2 2 2 3 2 2" xfId="31380" xr:uid="{B4F208D1-158A-42D7-91C8-B87E6102D8DD}"/>
    <cellStyle name="Style 75 3 2 2 2 4" xfId="12526" xr:uid="{F06E1A47-3F7B-44D8-A802-23C1702D381E}"/>
    <cellStyle name="Style 75 3 2 2 2 4 2" xfId="12527" xr:uid="{C48D0517-76C7-4B8C-A399-F478C7382B4B}"/>
    <cellStyle name="Style 75 3 2 2 2 4 2 2" xfId="31381" xr:uid="{BC960B86-FE46-4FCB-86C4-81F3D27DA1C6}"/>
    <cellStyle name="Style 75 3 2 2 2 5" xfId="12528" xr:uid="{2A893995-051F-489A-8567-5B8615F13549}"/>
    <cellStyle name="Style 75 3 2 2 2 5 2" xfId="31382" xr:uid="{E3A90E5A-360E-40A9-9CDD-F69263B9DB7F}"/>
    <cellStyle name="Style 75 3 2 2 2 6" xfId="12529" xr:uid="{82D7630F-3406-4CE0-8221-E2C180F89F75}"/>
    <cellStyle name="Style 75 3 2 2 2 6 2" xfId="31383" xr:uid="{53164771-F2E6-4AEA-BE27-475991CCAA93}"/>
    <cellStyle name="Style 75 3 2 2 2 7" xfId="12530" xr:uid="{9EB8B82F-2294-4189-8C18-108CFADA76C5}"/>
    <cellStyle name="Style 75 3 2 2 2 7 2" xfId="31384" xr:uid="{C97BB583-6395-4859-95B5-68E9FA8A27C5}"/>
    <cellStyle name="Style 75 3 2 2 2 8" xfId="12531" xr:uid="{DBB1B0B7-AE5C-471E-B601-12D1C9703622}"/>
    <cellStyle name="Style 75 3 2 2 2 8 2" xfId="31385" xr:uid="{FA5E4D8D-E706-46D7-8D7B-3D5875C0B4F2}"/>
    <cellStyle name="Style 75 3 2 2 2 9" xfId="12532" xr:uid="{C4DFD18C-BB5F-4AE9-AEFE-49B10DD1CB3E}"/>
    <cellStyle name="Style 75 3 2 2 2 9 2" xfId="31386" xr:uid="{0FE3F5D1-590E-4A6B-8D45-75F5E6869580}"/>
    <cellStyle name="Style 75 3 2 2 3" xfId="3361" xr:uid="{17D66302-D7D1-4664-960C-663515746E79}"/>
    <cellStyle name="Style 75 3 2 2 3 10" xfId="12533" xr:uid="{92485DED-1812-4D53-B7E1-4F69200A4DC2}"/>
    <cellStyle name="Style 75 3 2 2 3 10 2" xfId="31387" xr:uid="{F0E81505-EEB6-44D5-AC61-EE48DCB17F7D}"/>
    <cellStyle name="Style 75 3 2 2 3 2" xfId="6785" xr:uid="{7F5A527F-42B7-4D65-BFF0-DB6D7CC65C3C}"/>
    <cellStyle name="Style 75 3 2 2 3 2 2" xfId="12534" xr:uid="{51787FD8-6A91-4905-A21D-0565D8196AD5}"/>
    <cellStyle name="Style 75 3 2 2 3 2 2 2" xfId="31388" xr:uid="{951DC7A3-372F-4A50-A009-92508F4198D3}"/>
    <cellStyle name="Style 75 3 2 2 3 3" xfId="12535" xr:uid="{7CE297D1-ACA7-43FC-B2FB-ED0F13441A0D}"/>
    <cellStyle name="Style 75 3 2 2 3 3 2" xfId="12536" xr:uid="{4E45FC2D-4B34-4E79-BF12-1A243E815E31}"/>
    <cellStyle name="Style 75 3 2 2 3 3 2 2" xfId="31389" xr:uid="{5A2A0EA6-3BD0-4380-961F-C9369900ADCF}"/>
    <cellStyle name="Style 75 3 2 2 3 4" xfId="12537" xr:uid="{ED7BFCB0-DBFC-42F6-8C62-EBA11E8D5D24}"/>
    <cellStyle name="Style 75 3 2 2 3 4 2" xfId="31390" xr:uid="{85A70C89-08A0-4B99-B358-AA1C7B2845CE}"/>
    <cellStyle name="Style 75 3 2 2 3 5" xfId="12538" xr:uid="{592A5537-293E-4752-8D28-7A6C0BC49765}"/>
    <cellStyle name="Style 75 3 2 2 3 5 2" xfId="31391" xr:uid="{CAADAAA0-D835-4649-A350-B77828EE9418}"/>
    <cellStyle name="Style 75 3 2 2 3 6" xfId="12539" xr:uid="{1E4B9FBF-19A8-4D57-9012-C6132A80BB12}"/>
    <cellStyle name="Style 75 3 2 2 3 6 2" xfId="31392" xr:uid="{08AB0938-8D36-4BDE-B26F-BA039393E8AE}"/>
    <cellStyle name="Style 75 3 2 2 3 7" xfId="12540" xr:uid="{A0FB044F-CBFB-4703-881E-59F31B8F245C}"/>
    <cellStyle name="Style 75 3 2 2 3 7 2" xfId="31393" xr:uid="{49C53EC2-96CA-4835-A388-417C5DDFC9F8}"/>
    <cellStyle name="Style 75 3 2 2 3 8" xfId="12541" xr:uid="{61005BBD-6214-4AE7-ACF8-7FF498048E1F}"/>
    <cellStyle name="Style 75 3 2 2 3 8 2" xfId="31394" xr:uid="{465C0656-DC73-42DB-991E-AFB285CF066F}"/>
    <cellStyle name="Style 75 3 2 2 3 9" xfId="12542" xr:uid="{370A0C30-6C8F-4191-B013-768F629B6AD7}"/>
    <cellStyle name="Style 75 3 2 2 3 9 2" xfId="31395" xr:uid="{E5B2C11A-B21A-4E83-8857-CA45BF5B7258}"/>
    <cellStyle name="Style 75 3 2 2 4" xfId="6782" xr:uid="{547D6C91-8B58-4F29-A382-BD6490EF70B9}"/>
    <cellStyle name="Style 75 3 2 2 4 2" xfId="12543" xr:uid="{798243E7-0863-4671-A9D4-FC9AC4B0FB40}"/>
    <cellStyle name="Style 75 3 2 2 4 2 2" xfId="31396" xr:uid="{C2089DFC-1962-4E11-8A85-20398067443D}"/>
    <cellStyle name="Style 75 3 2 2 5" xfId="12544" xr:uid="{6AA1054B-5478-46D9-AF9B-B7DE294D2CDC}"/>
    <cellStyle name="Style 75 3 2 2 5 2" xfId="12545" xr:uid="{5EC2DA01-8604-4BE0-BC15-5620375BB25C}"/>
    <cellStyle name="Style 75 3 2 2 5 2 2" xfId="31397" xr:uid="{B2FCC15B-4506-4EFA-BC56-315F923A92B6}"/>
    <cellStyle name="Style 75 3 2 2 6" xfId="12546" xr:uid="{28453ED8-70B3-4F6F-AA34-6F0B2FFAFCD7}"/>
    <cellStyle name="Style 75 3 2 2 6 2" xfId="31398" xr:uid="{50D24F4F-9348-45AF-9F88-DA407581176E}"/>
    <cellStyle name="Style 75 3 2 2 7" xfId="12547" xr:uid="{8752BB9F-73D6-405B-99DD-7B7B87533FF7}"/>
    <cellStyle name="Style 75 3 2 2 7 2" xfId="31399" xr:uid="{D38AECEB-21B1-49F3-BB2B-1DCA5B0FE0C7}"/>
    <cellStyle name="Style 75 3 2 2 8" xfId="12548" xr:uid="{D0D60CFF-7887-4618-AF14-623C02DF23DD}"/>
    <cellStyle name="Style 75 3 2 2 8 2" xfId="31400" xr:uid="{192A741F-A64B-43A5-8742-87118593E71E}"/>
    <cellStyle name="Style 75 3 2 2 9" xfId="12549" xr:uid="{AF5063DB-32E8-41F6-9C3A-501F70E65FBF}"/>
    <cellStyle name="Style 75 3 2 2 9 2" xfId="31401" xr:uid="{A2913CD3-0838-4B7C-A629-FD0693F0AA91}"/>
    <cellStyle name="Style 75 3 2 3" xfId="3362" xr:uid="{F2008419-1CD1-4E75-94EC-B6BBE47CE40F}"/>
    <cellStyle name="Style 75 3 2 3 10" xfId="12550" xr:uid="{AE81B576-B882-427C-98D9-905FAA1A0D93}"/>
    <cellStyle name="Style 75 3 2 3 10 2" xfId="31402" xr:uid="{67DC3DC6-BB1C-4A96-BEDC-BE6AE088A7A9}"/>
    <cellStyle name="Style 75 3 2 3 11" xfId="12551" xr:uid="{C23725D2-73C7-4B35-B1D6-31678FE170CD}"/>
    <cellStyle name="Style 75 3 2 3 11 2" xfId="31403" xr:uid="{977EC604-1B62-4757-864D-9FA1E9254BB2}"/>
    <cellStyle name="Style 75 3 2 3 12" xfId="12552" xr:uid="{0C41D97F-C619-4A60-814F-653C69D71996}"/>
    <cellStyle name="Style 75 3 2 3 12 2" xfId="31404" xr:uid="{9DF5B4D1-991F-43CC-B70D-309C472DC8C5}"/>
    <cellStyle name="Style 75 3 2 3 2" xfId="3363" xr:uid="{5726C146-A245-409E-AFEB-8886B6ACA4FE}"/>
    <cellStyle name="Style 75 3 2 3 2 10" xfId="12553" xr:uid="{E97EAED2-F6DA-4C46-BC61-985F88FF36D8}"/>
    <cellStyle name="Style 75 3 2 3 2 10 2" xfId="31405" xr:uid="{7803BBAB-509E-4F17-B504-A07570B3BB37}"/>
    <cellStyle name="Style 75 3 2 3 2 2" xfId="6787" xr:uid="{D9A973B9-6C5F-4CBB-A46D-3937BFF2A10B}"/>
    <cellStyle name="Style 75 3 2 3 2 2 2" xfId="12554" xr:uid="{EDC18960-6FE8-4431-A37A-D6C0A6A2F9A4}"/>
    <cellStyle name="Style 75 3 2 3 2 2 2 2" xfId="31406" xr:uid="{2BCBD485-31F7-4A16-B3C5-4A95B346270A}"/>
    <cellStyle name="Style 75 3 2 3 2 3" xfId="12555" xr:uid="{73EBAD46-22B1-40E0-8975-13D097CD0FA7}"/>
    <cellStyle name="Style 75 3 2 3 2 3 2" xfId="12556" xr:uid="{E937C24A-ECB9-43A0-85F6-26BF41793BF5}"/>
    <cellStyle name="Style 75 3 2 3 2 3 2 2" xfId="31407" xr:uid="{C46EFB4F-FF30-4E78-8541-56BD4BA6A8C7}"/>
    <cellStyle name="Style 75 3 2 3 2 4" xfId="12557" xr:uid="{98C2A7EA-CEB2-451B-B776-DA770EB6EA08}"/>
    <cellStyle name="Style 75 3 2 3 2 4 2" xfId="31408" xr:uid="{DC004582-6943-4AC8-A983-A050EE27E707}"/>
    <cellStyle name="Style 75 3 2 3 2 5" xfId="12558" xr:uid="{85601E6F-A08A-4303-B92C-C616F58E0BCC}"/>
    <cellStyle name="Style 75 3 2 3 2 5 2" xfId="31409" xr:uid="{83774E41-2245-4C81-AA06-BD21A73604EA}"/>
    <cellStyle name="Style 75 3 2 3 2 6" xfId="12559" xr:uid="{2E203FF8-7711-4057-91DA-F056E8D3C0B4}"/>
    <cellStyle name="Style 75 3 2 3 2 6 2" xfId="31410" xr:uid="{2E10C78C-B267-482C-A5A8-94051A82EA48}"/>
    <cellStyle name="Style 75 3 2 3 2 7" xfId="12560" xr:uid="{997B2CDB-B690-4DD8-AE30-023A7EBD336F}"/>
    <cellStyle name="Style 75 3 2 3 2 7 2" xfId="31411" xr:uid="{6548892A-E306-4D34-A7A8-CACDAF6CEDFA}"/>
    <cellStyle name="Style 75 3 2 3 2 8" xfId="12561" xr:uid="{579DD937-B2B3-4831-AE2D-DD2081A03B91}"/>
    <cellStyle name="Style 75 3 2 3 2 8 2" xfId="31412" xr:uid="{3AA39758-9F47-4FDA-9E86-724DF599D661}"/>
    <cellStyle name="Style 75 3 2 3 2 9" xfId="12562" xr:uid="{B188F428-9EA0-42D6-B921-D260E8AC7256}"/>
    <cellStyle name="Style 75 3 2 3 2 9 2" xfId="31413" xr:uid="{7BB1DEAC-8381-4F87-9BE2-807E8E625C32}"/>
    <cellStyle name="Style 75 3 2 3 3" xfId="6786" xr:uid="{7B23EEE6-750C-4695-9287-CE3AA5C897C0}"/>
    <cellStyle name="Style 75 3 2 3 3 2" xfId="12563" xr:uid="{EB9D5EBF-A370-48DD-B7CC-64BAC6F99CA8}"/>
    <cellStyle name="Style 75 3 2 3 3 2 2" xfId="31414" xr:uid="{3DECC318-50D5-4B49-AF4A-265FF0A50878}"/>
    <cellStyle name="Style 75 3 2 3 4" xfId="12564" xr:uid="{C34E5CD3-4FCE-40AC-898B-C95F393A9464}"/>
    <cellStyle name="Style 75 3 2 3 4 2" xfId="12565" xr:uid="{B2830C24-C8D3-4CF1-B048-DF3699DF94B4}"/>
    <cellStyle name="Style 75 3 2 3 4 2 2" xfId="31415" xr:uid="{3153451D-60B6-4E5C-9D1F-C1B5B6206E2A}"/>
    <cellStyle name="Style 75 3 2 3 5" xfId="12566" xr:uid="{924E4980-06D0-47CE-AF60-2ABC8565D671}"/>
    <cellStyle name="Style 75 3 2 3 5 2" xfId="31416" xr:uid="{99063CD9-01F7-439B-9F43-63F14E1A3956}"/>
    <cellStyle name="Style 75 3 2 3 6" xfId="12567" xr:uid="{558A5354-7FB0-474D-8FF1-6E45228FF62B}"/>
    <cellStyle name="Style 75 3 2 3 6 2" xfId="31417" xr:uid="{E90C9985-6496-49C5-9E94-9FD46C9587B6}"/>
    <cellStyle name="Style 75 3 2 3 7" xfId="12568" xr:uid="{2CFD352A-7E2E-417E-8E38-59DD32B29A62}"/>
    <cellStyle name="Style 75 3 2 3 7 2" xfId="31418" xr:uid="{76C806BF-F7A1-4A8E-A839-62BEB000DA1E}"/>
    <cellStyle name="Style 75 3 2 3 8" xfId="12569" xr:uid="{4ACCA36B-0D5C-4428-A516-D6A6FE05AB72}"/>
    <cellStyle name="Style 75 3 2 3 8 2" xfId="31419" xr:uid="{D2D969AE-4499-4FF5-B13E-B1140562F0B8}"/>
    <cellStyle name="Style 75 3 2 3 9" xfId="12570" xr:uid="{146A5953-9258-4E28-9B2A-4E066581E2C0}"/>
    <cellStyle name="Style 75 3 2 3 9 2" xfId="31420" xr:uid="{9200DC57-8B69-4B78-BC0F-CBC4F10775A9}"/>
    <cellStyle name="Style 75 3 2 4" xfId="3364" xr:uid="{CA81D3B7-D935-4583-AE92-1AFEC19765AF}"/>
    <cellStyle name="Style 75 3 2 4 10" xfId="12571" xr:uid="{7E902B56-C8EB-4D3E-A70B-7938C365BC97}"/>
    <cellStyle name="Style 75 3 2 4 10 2" xfId="31421" xr:uid="{9622DC39-F9CF-4359-8C9D-12B72CCBB3EA}"/>
    <cellStyle name="Style 75 3 2 4 2" xfId="6788" xr:uid="{10B216EB-7ADA-4A83-91AA-F3B2C5198702}"/>
    <cellStyle name="Style 75 3 2 4 2 2" xfId="12572" xr:uid="{6640763B-A4A0-4C8E-BE07-A0199C53DAB2}"/>
    <cellStyle name="Style 75 3 2 4 2 2 2" xfId="31422" xr:uid="{DD315612-A82B-4D30-9C69-B694E814AF87}"/>
    <cellStyle name="Style 75 3 2 4 3" xfId="12573" xr:uid="{9C09A34E-6C5A-4E5C-9B77-730A0C6FC5FD}"/>
    <cellStyle name="Style 75 3 2 4 3 2" xfId="12574" xr:uid="{274A9168-C282-4C63-A1BB-408D20F38D69}"/>
    <cellStyle name="Style 75 3 2 4 3 2 2" xfId="31423" xr:uid="{CB41D7FE-B867-49F8-9159-DABAB8E72EDD}"/>
    <cellStyle name="Style 75 3 2 4 4" xfId="12575" xr:uid="{42E95C8B-4A2B-49F8-830B-7CD0A2DAE909}"/>
    <cellStyle name="Style 75 3 2 4 4 2" xfId="31424" xr:uid="{4E677BFB-39B4-4A23-B982-99B362EDAFF2}"/>
    <cellStyle name="Style 75 3 2 4 5" xfId="12576" xr:uid="{2EC5A2B1-9E20-40EE-9677-9ACA8E084842}"/>
    <cellStyle name="Style 75 3 2 4 5 2" xfId="31425" xr:uid="{724180F5-3576-4BC1-8783-00F2CD3D8C35}"/>
    <cellStyle name="Style 75 3 2 4 6" xfId="12577" xr:uid="{1F03D0DC-9B95-4054-AF12-05D198D47754}"/>
    <cellStyle name="Style 75 3 2 4 6 2" xfId="31426" xr:uid="{F2FFCD9F-2A4D-416C-9851-F3403EA73951}"/>
    <cellStyle name="Style 75 3 2 4 7" xfId="12578" xr:uid="{A182A382-14DF-4B39-A5DC-9EC6448E0E47}"/>
    <cellStyle name="Style 75 3 2 4 7 2" xfId="31427" xr:uid="{0CE9AB20-CB0C-4396-976E-36DDAB21CF0C}"/>
    <cellStyle name="Style 75 3 2 4 8" xfId="12579" xr:uid="{00887CF5-08FE-4574-9400-21ED15F16BCB}"/>
    <cellStyle name="Style 75 3 2 4 8 2" xfId="31428" xr:uid="{F5EC24B3-AB27-4991-ABC6-CA9773C487C9}"/>
    <cellStyle name="Style 75 3 2 4 9" xfId="12580" xr:uid="{429DA1DF-7A3E-4263-8BD0-133F266D787F}"/>
    <cellStyle name="Style 75 3 2 4 9 2" xfId="31429" xr:uid="{B2DC6412-F90B-4422-AFB7-07466BAFEB5D}"/>
    <cellStyle name="Style 75 3 2 5" xfId="6781" xr:uid="{0AD027E5-666F-4529-8943-F294F3662468}"/>
    <cellStyle name="Style 75 3 2 5 2" xfId="12581" xr:uid="{50874C3F-E255-44D2-92C6-E037F12DCE11}"/>
    <cellStyle name="Style 75 3 2 5 2 2" xfId="31430" xr:uid="{E9C45003-AA1E-4DDC-A536-AF9F0B15C2B1}"/>
    <cellStyle name="Style 75 3 2 6" xfId="12582" xr:uid="{20C46075-F8FC-4039-913D-A1999476AF97}"/>
    <cellStyle name="Style 75 3 2 6 2" xfId="12583" xr:uid="{7F9663C3-1F36-470F-B0E5-ED230BF9880C}"/>
    <cellStyle name="Style 75 3 2 6 2 2" xfId="31431" xr:uid="{FB37916B-5DDC-4041-A6C4-F8F5EE4A259D}"/>
    <cellStyle name="Style 75 3 2 7" xfId="12584" xr:uid="{12D6D98F-734B-4D8A-A123-FED5B67721C2}"/>
    <cellStyle name="Style 75 3 2 7 2" xfId="31432" xr:uid="{5CE86B80-92E4-4068-AFDA-94D09D6A1B56}"/>
    <cellStyle name="Style 75 3 2 8" xfId="12585" xr:uid="{155481E6-D959-4679-9EE5-3B206E20225D}"/>
    <cellStyle name="Style 75 3 2 8 2" xfId="31433" xr:uid="{F32EFDB9-C22D-4236-8E44-EB037C025771}"/>
    <cellStyle name="Style 75 3 2 9" xfId="12586" xr:uid="{72B748C3-74A8-4FA4-815F-8A070A11E13A}"/>
    <cellStyle name="Style 75 3 2 9 2" xfId="31434" xr:uid="{F9972151-3489-4D21-B0DA-E11936B1C3D5}"/>
    <cellStyle name="Style 75 3 3" xfId="3365" xr:uid="{DD7F81B2-6A96-4C3D-A898-450D5753E97E}"/>
    <cellStyle name="Style 75 3 3 10" xfId="12587" xr:uid="{7F09DD74-53E0-47F6-8FC5-C1A1F3572805}"/>
    <cellStyle name="Style 75 3 3 10 2" xfId="31435" xr:uid="{B55BCBC8-9BFE-41CA-A916-A0729428DC4F}"/>
    <cellStyle name="Style 75 3 3 11" xfId="12588" xr:uid="{C96C4532-AF9E-434D-92D7-BEB2018467EC}"/>
    <cellStyle name="Style 75 3 3 11 2" xfId="31436" xr:uid="{2051D908-C64A-4A75-885C-89E1CD593E3F}"/>
    <cellStyle name="Style 75 3 3 12" xfId="12589" xr:uid="{E4CB782C-AFF2-4AC9-AB04-A976AEE2D32A}"/>
    <cellStyle name="Style 75 3 3 12 2" xfId="31437" xr:uid="{67D0C588-A655-46F9-A186-3572AB6A93A3}"/>
    <cellStyle name="Style 75 3 3 13" xfId="12590" xr:uid="{07E075F4-87F2-4F81-97B8-A700DFAAAE3C}"/>
    <cellStyle name="Style 75 3 3 13 2" xfId="31438" xr:uid="{2BB84B62-ED2D-436D-BEA6-52C6BA924091}"/>
    <cellStyle name="Style 75 3 3 2" xfId="3366" xr:uid="{E2CF9614-FA96-4BDE-A228-22C9238B6FA4}"/>
    <cellStyle name="Style 75 3 3 2 10" xfId="12591" xr:uid="{688169C1-7D61-4A78-916B-5B44C21375F7}"/>
    <cellStyle name="Style 75 3 3 2 10 2" xfId="31439" xr:uid="{65B9B641-C45E-424F-99A1-C285AABBF6A5}"/>
    <cellStyle name="Style 75 3 3 2 11" xfId="12592" xr:uid="{D7D85C07-7DED-4874-9CC9-4BEFC79E7010}"/>
    <cellStyle name="Style 75 3 3 2 11 2" xfId="31440" xr:uid="{BBF6786F-87F0-4590-8007-1AF2ADCCCBBD}"/>
    <cellStyle name="Style 75 3 3 2 12" xfId="12593" xr:uid="{08FC418D-44E4-4C46-A6D8-B5877CC90B30}"/>
    <cellStyle name="Style 75 3 3 2 12 2" xfId="31441" xr:uid="{D91C7C8D-87FC-4EBD-AF1A-408929A75671}"/>
    <cellStyle name="Style 75 3 3 2 13" xfId="12594" xr:uid="{F31E8AF9-E2C6-4785-9DCD-E75C6A1A8BD4}"/>
    <cellStyle name="Style 75 3 3 2 13 2" xfId="31442" xr:uid="{81003057-7D65-4638-8389-BD8653E09BF0}"/>
    <cellStyle name="Style 75 3 3 2 2" xfId="3367" xr:uid="{FBC0588C-CC6F-4F38-B8E4-2FB905BCDA56}"/>
    <cellStyle name="Style 75 3 3 2 2 10" xfId="12595" xr:uid="{84112A0B-44E7-4B16-A149-3A53171BAE90}"/>
    <cellStyle name="Style 75 3 3 2 2 10 2" xfId="31443" xr:uid="{25F9021D-5D25-4EF9-AD84-A6A3066F8C91}"/>
    <cellStyle name="Style 75 3 3 2 2 11" xfId="12596" xr:uid="{DEFD6504-DE27-4460-B452-146B2652A2CA}"/>
    <cellStyle name="Style 75 3 3 2 2 11 2" xfId="31444" xr:uid="{E90923CD-3E70-4E2F-A410-A02C14E03FEC}"/>
    <cellStyle name="Style 75 3 3 2 2 12" xfId="12597" xr:uid="{08449EFD-8E9D-4C63-959C-5AA4F349C246}"/>
    <cellStyle name="Style 75 3 3 2 2 12 2" xfId="31445" xr:uid="{EF5E4954-8918-4325-9D1B-45F56387B620}"/>
    <cellStyle name="Style 75 3 3 2 2 2" xfId="3368" xr:uid="{A9ABFDAB-6FEE-429E-99BD-AC740D70A581}"/>
    <cellStyle name="Style 75 3 3 2 2 2 10" xfId="12598" xr:uid="{C2D9C4AC-6806-4001-87C2-DB573E17C772}"/>
    <cellStyle name="Style 75 3 3 2 2 2 10 2" xfId="31446" xr:uid="{91D5C9B0-695E-4C61-AE78-6DEF3744D4CD}"/>
    <cellStyle name="Style 75 3 3 2 2 2 2" xfId="6792" xr:uid="{FE83735A-55DD-4259-9183-AE44751979FF}"/>
    <cellStyle name="Style 75 3 3 2 2 2 2 2" xfId="12599" xr:uid="{A922A738-6AFE-46B6-9433-CDB9D4DEECE1}"/>
    <cellStyle name="Style 75 3 3 2 2 2 2 2 2" xfId="31447" xr:uid="{C2513A1A-B645-4DF3-89FE-6D4A6CC02590}"/>
    <cellStyle name="Style 75 3 3 2 2 2 3" xfId="12600" xr:uid="{28DE5048-5EC4-4AB9-9E5B-A411A3722C88}"/>
    <cellStyle name="Style 75 3 3 2 2 2 3 2" xfId="12601" xr:uid="{2783D7B4-BC31-472F-9D89-E780289D6B82}"/>
    <cellStyle name="Style 75 3 3 2 2 2 3 2 2" xfId="31448" xr:uid="{3CAA529D-F80B-42E6-95B4-CAC2BC874123}"/>
    <cellStyle name="Style 75 3 3 2 2 2 4" xfId="12602" xr:uid="{5E71139D-0552-42FD-9E09-2F10920B5ADB}"/>
    <cellStyle name="Style 75 3 3 2 2 2 4 2" xfId="31449" xr:uid="{C7B755B2-78F7-4586-8602-AB3DD8135156}"/>
    <cellStyle name="Style 75 3 3 2 2 2 5" xfId="12603" xr:uid="{62934686-C7C5-4F43-BE52-D265C3A45B9C}"/>
    <cellStyle name="Style 75 3 3 2 2 2 5 2" xfId="31450" xr:uid="{4C7BD5C7-4DF8-48D2-9888-EFE93B5F9A2C}"/>
    <cellStyle name="Style 75 3 3 2 2 2 6" xfId="12604" xr:uid="{09622311-005C-4126-A33B-7498A4C9DB74}"/>
    <cellStyle name="Style 75 3 3 2 2 2 6 2" xfId="31451" xr:uid="{4F1A9ED4-B1AF-4915-B952-622AB5216EE9}"/>
    <cellStyle name="Style 75 3 3 2 2 2 7" xfId="12605" xr:uid="{E6477569-2D66-4271-92E9-252702FB1D82}"/>
    <cellStyle name="Style 75 3 3 2 2 2 7 2" xfId="31452" xr:uid="{6EB61E86-E11B-4542-9061-E026D994222D}"/>
    <cellStyle name="Style 75 3 3 2 2 2 8" xfId="12606" xr:uid="{83BE5741-47B5-40AB-AA88-B8A6C8FDCE95}"/>
    <cellStyle name="Style 75 3 3 2 2 2 8 2" xfId="31453" xr:uid="{5C469FEC-4D61-4B50-80D8-C09FF15DC618}"/>
    <cellStyle name="Style 75 3 3 2 2 2 9" xfId="12607" xr:uid="{88AE8E44-B922-43D6-B79A-1D3E79FC0CA1}"/>
    <cellStyle name="Style 75 3 3 2 2 2 9 2" xfId="31454" xr:uid="{465AF7DA-4B1C-4AC5-B79F-958E83912F44}"/>
    <cellStyle name="Style 75 3 3 2 2 3" xfId="6791" xr:uid="{BA979FCF-288A-4045-B0BA-3C0EAF7407CD}"/>
    <cellStyle name="Style 75 3 3 2 2 3 2" xfId="12608" xr:uid="{0D7132A4-C930-4752-9864-A5EB0097A6D7}"/>
    <cellStyle name="Style 75 3 3 2 2 3 2 2" xfId="31455" xr:uid="{48000AAB-4529-45BF-8FC5-320C795A40CE}"/>
    <cellStyle name="Style 75 3 3 2 2 4" xfId="12609" xr:uid="{DF6926C1-209E-428C-B6C5-E275DE2B79B7}"/>
    <cellStyle name="Style 75 3 3 2 2 4 2" xfId="12610" xr:uid="{EE9F57DA-3635-4AB7-A600-BCB019FD33A4}"/>
    <cellStyle name="Style 75 3 3 2 2 4 2 2" xfId="31456" xr:uid="{97C27CA6-0B5D-4948-A3F2-0A95A61B99DF}"/>
    <cellStyle name="Style 75 3 3 2 2 5" xfId="12611" xr:uid="{2B6EE8EE-BDC2-40CF-8B5D-7735F0517F15}"/>
    <cellStyle name="Style 75 3 3 2 2 5 2" xfId="31457" xr:uid="{BBE96799-B3B7-4CB7-B295-695ACC344135}"/>
    <cellStyle name="Style 75 3 3 2 2 6" xfId="12612" xr:uid="{CF51E341-9248-45C2-81A7-731E3247BD43}"/>
    <cellStyle name="Style 75 3 3 2 2 6 2" xfId="31458" xr:uid="{7A4A2386-139E-4D68-9FAD-6342782C9D5B}"/>
    <cellStyle name="Style 75 3 3 2 2 7" xfId="12613" xr:uid="{F02FFB67-9D09-41CC-835A-CCC0E5477414}"/>
    <cellStyle name="Style 75 3 3 2 2 7 2" xfId="31459" xr:uid="{D3D83F9C-1EBF-41C5-9B7C-A04C45F55D0E}"/>
    <cellStyle name="Style 75 3 3 2 2 8" xfId="12614" xr:uid="{A707C238-C611-401D-A299-1E710535A8CD}"/>
    <cellStyle name="Style 75 3 3 2 2 8 2" xfId="31460" xr:uid="{DFC892C5-AA7C-4737-AC19-3342B85372E4}"/>
    <cellStyle name="Style 75 3 3 2 2 9" xfId="12615" xr:uid="{6C62FB13-6BED-4822-B5F9-CB2138660CA5}"/>
    <cellStyle name="Style 75 3 3 2 2 9 2" xfId="31461" xr:uid="{343D7CFB-3DCB-4E01-BF06-20BF1CFF0372}"/>
    <cellStyle name="Style 75 3 3 2 3" xfId="3369" xr:uid="{5D99830F-A650-43E6-BBAF-8B7C82AB2B17}"/>
    <cellStyle name="Style 75 3 3 2 3 10" xfId="12616" xr:uid="{9215A18A-29B5-4364-A04F-A7821A755E84}"/>
    <cellStyle name="Style 75 3 3 2 3 10 2" xfId="31462" xr:uid="{EDF3CB8E-8D1C-4774-A819-B6954DEE97DD}"/>
    <cellStyle name="Style 75 3 3 2 3 2" xfId="6793" xr:uid="{F0A7692D-BF9A-4AC8-B68E-CA925CC419BF}"/>
    <cellStyle name="Style 75 3 3 2 3 2 2" xfId="12617" xr:uid="{BB0A01ED-C845-40A2-BBEA-A38D8327774C}"/>
    <cellStyle name="Style 75 3 3 2 3 2 2 2" xfId="31463" xr:uid="{7372CEBE-1C3D-4AB6-A9F4-110C06ADD8B3}"/>
    <cellStyle name="Style 75 3 3 2 3 3" xfId="12618" xr:uid="{8754DA0B-3D39-4984-9890-DD1CBDA91BA0}"/>
    <cellStyle name="Style 75 3 3 2 3 3 2" xfId="12619" xr:uid="{D8ECA2C4-B731-4C7A-838D-9C8AC8297777}"/>
    <cellStyle name="Style 75 3 3 2 3 3 2 2" xfId="31464" xr:uid="{B89352B6-A60D-4168-8ACC-7FD4470EF5F2}"/>
    <cellStyle name="Style 75 3 3 2 3 4" xfId="12620" xr:uid="{C64C096D-9951-46CD-BAAF-041C788FE3EF}"/>
    <cellStyle name="Style 75 3 3 2 3 4 2" xfId="31465" xr:uid="{BAD338CA-6612-45AB-B454-7D429A0E9B01}"/>
    <cellStyle name="Style 75 3 3 2 3 5" xfId="12621" xr:uid="{213F236F-48C8-4DED-A911-512B85251935}"/>
    <cellStyle name="Style 75 3 3 2 3 5 2" xfId="31466" xr:uid="{3C4C5881-3993-4200-8222-37F420525D59}"/>
    <cellStyle name="Style 75 3 3 2 3 6" xfId="12622" xr:uid="{A63B7E52-FBCC-435D-AA5F-18DD491B6544}"/>
    <cellStyle name="Style 75 3 3 2 3 6 2" xfId="31467" xr:uid="{DB667504-C2BC-40FF-BDE2-CA22795841D4}"/>
    <cellStyle name="Style 75 3 3 2 3 7" xfId="12623" xr:uid="{9229F1A7-90F0-4BE6-9B88-C4152E1A1210}"/>
    <cellStyle name="Style 75 3 3 2 3 7 2" xfId="31468" xr:uid="{523F3E9E-4C16-47B5-8310-21554E3B9D1E}"/>
    <cellStyle name="Style 75 3 3 2 3 8" xfId="12624" xr:uid="{E21ACC92-D276-4EA1-B7DD-3DCDAD504B27}"/>
    <cellStyle name="Style 75 3 3 2 3 8 2" xfId="31469" xr:uid="{2B804200-A198-41A4-8B66-C1B286D5524D}"/>
    <cellStyle name="Style 75 3 3 2 3 9" xfId="12625" xr:uid="{E5738E95-BB74-4571-916C-A864AB010179}"/>
    <cellStyle name="Style 75 3 3 2 3 9 2" xfId="31470" xr:uid="{66FD34A4-14D2-4CFD-8D76-AF65E8303CD6}"/>
    <cellStyle name="Style 75 3 3 2 4" xfId="6790" xr:uid="{0A0B9EB2-C7FA-4AF7-B367-9C0D8263808B}"/>
    <cellStyle name="Style 75 3 3 2 4 2" xfId="12626" xr:uid="{0D31C262-CA07-474B-B001-80FAC0DE2BC6}"/>
    <cellStyle name="Style 75 3 3 2 4 2 2" xfId="31471" xr:uid="{A3095F04-ED0E-45A5-A758-25CCBCE54AA7}"/>
    <cellStyle name="Style 75 3 3 2 5" xfId="12627" xr:uid="{FA025263-4A41-4E76-BB30-65D55E1AE014}"/>
    <cellStyle name="Style 75 3 3 2 5 2" xfId="12628" xr:uid="{293A1619-4D64-46A7-857B-950CE94175BD}"/>
    <cellStyle name="Style 75 3 3 2 5 2 2" xfId="31472" xr:uid="{59F37D3A-D2D8-46DE-8CEC-943B55F9DE36}"/>
    <cellStyle name="Style 75 3 3 2 6" xfId="12629" xr:uid="{FC7F42D5-AD6E-420B-B3C4-35CE10DB010D}"/>
    <cellStyle name="Style 75 3 3 2 6 2" xfId="31473" xr:uid="{75CA8F68-BAD0-47B0-B470-0426B352F5A6}"/>
    <cellStyle name="Style 75 3 3 2 7" xfId="12630" xr:uid="{89179F3D-A6EA-4903-967B-A7148FB56AA3}"/>
    <cellStyle name="Style 75 3 3 2 7 2" xfId="31474" xr:uid="{0C4A71EB-06D0-43CB-BB0F-31696108BF1D}"/>
    <cellStyle name="Style 75 3 3 2 8" xfId="12631" xr:uid="{56F43B10-8DFF-4E31-8B3E-3511AC361ACC}"/>
    <cellStyle name="Style 75 3 3 2 8 2" xfId="31475" xr:uid="{EADB63D3-67C8-4F17-8497-C37FF7F3D57F}"/>
    <cellStyle name="Style 75 3 3 2 9" xfId="12632" xr:uid="{31CA74B0-4524-41B1-86FB-B05D179937DF}"/>
    <cellStyle name="Style 75 3 3 2 9 2" xfId="31476" xr:uid="{9F7CE06C-550A-49B8-AB3A-97C100575378}"/>
    <cellStyle name="Style 75 3 3 3" xfId="3370" xr:uid="{E79815F7-230D-4018-A9CF-F533C3581288}"/>
    <cellStyle name="Style 75 3 3 3 10" xfId="12633" xr:uid="{D5E718C3-F7B0-4189-A4A3-941A79639DF2}"/>
    <cellStyle name="Style 75 3 3 3 10 2" xfId="31477" xr:uid="{C081A19C-D44B-4978-B840-3A10E972B59C}"/>
    <cellStyle name="Style 75 3 3 3 11" xfId="12634" xr:uid="{D12B10E9-E3CF-47B9-8200-2CED470CAD28}"/>
    <cellStyle name="Style 75 3 3 3 11 2" xfId="31478" xr:uid="{290741B4-4EE4-425D-9DD6-B6F670FF7D1A}"/>
    <cellStyle name="Style 75 3 3 3 2" xfId="6795" xr:uid="{93F91446-BAE2-4192-9F70-099EA47AB973}"/>
    <cellStyle name="Style 75 3 3 3 2 2" xfId="12635" xr:uid="{86E5C267-3779-4FF4-BC3F-B086F3F60DD0}"/>
    <cellStyle name="Style 75 3 3 3 2 2 2" xfId="31479" xr:uid="{69E7D988-3029-478B-A048-0865D636E933}"/>
    <cellStyle name="Style 75 3 3 3 3" xfId="6794" xr:uid="{AC147114-EED2-4115-A52E-B822419F0E71}"/>
    <cellStyle name="Style 75 3 3 3 3 2" xfId="12636" xr:uid="{B24D4C9D-F058-4B33-8ED3-6C67DE311768}"/>
    <cellStyle name="Style 75 3 3 3 3 2 2" xfId="31480" xr:uid="{AED66851-AABD-4136-AB36-837ED8C0F5F1}"/>
    <cellStyle name="Style 75 3 3 3 4" xfId="12637" xr:uid="{C2518DA1-E7B3-42A7-8445-28C7098D039E}"/>
    <cellStyle name="Style 75 3 3 3 4 2" xfId="12638" xr:uid="{2739726A-6DFF-48D2-8470-73B4AA6EF294}"/>
    <cellStyle name="Style 75 3 3 3 4 2 2" xfId="31481" xr:uid="{B9F649E3-1756-474F-851E-F2CB15F7062A}"/>
    <cellStyle name="Style 75 3 3 3 5" xfId="12639" xr:uid="{933C7F5D-5999-402B-9685-2A160B845D18}"/>
    <cellStyle name="Style 75 3 3 3 5 2" xfId="31482" xr:uid="{2B31CDD1-9D19-486F-A821-D093F5FC7D66}"/>
    <cellStyle name="Style 75 3 3 3 6" xfId="12640" xr:uid="{533E4AD9-A9C5-4455-B220-1200BD2D8C5F}"/>
    <cellStyle name="Style 75 3 3 3 6 2" xfId="31483" xr:uid="{7D6FEE21-29B8-4204-BB4C-A3EE28FD2E53}"/>
    <cellStyle name="Style 75 3 3 3 7" xfId="12641" xr:uid="{F5337D37-6D22-4AF0-8C0D-74788638DA8C}"/>
    <cellStyle name="Style 75 3 3 3 7 2" xfId="31484" xr:uid="{1DDCA186-3855-4708-B618-2EE04C4D0186}"/>
    <cellStyle name="Style 75 3 3 3 8" xfId="12642" xr:uid="{054972EC-9812-482C-83AC-5DC7C2A34CB8}"/>
    <cellStyle name="Style 75 3 3 3 8 2" xfId="31485" xr:uid="{444C99DD-FE37-4ADE-950F-1ECC670AD6F2}"/>
    <cellStyle name="Style 75 3 3 3 9" xfId="12643" xr:uid="{24873E49-49D7-4DC7-AB2E-E9C8B40E42D5}"/>
    <cellStyle name="Style 75 3 3 3 9 2" xfId="31486" xr:uid="{C3A4F042-B54E-4904-8187-C769C2783E19}"/>
    <cellStyle name="Style 75 3 3 4" xfId="6796" xr:uid="{52C57C26-7B3E-4CA6-A919-A3C62ADB49F5}"/>
    <cellStyle name="Style 75 3 3 4 2" xfId="12644" xr:uid="{07FA7BCF-FC25-4376-A1A5-6539DB2DD2D3}"/>
    <cellStyle name="Style 75 3 3 4 2 2" xfId="31487" xr:uid="{6A4E958A-8B01-4E11-B76C-1E07CD0C5ADA}"/>
    <cellStyle name="Style 75 3 3 5" xfId="6797" xr:uid="{D6B9A20C-A699-4101-8E98-16B489AC851B}"/>
    <cellStyle name="Style 75 3 3 5 2" xfId="12645" xr:uid="{A47D83B7-77BC-4A03-A1D1-0EF63311BE99}"/>
    <cellStyle name="Style 75 3 3 5 2 2" xfId="31488" xr:uid="{F65599B0-E3C0-4D61-8330-EAA1044D5C1D}"/>
    <cellStyle name="Style 75 3 3 6" xfId="6789" xr:uid="{C60188D6-683D-4A84-AB08-6A82097078D5}"/>
    <cellStyle name="Style 75 3 3 6 2" xfId="12646" xr:uid="{7BA351CF-50CE-43D0-830B-16BC2880BE0F}"/>
    <cellStyle name="Style 75 3 3 6 2 2" xfId="31489" xr:uid="{BC8DE4D5-F76C-4C0D-940C-7FEB27F51F65}"/>
    <cellStyle name="Style 75 3 3 7" xfId="12647" xr:uid="{F4EBD74D-C3C5-4469-9AF8-83ECD8701735}"/>
    <cellStyle name="Style 75 3 3 7 2" xfId="12648" xr:uid="{6FC98D90-69CB-42EE-B1A9-AAB250F69510}"/>
    <cellStyle name="Style 75 3 3 7 2 2" xfId="31490" xr:uid="{6DE612B1-9107-4B9A-901E-17D630AF414A}"/>
    <cellStyle name="Style 75 3 3 8" xfId="12649" xr:uid="{FCB77E50-2B3B-4EF2-AAFC-144E1D9F2ADA}"/>
    <cellStyle name="Style 75 3 3 8 2" xfId="31491" xr:uid="{932FD7BD-91DE-46DE-93FB-7102E62EC1F2}"/>
    <cellStyle name="Style 75 3 3 9" xfId="12650" xr:uid="{FF662136-8E75-4F67-920F-29ECE8225982}"/>
    <cellStyle name="Style 75 3 3 9 2" xfId="31492" xr:uid="{AB52ED26-9F01-4C56-B02C-597725ECE688}"/>
    <cellStyle name="Style 75 3 4" xfId="3371" xr:uid="{39C2BE40-6CB7-4C2A-BED7-C055C8724F4F}"/>
    <cellStyle name="Style 75 3 4 10" xfId="12651" xr:uid="{297423A9-2D7C-4995-AF15-B4F88DF6949A}"/>
    <cellStyle name="Style 75 3 4 10 2" xfId="31493" xr:uid="{D20647E2-F7F4-4FB8-9D9F-10FA7EADA9C3}"/>
    <cellStyle name="Style 75 3 4 11" xfId="12652" xr:uid="{CA3F8ABD-3F31-4859-9CED-F7B7B17D3801}"/>
    <cellStyle name="Style 75 3 4 11 2" xfId="31494" xr:uid="{6648970E-B48B-460E-B27C-E1CFB2901D0B}"/>
    <cellStyle name="Style 75 3 4 12" xfId="12653" xr:uid="{ED28CD73-53F2-4B3A-8250-6DAC0F2A256A}"/>
    <cellStyle name="Style 75 3 4 12 2" xfId="31495" xr:uid="{F5115AFF-F349-416C-8FBC-B7626F89F2A4}"/>
    <cellStyle name="Style 75 3 4 2" xfId="3372" xr:uid="{EEEB3060-C92F-427B-9753-410FCDB5C2DB}"/>
    <cellStyle name="Style 75 3 4 2 10" xfId="12654" xr:uid="{00421BA9-C803-4B56-AD0C-84BD3ED366ED}"/>
    <cellStyle name="Style 75 3 4 2 10 2" xfId="31496" xr:uid="{CD1FBB16-87E2-4963-8BB3-3274DDA49B54}"/>
    <cellStyle name="Style 75 3 4 2 2" xfId="6799" xr:uid="{4B6E813F-9D49-4E15-8982-3BD5704744EF}"/>
    <cellStyle name="Style 75 3 4 2 2 2" xfId="12655" xr:uid="{7BA2AB06-8E39-4E45-A904-F51AA6A1CB83}"/>
    <cellStyle name="Style 75 3 4 2 2 2 2" xfId="31497" xr:uid="{6C968A28-2DB4-48BA-AB90-D78E344D23DC}"/>
    <cellStyle name="Style 75 3 4 2 3" xfId="12656" xr:uid="{0CC9F40E-FD30-4D12-AD64-C44F7E27AE25}"/>
    <cellStyle name="Style 75 3 4 2 3 2" xfId="12657" xr:uid="{E27D0BF0-BA06-433A-97C9-CB9F1172159A}"/>
    <cellStyle name="Style 75 3 4 2 3 2 2" xfId="31498" xr:uid="{C351884B-8EC5-492D-989A-18C366E3D692}"/>
    <cellStyle name="Style 75 3 4 2 4" xfId="12658" xr:uid="{EAE57E0D-C2B1-4216-91F2-264A76DB292E}"/>
    <cellStyle name="Style 75 3 4 2 4 2" xfId="31499" xr:uid="{ED307DAE-48B3-4312-867E-9D673CD4E9F4}"/>
    <cellStyle name="Style 75 3 4 2 5" xfId="12659" xr:uid="{9A56F44A-CFA0-4A9B-A4D3-C3364F406833}"/>
    <cellStyle name="Style 75 3 4 2 5 2" xfId="31500" xr:uid="{94A5C654-E9FB-4E9E-8840-DA3C271B2739}"/>
    <cellStyle name="Style 75 3 4 2 6" xfId="12660" xr:uid="{1196DD67-99DD-4506-BCA4-790165C0AA17}"/>
    <cellStyle name="Style 75 3 4 2 6 2" xfId="31501" xr:uid="{3868D50C-9DB3-404A-95D2-D528DFC32ECD}"/>
    <cellStyle name="Style 75 3 4 2 7" xfId="12661" xr:uid="{0672B9CE-8823-4A0F-9793-BFBAC7ED234D}"/>
    <cellStyle name="Style 75 3 4 2 7 2" xfId="31502" xr:uid="{197177A0-D266-44D4-936F-4C1B8E707106}"/>
    <cellStyle name="Style 75 3 4 2 8" xfId="12662" xr:uid="{69D8CFDD-DC94-4A1F-A286-95FD346D839A}"/>
    <cellStyle name="Style 75 3 4 2 8 2" xfId="31503" xr:uid="{365CD4D8-FCEF-4A2E-A7A4-1402F8C21DDF}"/>
    <cellStyle name="Style 75 3 4 2 9" xfId="12663" xr:uid="{E8440F25-72C3-42E0-8124-210121086E36}"/>
    <cellStyle name="Style 75 3 4 2 9 2" xfId="31504" xr:uid="{B6579B9E-0DCC-4A8E-A157-F70EACA250D9}"/>
    <cellStyle name="Style 75 3 4 3" xfId="6798" xr:uid="{F81C2A10-7E77-4303-9BA4-B1AC2B29607A}"/>
    <cellStyle name="Style 75 3 4 3 2" xfId="12664" xr:uid="{C991E45D-660F-4F22-AE23-3246F6AE24F9}"/>
    <cellStyle name="Style 75 3 4 3 2 2" xfId="31505" xr:uid="{E220D6C9-C15A-4ABC-838B-AD15A5ADA198}"/>
    <cellStyle name="Style 75 3 4 4" xfId="12665" xr:uid="{6BF0A12C-577C-43DB-A44F-648A1B382C61}"/>
    <cellStyle name="Style 75 3 4 4 2" xfId="12666" xr:uid="{AB615BD8-0CE8-4924-810D-2D9B1AA872EF}"/>
    <cellStyle name="Style 75 3 4 4 2 2" xfId="31506" xr:uid="{5F0C134E-D905-4D2B-AEB0-AF62CD632C57}"/>
    <cellStyle name="Style 75 3 4 5" xfId="12667" xr:uid="{0288E1D8-D302-434E-93B9-EC1C66721F1F}"/>
    <cellStyle name="Style 75 3 4 5 2" xfId="31507" xr:uid="{A522EDF2-0B96-4E3F-8211-0096B6FD2630}"/>
    <cellStyle name="Style 75 3 4 6" xfId="12668" xr:uid="{0408CB59-05D7-49CC-8DA3-CAC53E6C3290}"/>
    <cellStyle name="Style 75 3 4 6 2" xfId="31508" xr:uid="{FE736451-44F9-424F-9F8A-0370BFB6EB44}"/>
    <cellStyle name="Style 75 3 4 7" xfId="12669" xr:uid="{323CD4E7-8765-442C-A4AE-9447B79678C8}"/>
    <cellStyle name="Style 75 3 4 7 2" xfId="31509" xr:uid="{DDDFF543-FAAE-4208-BA74-2169B451DF0F}"/>
    <cellStyle name="Style 75 3 4 8" xfId="12670" xr:uid="{31C8163B-3983-498E-804A-FACA75B5577E}"/>
    <cellStyle name="Style 75 3 4 8 2" xfId="31510" xr:uid="{500A47D5-707F-40A4-AC0F-1519D057B643}"/>
    <cellStyle name="Style 75 3 4 9" xfId="12671" xr:uid="{0EEEB977-884E-410E-8D03-CE615765164A}"/>
    <cellStyle name="Style 75 3 4 9 2" xfId="31511" xr:uid="{43DF999E-BEE4-4EDD-B125-D452A60085C9}"/>
    <cellStyle name="Style 75 3 5" xfId="3373" xr:uid="{FF88ACF1-7B3D-4D9C-8243-DB6A01F394DB}"/>
    <cellStyle name="Style 75 3 5 10" xfId="12672" xr:uid="{F0C76C67-D52F-4E3E-89F9-602A6683CA2A}"/>
    <cellStyle name="Style 75 3 5 10 2" xfId="31512" xr:uid="{6094ADB9-0057-49A8-93E7-622A4A314CD4}"/>
    <cellStyle name="Style 75 3 5 11" xfId="12673" xr:uid="{D1C75F71-3CF0-4608-A88A-4FB7525C8142}"/>
    <cellStyle name="Style 75 3 5 11 2" xfId="31513" xr:uid="{DD012249-5788-47B2-A3EB-7419FC071DCD}"/>
    <cellStyle name="Style 75 3 5 2" xfId="6800" xr:uid="{201FAA12-BD5D-448A-8961-D12699B3698C}"/>
    <cellStyle name="Style 75 3 5 2 2" xfId="12674" xr:uid="{0CC0CBEF-39F7-4718-B768-BA946F8F7AD5}"/>
    <cellStyle name="Style 75 3 5 2 2 2" xfId="31514" xr:uid="{32AC20C9-7221-46E7-9372-545EEB38FB95}"/>
    <cellStyle name="Style 75 3 5 3" xfId="12675" xr:uid="{23D72D69-3A12-4773-A0FF-B940D83B57F6}"/>
    <cellStyle name="Style 75 3 5 3 2" xfId="12676" xr:uid="{DBB02781-1941-451D-B552-62CA926F9006}"/>
    <cellStyle name="Style 75 3 5 3 2 2" xfId="31515" xr:uid="{C9D8B3DE-9EC8-4B8F-80B2-3DA3FE0AD2F1}"/>
    <cellStyle name="Style 75 3 5 4" xfId="12677" xr:uid="{55B4D8A7-7E90-44E3-936E-144B13F4B75E}"/>
    <cellStyle name="Style 75 3 5 4 2" xfId="31516" xr:uid="{FAD846DE-F75B-46E5-8836-9A4BC1A9255C}"/>
    <cellStyle name="Style 75 3 5 5" xfId="12678" xr:uid="{C57AEFBA-FB57-459F-B202-F31AD4A37EDE}"/>
    <cellStyle name="Style 75 3 5 5 2" xfId="31517" xr:uid="{EA30F246-A960-427C-968D-E77574ACDB43}"/>
    <cellStyle name="Style 75 3 5 6" xfId="12679" xr:uid="{F3D19F0A-DDC7-49C8-8BCC-33733BAB361C}"/>
    <cellStyle name="Style 75 3 5 6 2" xfId="31518" xr:uid="{667588CB-05DB-499E-8999-45C5CB265822}"/>
    <cellStyle name="Style 75 3 5 7" xfId="12680" xr:uid="{D0DD0502-FD2D-4F0F-BDD7-AE88B3142B0F}"/>
    <cellStyle name="Style 75 3 5 7 2" xfId="31519" xr:uid="{63AEA841-226A-4A77-91D5-BE736EA7052C}"/>
    <cellStyle name="Style 75 3 5 8" xfId="12681" xr:uid="{66F0A8F2-FFE6-4F86-B0E6-5EA5D9AD19BE}"/>
    <cellStyle name="Style 75 3 5 8 2" xfId="31520" xr:uid="{50E146CD-4C1E-4A89-A5A1-EADB470D5B75}"/>
    <cellStyle name="Style 75 3 5 9" xfId="12682" xr:uid="{B661142F-0EFF-45AD-9813-EFFE80FCF739}"/>
    <cellStyle name="Style 75 3 5 9 2" xfId="31521" xr:uid="{CB80E513-D924-4559-B6CF-6474E899A9BD}"/>
    <cellStyle name="Style 75 3 6" xfId="6801" xr:uid="{7285CFBD-6050-4572-A5C7-DBB6E02977F5}"/>
    <cellStyle name="Style 75 3 6 2" xfId="12683" xr:uid="{9E8475EC-F256-42E5-88A8-D899D8D69033}"/>
    <cellStyle name="Style 75 3 6 2 2" xfId="31522" xr:uid="{AADFC604-A42F-4303-ADDC-AAF00D3172BC}"/>
    <cellStyle name="Style 75 3 7" xfId="6780" xr:uid="{A734C0C9-EB5E-476F-8B74-C843D8300A21}"/>
    <cellStyle name="Style 75 3 7 2" xfId="12684" xr:uid="{941CA06A-C23B-462F-B72B-9E753BD4BA91}"/>
    <cellStyle name="Style 75 3 7 2 2" xfId="31523" xr:uid="{D403A023-20BC-4C6D-94B7-E17D6E84D01C}"/>
    <cellStyle name="Style 75 3 8" xfId="12685" xr:uid="{5FDB64CA-F23A-4864-BA1B-EF74E81D6AD6}"/>
    <cellStyle name="Style 75 3 8 2" xfId="12686" xr:uid="{34D94785-2DD9-4C86-ADFF-A0FF4DE05381}"/>
    <cellStyle name="Style 75 3 8 2 2" xfId="31524" xr:uid="{F54A56A9-EC55-46DB-ADDF-FA50582804E6}"/>
    <cellStyle name="Style 75 3 9" xfId="12687" xr:uid="{64602E1F-5E9C-496B-B1A3-C9932859DF52}"/>
    <cellStyle name="Style 75 3 9 2" xfId="31525" xr:uid="{D8A28EDC-460E-403E-8F1E-1CB514BC5847}"/>
    <cellStyle name="Style 75 4" xfId="3374" xr:uid="{4F52DC57-53BA-4484-A8CF-0646E297A5D8}"/>
    <cellStyle name="Style 75 4 10" xfId="12688" xr:uid="{76D5F607-0462-47DE-8FD0-41D4F060FF59}"/>
    <cellStyle name="Style 75 4 10 2" xfId="31526" xr:uid="{7385CA4A-76E5-46EA-B054-C68283636FE6}"/>
    <cellStyle name="Style 75 4 11" xfId="12689" xr:uid="{A397A784-F2D4-48CE-95BB-15ECAB4D5009}"/>
    <cellStyle name="Style 75 4 11 2" xfId="31527" xr:uid="{DFEA9833-8772-4621-AB14-099DBEA80D23}"/>
    <cellStyle name="Style 75 4 12" xfId="12690" xr:uid="{C8E5817F-4C34-4B7A-9953-DC18C0C60C6F}"/>
    <cellStyle name="Style 75 4 12 2" xfId="31528" xr:uid="{15737435-6C08-4F2B-B097-E78F84FD2826}"/>
    <cellStyle name="Style 75 4 13" xfId="12691" xr:uid="{ABFB3F31-7F87-45B6-86A0-654455DC285A}"/>
    <cellStyle name="Style 75 4 13 2" xfId="31529" xr:uid="{98E17E37-A0CA-4ECC-9B14-5F4394985B56}"/>
    <cellStyle name="Style 75 4 2" xfId="3375" xr:uid="{D2D84894-F070-4574-BC8C-5F54435A269B}"/>
    <cellStyle name="Style 75 4 2 10" xfId="12692" xr:uid="{8F2978A8-139C-4EB9-8E20-0A66EF4600E2}"/>
    <cellStyle name="Style 75 4 2 10 2" xfId="31530" xr:uid="{BF4DB50B-80A7-46ED-98E5-6FBE2103F877}"/>
    <cellStyle name="Style 75 4 2 11" xfId="12693" xr:uid="{5699BE43-5E0D-4E38-850B-58BC61785850}"/>
    <cellStyle name="Style 75 4 2 11 2" xfId="31531" xr:uid="{D4828999-8916-4BAB-A0DE-22B40D099973}"/>
    <cellStyle name="Style 75 4 2 12" xfId="12694" xr:uid="{11C734D2-D166-4EE4-9FB4-63D7DD0927B7}"/>
    <cellStyle name="Style 75 4 2 12 2" xfId="31532" xr:uid="{5DA7C602-C493-4782-8797-DF85EF978DD1}"/>
    <cellStyle name="Style 75 4 2 13" xfId="12695" xr:uid="{7E73D09C-FC07-4305-9C8E-103188B301D2}"/>
    <cellStyle name="Style 75 4 2 13 2" xfId="31533" xr:uid="{302BC7CA-3AE0-41D7-8FE2-22B90776FA9D}"/>
    <cellStyle name="Style 75 4 2 2" xfId="3376" xr:uid="{097D6C45-86BB-45E3-81FC-4B62302FA28D}"/>
    <cellStyle name="Style 75 4 2 2 10" xfId="12696" xr:uid="{308E0CDA-C719-4CE3-8F8E-561562B20382}"/>
    <cellStyle name="Style 75 4 2 2 10 2" xfId="31534" xr:uid="{001923BA-A240-46FB-A67C-2B9046BC6B95}"/>
    <cellStyle name="Style 75 4 2 2 11" xfId="12697" xr:uid="{72A1968B-2FA3-4444-8D7C-2DD753DB8CD4}"/>
    <cellStyle name="Style 75 4 2 2 11 2" xfId="31535" xr:uid="{239B87B7-DC9E-4D60-8710-C3C0F5793519}"/>
    <cellStyle name="Style 75 4 2 2 12" xfId="12698" xr:uid="{FB686698-AE18-44A3-972A-3F5DF4136FAB}"/>
    <cellStyle name="Style 75 4 2 2 12 2" xfId="31536" xr:uid="{D9867B85-F1C8-4010-B72E-05074FAA953C}"/>
    <cellStyle name="Style 75 4 2 2 2" xfId="3377" xr:uid="{8097BF4E-F064-4FD1-9384-510BE8F91935}"/>
    <cellStyle name="Style 75 4 2 2 2 10" xfId="12699" xr:uid="{A24F1D41-A426-4439-9AD8-53CC9ACA5B03}"/>
    <cellStyle name="Style 75 4 2 2 2 10 2" xfId="31537" xr:uid="{83D41978-5B4C-47CA-84A6-65D29D86167E}"/>
    <cellStyle name="Style 75 4 2 2 2 2" xfId="6805" xr:uid="{D470E338-0002-46CA-9BBF-2D161FF3C311}"/>
    <cellStyle name="Style 75 4 2 2 2 2 2" xfId="12700" xr:uid="{B8373856-1370-4AAA-A73D-D30A10A85357}"/>
    <cellStyle name="Style 75 4 2 2 2 2 2 2" xfId="31538" xr:uid="{0D2E7DD9-03A6-4BBD-B995-BF1E46717FD8}"/>
    <cellStyle name="Style 75 4 2 2 2 3" xfId="12701" xr:uid="{05856C4A-1FC7-49C0-950F-393BB271A77B}"/>
    <cellStyle name="Style 75 4 2 2 2 3 2" xfId="12702" xr:uid="{98F5A4A3-1DA2-44F9-9D58-C80C31F3AECC}"/>
    <cellStyle name="Style 75 4 2 2 2 3 2 2" xfId="31539" xr:uid="{062921D2-7BFB-4626-976D-AB50922D8E46}"/>
    <cellStyle name="Style 75 4 2 2 2 4" xfId="12703" xr:uid="{7D459F37-368F-460E-8EB1-7E68A8CAAB61}"/>
    <cellStyle name="Style 75 4 2 2 2 4 2" xfId="31540" xr:uid="{09E2F0B7-352B-4010-AAD5-7431A8F8BDAE}"/>
    <cellStyle name="Style 75 4 2 2 2 5" xfId="12704" xr:uid="{42744FEA-700D-4035-A194-5757C6F9D8E0}"/>
    <cellStyle name="Style 75 4 2 2 2 5 2" xfId="31541" xr:uid="{924C1449-4015-4FD0-80D7-AF36D9991582}"/>
    <cellStyle name="Style 75 4 2 2 2 6" xfId="12705" xr:uid="{E172C318-F229-4727-8918-191ACA9C241C}"/>
    <cellStyle name="Style 75 4 2 2 2 6 2" xfId="31542" xr:uid="{BDDCB514-39D7-40A9-AB4F-76A47F56E9DA}"/>
    <cellStyle name="Style 75 4 2 2 2 7" xfId="12706" xr:uid="{7969571C-329D-46CC-B589-4A3EC4EE06C6}"/>
    <cellStyle name="Style 75 4 2 2 2 7 2" xfId="31543" xr:uid="{EADC2119-1130-4206-8799-D9ACD7043720}"/>
    <cellStyle name="Style 75 4 2 2 2 8" xfId="12707" xr:uid="{2243770F-B293-4CC3-993C-3271AE9350F7}"/>
    <cellStyle name="Style 75 4 2 2 2 8 2" xfId="31544" xr:uid="{E6C50BB4-EEAB-4A63-9A7F-B11FFD57C251}"/>
    <cellStyle name="Style 75 4 2 2 2 9" xfId="12708" xr:uid="{FC8DAC42-7141-4E9A-B37C-A1976A7F397C}"/>
    <cellStyle name="Style 75 4 2 2 2 9 2" xfId="31545" xr:uid="{3CBD472A-F19D-4877-880F-5D93E9D46181}"/>
    <cellStyle name="Style 75 4 2 2 3" xfId="6804" xr:uid="{2BAFE734-8A08-4A6D-A53F-657719BBFA5A}"/>
    <cellStyle name="Style 75 4 2 2 3 2" xfId="12709" xr:uid="{68905B88-BE09-4B89-AC27-F27FACBFD70D}"/>
    <cellStyle name="Style 75 4 2 2 3 2 2" xfId="31546" xr:uid="{8DCE56B9-706B-4770-9B21-7BF2E1044ED2}"/>
    <cellStyle name="Style 75 4 2 2 4" xfId="12710" xr:uid="{4BBAC0E7-7146-4785-A796-454A9BB86571}"/>
    <cellStyle name="Style 75 4 2 2 4 2" xfId="12711" xr:uid="{F660A31C-5F92-4F58-84CF-56080CD3FA6A}"/>
    <cellStyle name="Style 75 4 2 2 4 2 2" xfId="31547" xr:uid="{058E9546-B02F-4B6F-8B5B-93FDBCB67D87}"/>
    <cellStyle name="Style 75 4 2 2 5" xfId="12712" xr:uid="{972E3E83-981E-4BE5-90EE-1421E17413EE}"/>
    <cellStyle name="Style 75 4 2 2 5 2" xfId="31548" xr:uid="{F893BCAC-0F04-4C4F-A066-8D9DF7964C6E}"/>
    <cellStyle name="Style 75 4 2 2 6" xfId="12713" xr:uid="{DAFD7243-8DA9-4CB3-BE2D-12899C578F20}"/>
    <cellStyle name="Style 75 4 2 2 6 2" xfId="31549" xr:uid="{83C415E7-B082-4545-8A04-44404FEE83D6}"/>
    <cellStyle name="Style 75 4 2 2 7" xfId="12714" xr:uid="{6B4D343C-55B2-4FF2-B6B2-9AF3DE409BBF}"/>
    <cellStyle name="Style 75 4 2 2 7 2" xfId="31550" xr:uid="{69F52160-D793-4EE2-8914-07686EA8A067}"/>
    <cellStyle name="Style 75 4 2 2 8" xfId="12715" xr:uid="{1ABE636C-172D-4BAD-A9D7-867140C30BA1}"/>
    <cellStyle name="Style 75 4 2 2 8 2" xfId="31551" xr:uid="{A7718AAA-DB2E-4CBC-BA05-2ED8546A7618}"/>
    <cellStyle name="Style 75 4 2 2 9" xfId="12716" xr:uid="{344AB93E-66D7-420A-8541-9534C978B135}"/>
    <cellStyle name="Style 75 4 2 2 9 2" xfId="31552" xr:uid="{641081C1-DD62-4EF1-9305-EA4B7C7E0639}"/>
    <cellStyle name="Style 75 4 2 3" xfId="3378" xr:uid="{285EE245-4D05-449B-8E5F-9B5EE76BA07D}"/>
    <cellStyle name="Style 75 4 2 3 10" xfId="12717" xr:uid="{26BA5BDE-8292-4900-814F-6D58EAFBC0D2}"/>
    <cellStyle name="Style 75 4 2 3 10 2" xfId="31553" xr:uid="{7B27107C-BB00-475E-BE87-32F19A3926C7}"/>
    <cellStyle name="Style 75 4 2 3 2" xfId="6806" xr:uid="{39573828-573D-4930-84B0-71917F0B95A9}"/>
    <cellStyle name="Style 75 4 2 3 2 2" xfId="12718" xr:uid="{67F68C1E-30B6-4C6F-970B-213C20DD6211}"/>
    <cellStyle name="Style 75 4 2 3 2 2 2" xfId="31554" xr:uid="{43CB9836-11A6-479F-94E7-E947268BF7D5}"/>
    <cellStyle name="Style 75 4 2 3 3" xfId="12719" xr:uid="{9C4F6D0E-9EBA-434B-A946-C287F6D0843C}"/>
    <cellStyle name="Style 75 4 2 3 3 2" xfId="12720" xr:uid="{0B2DA5BB-B04A-4E00-AD17-A7E245D403F1}"/>
    <cellStyle name="Style 75 4 2 3 3 2 2" xfId="31555" xr:uid="{15397EA8-C7E5-46B3-9368-08AFF472C67A}"/>
    <cellStyle name="Style 75 4 2 3 4" xfId="12721" xr:uid="{C05ED172-7D29-44CE-ACE4-B578E55D0BEB}"/>
    <cellStyle name="Style 75 4 2 3 4 2" xfId="31556" xr:uid="{2A3C6635-4838-481F-9E89-0818FA442DF1}"/>
    <cellStyle name="Style 75 4 2 3 5" xfId="12722" xr:uid="{470A6845-BBB1-4CB6-9DC2-77B7F5B18ABE}"/>
    <cellStyle name="Style 75 4 2 3 5 2" xfId="31557" xr:uid="{9EBC0FD0-F9CD-4F8B-8979-A1D6AA29F3C7}"/>
    <cellStyle name="Style 75 4 2 3 6" xfId="12723" xr:uid="{D6F8A4B0-F354-4844-861C-68C6BA90A4E2}"/>
    <cellStyle name="Style 75 4 2 3 6 2" xfId="31558" xr:uid="{961E1D67-FDC3-49D2-A71F-A2BBE6F3DC7A}"/>
    <cellStyle name="Style 75 4 2 3 7" xfId="12724" xr:uid="{4E8E2DA4-F7FF-4670-895C-3B00C22C7DC2}"/>
    <cellStyle name="Style 75 4 2 3 7 2" xfId="31559" xr:uid="{C7103AC0-678B-4052-91EE-935993E9EF6A}"/>
    <cellStyle name="Style 75 4 2 3 8" xfId="12725" xr:uid="{DA8DE17B-464D-498A-9B3D-1B5A555816CD}"/>
    <cellStyle name="Style 75 4 2 3 8 2" xfId="31560" xr:uid="{C37AC9C7-0FA9-4AD8-AEC7-C51D9CBA1C2C}"/>
    <cellStyle name="Style 75 4 2 3 9" xfId="12726" xr:uid="{57DCD4E6-9113-4C0C-B411-A78B59FDC737}"/>
    <cellStyle name="Style 75 4 2 3 9 2" xfId="31561" xr:uid="{B11CD416-8683-4A46-85C5-0132FABE7640}"/>
    <cellStyle name="Style 75 4 2 4" xfId="6803" xr:uid="{5B99E36E-41DB-4715-A0BF-592D03211738}"/>
    <cellStyle name="Style 75 4 2 4 2" xfId="12727" xr:uid="{65387DA7-61A0-43D5-A970-314887C484F8}"/>
    <cellStyle name="Style 75 4 2 4 2 2" xfId="31562" xr:uid="{72933D10-9C65-450D-88F3-2A7E46B0EA77}"/>
    <cellStyle name="Style 75 4 2 5" xfId="12728" xr:uid="{2255639A-413C-4E7F-9D43-179AD9F4152B}"/>
    <cellStyle name="Style 75 4 2 5 2" xfId="12729" xr:uid="{D297CB64-D3E1-417E-B0AF-BD7DBE587058}"/>
    <cellStyle name="Style 75 4 2 5 2 2" xfId="31563" xr:uid="{BF8C54D5-5060-4C5D-9A33-D51F633D645D}"/>
    <cellStyle name="Style 75 4 2 6" xfId="12730" xr:uid="{6C639596-B4EA-4C16-8689-3C5689C447B2}"/>
    <cellStyle name="Style 75 4 2 6 2" xfId="31564" xr:uid="{439D738A-F5C7-4D3B-932A-1C5C1D21DC4E}"/>
    <cellStyle name="Style 75 4 2 7" xfId="12731" xr:uid="{5A52A006-2749-41BD-8EC2-9139CD017B8A}"/>
    <cellStyle name="Style 75 4 2 7 2" xfId="31565" xr:uid="{96B37FA5-15B0-4CD9-9A7E-5A6CD1B02409}"/>
    <cellStyle name="Style 75 4 2 8" xfId="12732" xr:uid="{5613D028-5E08-449D-9DC7-91987F6DA133}"/>
    <cellStyle name="Style 75 4 2 8 2" xfId="31566" xr:uid="{C4751E02-2B42-49D9-9657-8404AB013C75}"/>
    <cellStyle name="Style 75 4 2 9" xfId="12733" xr:uid="{9F853C6C-D379-4C83-8C2A-D80031DD4218}"/>
    <cellStyle name="Style 75 4 2 9 2" xfId="31567" xr:uid="{150E61A8-ED80-4583-B5EE-375B296AA8E6}"/>
    <cellStyle name="Style 75 4 3" xfId="3379" xr:uid="{90B246F4-4E8C-426B-B85F-F83445EF8C5A}"/>
    <cellStyle name="Style 75 4 3 10" xfId="12734" xr:uid="{FCDEB176-E06D-468A-9DA9-1A727950CC93}"/>
    <cellStyle name="Style 75 4 3 10 2" xfId="31568" xr:uid="{6DF6DACE-047A-403D-9D92-C97C814F50D2}"/>
    <cellStyle name="Style 75 4 3 11" xfId="12735" xr:uid="{428728A1-7B4B-415E-B760-928949008BD1}"/>
    <cellStyle name="Style 75 4 3 11 2" xfId="31569" xr:uid="{F200E465-20BE-40B9-88DB-938D75EFF416}"/>
    <cellStyle name="Style 75 4 3 2" xfId="6808" xr:uid="{9527C005-9E50-48E3-8666-BA7C3580CA46}"/>
    <cellStyle name="Style 75 4 3 2 2" xfId="12736" xr:uid="{5746040D-3996-4C8A-AAEA-44918497EE3E}"/>
    <cellStyle name="Style 75 4 3 2 2 2" xfId="31570" xr:uid="{1EA969E2-E9AF-4A3A-840A-C529487BAA6E}"/>
    <cellStyle name="Style 75 4 3 3" xfId="6807" xr:uid="{ECA36526-7EFF-487B-94CF-8F058CF7F202}"/>
    <cellStyle name="Style 75 4 3 3 2" xfId="12737" xr:uid="{25FC41FB-37BC-49D9-94A1-8F64341B85FB}"/>
    <cellStyle name="Style 75 4 3 3 2 2" xfId="31571" xr:uid="{90B68B55-116B-4EAC-A8CD-AB0622F7B9C3}"/>
    <cellStyle name="Style 75 4 3 4" xfId="12738" xr:uid="{CAAE506E-C578-4F44-9B5C-7A16A4095127}"/>
    <cellStyle name="Style 75 4 3 4 2" xfId="12739" xr:uid="{C61CF561-FC8D-4A5C-9F75-77A834B65CFF}"/>
    <cellStyle name="Style 75 4 3 4 2 2" xfId="31572" xr:uid="{4E5ED789-0F6B-477F-BABA-3EBDBF1EAA4D}"/>
    <cellStyle name="Style 75 4 3 5" xfId="12740" xr:uid="{04F32384-F2DE-44C8-A794-1B28ADE10893}"/>
    <cellStyle name="Style 75 4 3 5 2" xfId="31573" xr:uid="{F94EF39A-3B3A-46C4-8809-BDD3FE6B77F0}"/>
    <cellStyle name="Style 75 4 3 6" xfId="12741" xr:uid="{28D2F099-707C-43EE-8F5B-6F7CEA0502E0}"/>
    <cellStyle name="Style 75 4 3 6 2" xfId="31574" xr:uid="{3E49FFC4-E659-47DF-B865-99CEC4E7A416}"/>
    <cellStyle name="Style 75 4 3 7" xfId="12742" xr:uid="{AF4F6B1A-C410-47CF-BAC9-ADB180300061}"/>
    <cellStyle name="Style 75 4 3 7 2" xfId="31575" xr:uid="{BC9B458A-AEFA-469C-8F7F-F8964179401B}"/>
    <cellStyle name="Style 75 4 3 8" xfId="12743" xr:uid="{ECE7E506-5B31-4935-9D80-DE8A53B35D2D}"/>
    <cellStyle name="Style 75 4 3 8 2" xfId="31576" xr:uid="{28038FEA-96D0-4B25-A0DA-6D4EACFAE903}"/>
    <cellStyle name="Style 75 4 3 9" xfId="12744" xr:uid="{6293C5CD-FEA2-4ADE-9E83-2C73E8CCA710}"/>
    <cellStyle name="Style 75 4 3 9 2" xfId="31577" xr:uid="{11B59120-DD62-4F25-B9D5-08D5B139722E}"/>
    <cellStyle name="Style 75 4 4" xfId="6809" xr:uid="{8D0CCE4B-5ACC-4E7B-8BB3-9FFFBC9AF4CA}"/>
    <cellStyle name="Style 75 4 4 2" xfId="12745" xr:uid="{93AC8D68-C205-4840-8ADD-8AF21DFD2152}"/>
    <cellStyle name="Style 75 4 4 2 2" xfId="31578" xr:uid="{AAE54BC2-90D5-473D-B1EF-F074281D964F}"/>
    <cellStyle name="Style 75 4 5" xfId="6810" xr:uid="{6D971993-2654-4DFE-84C6-FFF61963EE7E}"/>
    <cellStyle name="Style 75 4 5 2" xfId="12746" xr:uid="{904C1E52-5AF2-40B6-8B95-A5232F4EC87F}"/>
    <cellStyle name="Style 75 4 5 2 2" xfId="31579" xr:uid="{A965D601-0755-4AD7-B6B5-066D01D3E7C9}"/>
    <cellStyle name="Style 75 4 6" xfId="6802" xr:uid="{E31C8C3D-9770-4146-AB79-00639321D599}"/>
    <cellStyle name="Style 75 4 6 2" xfId="12747" xr:uid="{C3722C12-A5CE-4B75-9063-DDDEC00B0C80}"/>
    <cellStyle name="Style 75 4 6 2 2" xfId="31580" xr:uid="{C2A7D575-A8BC-4D51-9B12-D3F594037F8B}"/>
    <cellStyle name="Style 75 4 7" xfId="12748" xr:uid="{D33B9C38-41C1-4563-9F45-C04388BF8AFF}"/>
    <cellStyle name="Style 75 4 7 2" xfId="12749" xr:uid="{AF61F122-DAC6-4B8A-86F4-337857923521}"/>
    <cellStyle name="Style 75 4 7 2 2" xfId="31581" xr:uid="{104FE395-36EB-48F8-8DB1-5C896394FD99}"/>
    <cellStyle name="Style 75 4 8" xfId="12750" xr:uid="{B0571542-D728-482E-934A-C74F3A1961DD}"/>
    <cellStyle name="Style 75 4 8 2" xfId="31582" xr:uid="{682617DF-BF4B-4362-A11B-5436A2A4BC62}"/>
    <cellStyle name="Style 75 4 9" xfId="12751" xr:uid="{91F9D823-86A1-461A-8CD4-D9E3B7E2B469}"/>
    <cellStyle name="Style 75 4 9 2" xfId="31583" xr:uid="{B75C5441-47C5-427E-8734-756E59D296E4}"/>
    <cellStyle name="Style 75 5" xfId="3380" xr:uid="{AD4086B8-8AC5-4CCF-B21A-D6378CCBBC74}"/>
    <cellStyle name="Style 75 5 10" xfId="12752" xr:uid="{1744B26B-735C-4BC0-A9C7-F32F328514E2}"/>
    <cellStyle name="Style 75 5 10 2" xfId="31584" xr:uid="{DFAFFC8E-4FD2-492E-8EB6-F1548C87A85B}"/>
    <cellStyle name="Style 75 5 11" xfId="12753" xr:uid="{61A74983-8D71-45BD-B6F8-C17EB6E86C2E}"/>
    <cellStyle name="Style 75 5 11 2" xfId="31585" xr:uid="{E0F04628-1716-4C19-937C-46DA6BD71C8A}"/>
    <cellStyle name="Style 75 5 12" xfId="12754" xr:uid="{FC5AEF31-5C2F-4ECB-A495-9EB26F89D69C}"/>
    <cellStyle name="Style 75 5 12 2" xfId="31586" xr:uid="{10524D31-AEA0-423E-91A6-5E281C5F5602}"/>
    <cellStyle name="Style 75 5 2" xfId="3381" xr:uid="{6C7AF0ED-2976-4009-9F47-86A28AD80849}"/>
    <cellStyle name="Style 75 5 2 10" xfId="12755" xr:uid="{6CEB20C6-C63F-47B8-8113-6E0E3FD2A79E}"/>
    <cellStyle name="Style 75 5 2 10 2" xfId="31587" xr:uid="{469B1536-3D47-43AD-84EB-650D57086762}"/>
    <cellStyle name="Style 75 5 2 2" xfId="6812" xr:uid="{7BE856A6-3667-4313-9E5E-DA6A70CD5F74}"/>
    <cellStyle name="Style 75 5 2 2 2" xfId="12756" xr:uid="{EBF64B9B-0395-4AE9-A39B-8796BF57ECC0}"/>
    <cellStyle name="Style 75 5 2 2 2 2" xfId="31588" xr:uid="{E471A329-A2D6-4A84-B42B-CC9A5E9F82AA}"/>
    <cellStyle name="Style 75 5 2 3" xfId="12757" xr:uid="{ACE82654-30F5-4CBD-ABF5-FDE4204EF7D2}"/>
    <cellStyle name="Style 75 5 2 3 2" xfId="12758" xr:uid="{279EA976-EB44-485E-A36F-B7F7E387600C}"/>
    <cellStyle name="Style 75 5 2 3 2 2" xfId="31589" xr:uid="{A4E34869-0E6D-43C9-BD72-380AD5A1542C}"/>
    <cellStyle name="Style 75 5 2 4" xfId="12759" xr:uid="{BBAC4FA2-33E2-491D-96B6-79986F6FB7F7}"/>
    <cellStyle name="Style 75 5 2 4 2" xfId="31590" xr:uid="{002DF85A-644E-4D44-8AEB-37102861BD77}"/>
    <cellStyle name="Style 75 5 2 5" xfId="12760" xr:uid="{FF979CB6-CFC4-4293-AEAE-8DF7A5D4FECA}"/>
    <cellStyle name="Style 75 5 2 5 2" xfId="31591" xr:uid="{4ED75FCE-6B55-448F-983D-5BD921EE0372}"/>
    <cellStyle name="Style 75 5 2 6" xfId="12761" xr:uid="{AC17053B-B27B-4DA3-B9F8-B9977F3D73B4}"/>
    <cellStyle name="Style 75 5 2 6 2" xfId="31592" xr:uid="{32B6FC58-9956-4556-9531-AC9AB04CDB6F}"/>
    <cellStyle name="Style 75 5 2 7" xfId="12762" xr:uid="{47C6D251-8DE3-4F0B-B666-9363188223F4}"/>
    <cellStyle name="Style 75 5 2 7 2" xfId="31593" xr:uid="{E5F21497-390E-4553-AAAE-C687073820A8}"/>
    <cellStyle name="Style 75 5 2 8" xfId="12763" xr:uid="{83CF2EC7-5A87-4296-B81F-7C0A266C8C94}"/>
    <cellStyle name="Style 75 5 2 8 2" xfId="31594" xr:uid="{4E90431B-2611-43E1-9896-15782FCCF3BE}"/>
    <cellStyle name="Style 75 5 2 9" xfId="12764" xr:uid="{DEF2EE53-901B-4D9A-8A2D-BBB3AEFF66F3}"/>
    <cellStyle name="Style 75 5 2 9 2" xfId="31595" xr:uid="{8DAF37DC-4BC9-421F-B0B6-043A87ADEDDD}"/>
    <cellStyle name="Style 75 5 3" xfId="6811" xr:uid="{FC96DF61-B2B3-4CC1-B46E-7959AD76C58C}"/>
    <cellStyle name="Style 75 5 3 2" xfId="12765" xr:uid="{CD9CF40C-001A-419D-9250-6223FD3EADDF}"/>
    <cellStyle name="Style 75 5 3 2 2" xfId="31596" xr:uid="{538A7A11-7A34-4BE7-ABFC-87B14AB154AA}"/>
    <cellStyle name="Style 75 5 4" xfId="12766" xr:uid="{D9A3810C-1714-4052-AD63-23540200CD09}"/>
    <cellStyle name="Style 75 5 4 2" xfId="12767" xr:uid="{0401AD17-A38E-4931-8BBC-8BBA76A7FBE5}"/>
    <cellStyle name="Style 75 5 4 2 2" xfId="31597" xr:uid="{9A53A40E-A15E-4DBF-BA08-002313BBCA1D}"/>
    <cellStyle name="Style 75 5 5" xfId="12768" xr:uid="{5CBB79C5-7F5C-4D89-995F-60493ED196A9}"/>
    <cellStyle name="Style 75 5 5 2" xfId="31598" xr:uid="{82AF9D0D-9ABE-4A17-91B0-D209820C7D3A}"/>
    <cellStyle name="Style 75 5 6" xfId="12769" xr:uid="{ACCC0FAA-6EE5-4CAD-B9EF-3CBD31979377}"/>
    <cellStyle name="Style 75 5 6 2" xfId="31599" xr:uid="{E2240003-AEE9-46B7-B3B2-D40BEA883639}"/>
    <cellStyle name="Style 75 5 7" xfId="12770" xr:uid="{22BC88E0-78C4-4A44-96D4-5502E055CF96}"/>
    <cellStyle name="Style 75 5 7 2" xfId="31600" xr:uid="{DFC06EA5-ACE9-443F-BD49-48F58397DF1E}"/>
    <cellStyle name="Style 75 5 8" xfId="12771" xr:uid="{09DE3DC9-22EC-40D7-AE44-6B13A8647B61}"/>
    <cellStyle name="Style 75 5 8 2" xfId="31601" xr:uid="{E1BCB7E6-976B-4F9D-8E37-373FED3A94E2}"/>
    <cellStyle name="Style 75 5 9" xfId="12772" xr:uid="{9DCBF1D5-8A73-4913-8D2B-0F9868ADB013}"/>
    <cellStyle name="Style 75 5 9 2" xfId="31602" xr:uid="{2EDEC7B6-91EC-4594-9C3A-5C1E3F26078B}"/>
    <cellStyle name="Style 75 6" xfId="3382" xr:uid="{86A3789A-39E3-4E83-A30D-DF03770943CE}"/>
    <cellStyle name="Style 75 6 10" xfId="12773" xr:uid="{539533B6-BF31-42AD-A021-A076B4F033B7}"/>
    <cellStyle name="Style 75 6 10 2" xfId="31603" xr:uid="{C02ECFC7-FC77-4ECE-942D-8BA031AB0D48}"/>
    <cellStyle name="Style 75 6 11" xfId="12774" xr:uid="{D81A622B-EB50-4C88-A795-15A25ED18F1E}"/>
    <cellStyle name="Style 75 6 11 2" xfId="31604" xr:uid="{3F48FB98-765A-43A6-9EA4-0C8B34530830}"/>
    <cellStyle name="Style 75 6 2" xfId="4203" xr:uid="{31489DEB-555A-4CD2-BB76-CF6AE5DC8E76}"/>
    <cellStyle name="Style 75 6 2 2" xfId="6814" xr:uid="{9CF6D433-FAC9-466D-BADE-AC3B94B76546}"/>
    <cellStyle name="Style 75 6 2 2 2" xfId="28336" xr:uid="{F4CBE4D2-B0B4-4C3C-9D5B-F1A158EFC90C}"/>
    <cellStyle name="Style 75 6 2 3" xfId="12775" xr:uid="{DE10F216-8D60-4319-A17A-4C3CCA3E6BA1}"/>
    <cellStyle name="Style 75 6 2 3 2" xfId="31605" xr:uid="{0D6792D2-0006-4726-BA3D-A2DB9416E410}"/>
    <cellStyle name="Style 75 6 3" xfId="6815" xr:uid="{E4C4988E-2C67-4A73-B9E9-E2FF06F16C00}"/>
    <cellStyle name="Style 75 6 3 2" xfId="12776" xr:uid="{CC775847-DE12-45DA-B847-363E9B257021}"/>
    <cellStyle name="Style 75 6 3 2 2" xfId="31606" xr:uid="{A44932F7-1CF9-42BC-86C5-14AB774323EC}"/>
    <cellStyle name="Style 75 6 4" xfId="6813" xr:uid="{7710D2C2-5870-418C-851C-C647EC34BE5B}"/>
    <cellStyle name="Style 75 6 4 2" xfId="12777" xr:uid="{9CCA16A6-DF3B-43E7-B3E7-DEB6D34F41D6}"/>
    <cellStyle name="Style 75 6 4 2 2" xfId="31607" xr:uid="{B270E834-B90B-40E8-A691-66B21CB5639A}"/>
    <cellStyle name="Style 75 6 5" xfId="12778" xr:uid="{A454FC42-20FA-4EAF-A025-11810E9E69D5}"/>
    <cellStyle name="Style 75 6 5 2" xfId="12779" xr:uid="{9559CDAB-4EFC-40B4-917C-4E1492C512CF}"/>
    <cellStyle name="Style 75 6 5 2 2" xfId="31608" xr:uid="{FE9151F5-4BD0-4E52-A315-63F9F84B553A}"/>
    <cellStyle name="Style 75 6 6" xfId="12780" xr:uid="{F873A6CA-7184-4BA9-BBDD-FA84869D5E4B}"/>
    <cellStyle name="Style 75 6 6 2" xfId="31609" xr:uid="{F4470680-195B-417B-BAB9-9B4AA30DA8F5}"/>
    <cellStyle name="Style 75 6 7" xfId="12781" xr:uid="{7B8C3AC6-F24D-4C62-B0A1-DB32ECC004B7}"/>
    <cellStyle name="Style 75 6 7 2" xfId="31610" xr:uid="{3C204BED-4443-48B4-A53C-176FB882C526}"/>
    <cellStyle name="Style 75 6 8" xfId="12782" xr:uid="{01EB5869-C9C4-4F3D-9A6E-269AF5F8910B}"/>
    <cellStyle name="Style 75 6 8 2" xfId="31611" xr:uid="{F7608F5C-ED38-4487-82A9-5108D3099A6D}"/>
    <cellStyle name="Style 75 6 9" xfId="12783" xr:uid="{E1F53615-5236-4693-9F56-FDFDC9D0C54E}"/>
    <cellStyle name="Style 75 6 9 2" xfId="31612" xr:uid="{53F5D0FA-A854-47B6-B948-0826AFA34212}"/>
    <cellStyle name="Style 75 7" xfId="4202" xr:uid="{7008D80F-62CA-4494-AB45-7CA4C58E96C9}"/>
    <cellStyle name="Style 75 7 2" xfId="6817" xr:uid="{42279D73-3BC6-4104-8A9A-1A3B0F048440}"/>
    <cellStyle name="Style 75 7 3" xfId="6818" xr:uid="{12D51F07-2A08-45B1-A133-1F6D98E66245}"/>
    <cellStyle name="Style 75 7 4" xfId="6816" xr:uid="{F23927FB-0CA3-4F59-B186-299323D329EB}"/>
    <cellStyle name="Style 75 7 4 2" xfId="28335" xr:uid="{BDB30E36-AE18-4473-AC7C-32BA41ECCD04}"/>
    <cellStyle name="Style 75 7 5" xfId="12784" xr:uid="{0B4C0F58-1D0E-46D6-83DC-41C1439F0959}"/>
    <cellStyle name="Style 75 7 5 2" xfId="31613" xr:uid="{9B3BB0B0-D953-44F9-848F-B48DCE448B48}"/>
    <cellStyle name="Style 75 7 6" xfId="23974" xr:uid="{8AE46A74-2E7F-4F53-BAA9-6E8D433B0B73}"/>
    <cellStyle name="Style 75 8" xfId="6819" xr:uid="{6D5526E0-F4D6-4E08-BBA5-8BCD2D505681}"/>
    <cellStyle name="Style 75 8 2" xfId="12785" xr:uid="{DA4AA166-6C09-4FE4-A7C9-A441487B11FD}"/>
    <cellStyle name="Style 75 8 2 2" xfId="31614" xr:uid="{A9F07170-3105-4B36-9FFE-C54626F7017A}"/>
    <cellStyle name="Style 75 9" xfId="6820" xr:uid="{411F2247-43B5-4711-9FF4-520075C23456}"/>
    <cellStyle name="Style 75 9 2" xfId="12786" xr:uid="{74008C3D-CB6B-42EA-AC16-C7645688CCA0}"/>
    <cellStyle name="Style 75 9 2 2" xfId="31615" xr:uid="{852A25A4-1F01-4DDC-AA84-87DD43BE626F}"/>
    <cellStyle name="Style 75_ADDON" xfId="25808" xr:uid="{A353D376-1739-4B35-B3C8-4B9CF0630ED2}"/>
    <cellStyle name="Style 80" xfId="3383" xr:uid="{1B01D569-B617-410F-9CED-CF5575E8C582}"/>
    <cellStyle name="Style 80 10" xfId="3384" xr:uid="{4D085354-4F13-4CAD-AF25-884AE0DC9ADF}"/>
    <cellStyle name="Style 80 10 10" xfId="12787" xr:uid="{859BE6C1-C4F2-4D6B-8F02-CCE9FFA638FF}"/>
    <cellStyle name="Style 80 10 10 2" xfId="31616" xr:uid="{52B04387-34C6-4A5E-81D7-719DB36B8FB8}"/>
    <cellStyle name="Style 80 10 11" xfId="12788" xr:uid="{7D5DADC8-6C38-4E25-A598-E991BC25857D}"/>
    <cellStyle name="Style 80 10 11 2" xfId="31617" xr:uid="{7050FEAA-25E1-49E3-8706-C78B16CC9A88}"/>
    <cellStyle name="Style 80 10 12" xfId="12789" xr:uid="{88D59994-CFD3-4746-9EEF-C9E5DE99D4DE}"/>
    <cellStyle name="Style 80 10 12 2" xfId="31618" xr:uid="{8CF7E764-8681-4047-AB80-8FDC116BA999}"/>
    <cellStyle name="Style 80 10 13" xfId="23976" xr:uid="{B8DD8828-74F3-478F-829F-5431FC295CB6}"/>
    <cellStyle name="Style 80 10 2" xfId="3385" xr:uid="{5C26811D-88F1-4749-A6A1-B432A503C43A}"/>
    <cellStyle name="Style 80 10 2 10" xfId="12790" xr:uid="{E6BEC9E6-1FF1-4FF2-8393-AD1651646039}"/>
    <cellStyle name="Style 80 10 2 10 2" xfId="31619" xr:uid="{F33A51BF-4C67-47F1-98ED-30F78E808BDB}"/>
    <cellStyle name="Style 80 10 2 2" xfId="6823" xr:uid="{37917F72-DB6E-42E1-87C8-80A14ED5D5BA}"/>
    <cellStyle name="Style 80 10 2 2 2" xfId="12791" xr:uid="{B53C8808-05AB-4C26-8293-7AC4BE1FBCE1}"/>
    <cellStyle name="Style 80 10 2 2 2 2" xfId="31620" xr:uid="{B4A4A20F-27DA-43BA-8535-0DCBEC774A29}"/>
    <cellStyle name="Style 80 10 2 3" xfId="12792" xr:uid="{EB88909F-8B6F-4C55-A6A7-06B15BA2A2D6}"/>
    <cellStyle name="Style 80 10 2 3 2" xfId="12793" xr:uid="{C04C91D0-ED34-43F2-8159-8086B779B3E0}"/>
    <cellStyle name="Style 80 10 2 3 2 2" xfId="31621" xr:uid="{45EBD47E-A350-4FB0-8C8F-B0E6328CED75}"/>
    <cellStyle name="Style 80 10 2 3 3" xfId="28015" xr:uid="{B70666BE-19BB-4153-AA57-E15D82A406D0}"/>
    <cellStyle name="Style 80 10 2 4" xfId="12794" xr:uid="{29F5C640-B945-4098-9AD9-909002EC4CE2}"/>
    <cellStyle name="Style 80 10 2 4 2" xfId="31622" xr:uid="{57DC70DF-659A-4234-B6AB-39D4F89CB662}"/>
    <cellStyle name="Style 80 10 2 5" xfId="12795" xr:uid="{C376A841-C9CB-42F5-99E6-9CA057BCD7EE}"/>
    <cellStyle name="Style 80 10 2 5 2" xfId="31623" xr:uid="{4CB5068D-74FF-4F44-A135-E817355BB46E}"/>
    <cellStyle name="Style 80 10 2 6" xfId="12796" xr:uid="{0E7E562C-4829-4BAC-B9A0-645AF6A04918}"/>
    <cellStyle name="Style 80 10 2 6 2" xfId="31624" xr:uid="{5F9ED416-6671-495B-899B-EE7C1D8E7426}"/>
    <cellStyle name="Style 80 10 2 7" xfId="12797" xr:uid="{22E4EBC3-B5F3-4F17-9C17-0A95E68B97C8}"/>
    <cellStyle name="Style 80 10 2 7 2" xfId="31625" xr:uid="{B02F6AEA-7B94-4619-8B27-287D81F942B9}"/>
    <cellStyle name="Style 80 10 2 8" xfId="12798" xr:uid="{CAA296A4-BF09-40DB-9CB4-D4D5943D2EFE}"/>
    <cellStyle name="Style 80 10 2 8 2" xfId="31626" xr:uid="{9F9DF3EC-93C9-4B2A-ABF7-451DA2AD85F8}"/>
    <cellStyle name="Style 80 10 2 9" xfId="12799" xr:uid="{B24DC40E-2037-49D9-B6E7-5258DEBD54EB}"/>
    <cellStyle name="Style 80 10 2 9 2" xfId="31627" xr:uid="{F898DAAB-D7AF-4980-8FA1-B871C8F05C48}"/>
    <cellStyle name="Style 80 10 3" xfId="4204" xr:uid="{75229DAA-36A8-4B9E-9021-90F2FCE4A34E}"/>
    <cellStyle name="Style 80 10 3 2" xfId="6824" xr:uid="{4124013C-064B-429C-94C2-54167F0B8145}"/>
    <cellStyle name="Style 80 10 3 2 2" xfId="28337" xr:uid="{6ED11FD5-E28A-4F28-9D3C-D33DD2AB9AD1}"/>
    <cellStyle name="Style 80 10 3 3" xfId="12800" xr:uid="{7F1D3588-A8D1-46C2-962F-68C018D82098}"/>
    <cellStyle name="Style 80 10 3 3 2" xfId="31628" xr:uid="{523B3C53-24D2-433F-91FB-0F7B1791A7A6}"/>
    <cellStyle name="Style 80 10 4" xfId="6822" xr:uid="{4FDC5219-7660-4484-9A6E-F6365E9DD59E}"/>
    <cellStyle name="Style 80 10 4 2" xfId="12801" xr:uid="{E72B2EA2-423C-4F62-8AED-790C9D51781E}"/>
    <cellStyle name="Style 80 10 4 2 2" xfId="31629" xr:uid="{6B5E35C6-7E32-4EAA-8ED0-29D74EA38129}"/>
    <cellStyle name="Style 80 10 5" xfId="12802" xr:uid="{FD64CE50-F5A8-4D9E-B04F-8AE5367AD000}"/>
    <cellStyle name="Style 80 10 5 2" xfId="12803" xr:uid="{5759AB25-EEFB-4E18-9FBC-6121FFA6E42F}"/>
    <cellStyle name="Style 80 10 5 2 2" xfId="31630" xr:uid="{566F6199-C979-47F3-BD3A-9E7F49C90C9A}"/>
    <cellStyle name="Style 80 10 5 3" xfId="28014" xr:uid="{0B38CDB0-8ECF-481A-B621-CD4DA8297188}"/>
    <cellStyle name="Style 80 10 6" xfId="12804" xr:uid="{77AFDCF8-242A-4FF5-B5E9-9320BEA83455}"/>
    <cellStyle name="Style 80 10 6 2" xfId="31631" xr:uid="{06F510A4-F35B-4CC8-B1EA-E5EE2C57831D}"/>
    <cellStyle name="Style 80 10 7" xfId="12805" xr:uid="{F997E79B-8AA2-41C4-AFD7-7DD77B0109E5}"/>
    <cellStyle name="Style 80 10 7 2" xfId="31632" xr:uid="{E97989D5-EFBB-4370-B1B6-B9A463C2BE05}"/>
    <cellStyle name="Style 80 10 8" xfId="12806" xr:uid="{34153F43-84C8-4AB7-9128-16EFA857C7E3}"/>
    <cellStyle name="Style 80 10 8 2" xfId="31633" xr:uid="{852B80CB-B853-4691-B7E5-7EBD60FA7CD9}"/>
    <cellStyle name="Style 80 10 9" xfId="12807" xr:uid="{B7C0A4D6-33C3-4631-AF0A-5A88043AD199}"/>
    <cellStyle name="Style 80 10 9 2" xfId="31634" xr:uid="{ED292CAD-1AA5-4128-9AD7-9018627FBE65}"/>
    <cellStyle name="Style 80 11" xfId="3386" xr:uid="{4711B1C4-2C37-4374-AFC6-E6725825D70D}"/>
    <cellStyle name="Style 80 11 10" xfId="12808" xr:uid="{8DA2EFCA-4DCF-419E-8B43-28F7FBB9E2A4}"/>
    <cellStyle name="Style 80 11 10 2" xfId="31635" xr:uid="{30562129-450A-4F79-9A55-8D7D48A02CA4}"/>
    <cellStyle name="Style 80 11 11" xfId="12809" xr:uid="{2BB634C8-2B5F-4DC7-B37A-DB16619303C4}"/>
    <cellStyle name="Style 80 11 11 2" xfId="31636" xr:uid="{2D9F93DF-DEEB-4980-8E28-02B5038B7077}"/>
    <cellStyle name="Style 80 11 12" xfId="12810" xr:uid="{396F6E0E-9276-4FA7-97C4-689F58404E1F}"/>
    <cellStyle name="Style 80 11 12 2" xfId="31637" xr:uid="{FF76F498-9708-4A74-AF81-9D2BB7785398}"/>
    <cellStyle name="Style 80 11 13" xfId="23977" xr:uid="{7002A37D-362F-4D52-BA56-158D1DC1B894}"/>
    <cellStyle name="Style 80 11 2" xfId="3387" xr:uid="{F7BF5DA9-D2CA-43F9-8D4D-C34AB7C22751}"/>
    <cellStyle name="Style 80 11 2 10" xfId="12811" xr:uid="{C8B45C87-9A41-46BD-A8EF-2C06398871F0}"/>
    <cellStyle name="Style 80 11 2 10 2" xfId="31638" xr:uid="{C3970A89-5D50-4F78-90B2-8136A261DA1D}"/>
    <cellStyle name="Style 80 11 2 2" xfId="6826" xr:uid="{951189EE-D0AE-46E8-8DC8-BD4F872CC423}"/>
    <cellStyle name="Style 80 11 2 2 2" xfId="12812" xr:uid="{39CA143A-EEB5-4719-A11E-1FB6C0C6E33E}"/>
    <cellStyle name="Style 80 11 2 2 2 2" xfId="31639" xr:uid="{756FB6C0-518F-4A8D-A0D0-2FF206B0B093}"/>
    <cellStyle name="Style 80 11 2 3" xfId="12813" xr:uid="{920763CB-A28E-4CD2-A914-F4164CCF18E3}"/>
    <cellStyle name="Style 80 11 2 3 2" xfId="12814" xr:uid="{95B91A5E-9F92-461D-84BC-FC16523427B6}"/>
    <cellStyle name="Style 80 11 2 3 2 2" xfId="31640" xr:uid="{E2E1A112-156D-49F0-905E-B37B374C65B4}"/>
    <cellStyle name="Style 80 11 2 3 3" xfId="28017" xr:uid="{DD9B18F7-0810-4D89-9891-A246B6894377}"/>
    <cellStyle name="Style 80 11 2 4" xfId="12815" xr:uid="{CA8A8036-3C4E-47CC-A30C-5D885F38001B}"/>
    <cellStyle name="Style 80 11 2 4 2" xfId="31641" xr:uid="{F57C3D27-1E7F-4465-8C8D-83B9C3C41B1C}"/>
    <cellStyle name="Style 80 11 2 5" xfId="12816" xr:uid="{04A848BA-290D-4C12-8426-3F0E4AC5EC33}"/>
    <cellStyle name="Style 80 11 2 5 2" xfId="31642" xr:uid="{4EDB4A7E-1303-4CB1-9834-A52D92E7FF3D}"/>
    <cellStyle name="Style 80 11 2 6" xfId="12817" xr:uid="{33EBDA2B-5ABF-4553-9F5F-200972981F2B}"/>
    <cellStyle name="Style 80 11 2 6 2" xfId="31643" xr:uid="{6B5B8C64-5B28-4434-BDDF-331259A01997}"/>
    <cellStyle name="Style 80 11 2 7" xfId="12818" xr:uid="{2C15034C-2DF7-4623-AB69-59128185D2B0}"/>
    <cellStyle name="Style 80 11 2 7 2" xfId="31644" xr:uid="{EB80720D-E41C-425F-BE41-B6814F89AFF4}"/>
    <cellStyle name="Style 80 11 2 8" xfId="12819" xr:uid="{CAFA17F5-2401-4956-8F8A-437575EFC364}"/>
    <cellStyle name="Style 80 11 2 8 2" xfId="31645" xr:uid="{2CFCCC7B-8B59-4AC9-9365-F0C3F4C70E4C}"/>
    <cellStyle name="Style 80 11 2 9" xfId="12820" xr:uid="{A650AAEB-3BE1-4AF0-8E61-5D04982F6719}"/>
    <cellStyle name="Style 80 11 2 9 2" xfId="31646" xr:uid="{8F4B2481-ABFD-4F46-8965-8029207530A2}"/>
    <cellStyle name="Style 80 11 3" xfId="6827" xr:uid="{F591F4E5-1B64-4337-AB70-3A0C8ABD3A3F}"/>
    <cellStyle name="Style 80 11 3 2" xfId="12821" xr:uid="{A5BF3084-8044-407F-AF89-8B0EC9874AC8}"/>
    <cellStyle name="Style 80 11 3 2 2" xfId="31647" xr:uid="{A765A736-F41E-47C6-81D5-1B27AE3FA258}"/>
    <cellStyle name="Style 80 11 4" xfId="6825" xr:uid="{8643B2A5-5BDC-4BE3-86F5-3CC31BA0BBE4}"/>
    <cellStyle name="Style 80 11 4 2" xfId="12822" xr:uid="{5B41B3E8-88CE-488D-9F88-1A521CE57B8F}"/>
    <cellStyle name="Style 80 11 4 2 2" xfId="31648" xr:uid="{67CD9FA6-8049-472E-8585-E35F3EB568C6}"/>
    <cellStyle name="Style 80 11 5" xfId="12823" xr:uid="{8152343B-43E4-4EC0-90C2-2C01BC0CA3E0}"/>
    <cellStyle name="Style 80 11 5 2" xfId="12824" xr:uid="{4F88D18E-9F87-4555-9275-D081D953FDB4}"/>
    <cellStyle name="Style 80 11 5 2 2" xfId="31649" xr:uid="{CB511F71-A4FA-4433-B942-BE48514F8EFB}"/>
    <cellStyle name="Style 80 11 5 3" xfId="28016" xr:uid="{9C715CB3-3769-41E5-8B63-177FA5F5D7C0}"/>
    <cellStyle name="Style 80 11 6" xfId="12825" xr:uid="{1401366F-F152-469F-9C85-76F6B39DE9BD}"/>
    <cellStyle name="Style 80 11 6 2" xfId="31650" xr:uid="{9489A219-691E-450B-BA67-27B9A40682C0}"/>
    <cellStyle name="Style 80 11 7" xfId="12826" xr:uid="{FB30EB91-3889-4338-B6F3-111989297185}"/>
    <cellStyle name="Style 80 11 7 2" xfId="31651" xr:uid="{80530F62-5791-40E3-9018-0B814A9BCC45}"/>
    <cellStyle name="Style 80 11 8" xfId="12827" xr:uid="{3F546E49-A1FD-44F4-8801-6BC9B33199E9}"/>
    <cellStyle name="Style 80 11 8 2" xfId="31652" xr:uid="{E8AFE63B-0816-4690-97F5-24CE3ECFD48F}"/>
    <cellStyle name="Style 80 11 9" xfId="12828" xr:uid="{D2683BA1-148C-4ED4-BE69-0BCF054D6D38}"/>
    <cellStyle name="Style 80 11 9 2" xfId="31653" xr:uid="{39C5474F-BFFA-4250-A155-86CBE8BC1E08}"/>
    <cellStyle name="Style 80 12" xfId="3388" xr:uid="{770712A6-5963-40F8-9686-2D5E80F6AE70}"/>
    <cellStyle name="Style 80 12 10" xfId="12829" xr:uid="{6499464E-8C55-4B61-A4E8-60C050402B55}"/>
    <cellStyle name="Style 80 12 10 2" xfId="31654" xr:uid="{2BF92841-B8AC-47B0-AA3B-EC4F39A11B16}"/>
    <cellStyle name="Style 80 12 11" xfId="12830" xr:uid="{2E6134F0-B1E7-40B6-86E6-0260F3DB88BE}"/>
    <cellStyle name="Style 80 12 11 2" xfId="31655" xr:uid="{09CCB33C-33AA-467F-A014-39FA5FA1E5F1}"/>
    <cellStyle name="Style 80 12 12" xfId="12831" xr:uid="{A99EA129-7234-4BBC-BA5D-FE813640D50F}"/>
    <cellStyle name="Style 80 12 12 2" xfId="31656" xr:uid="{96E12CD2-7323-4939-B357-27CB61972068}"/>
    <cellStyle name="Style 80 12 13" xfId="12832" xr:uid="{358D7086-B0FC-4BDA-9148-CEAEB58224B6}"/>
    <cellStyle name="Style 80 12 13 2" xfId="31657" xr:uid="{AD412134-2B0A-4435-8C21-41AD4CF46E84}"/>
    <cellStyle name="Style 80 12 2" xfId="6828" xr:uid="{73095790-C84D-4E97-86FD-0D19663EAB1A}"/>
    <cellStyle name="Style 80 12 2 2" xfId="12833" xr:uid="{E270B663-1399-47F3-8C85-03894392C439}"/>
    <cellStyle name="Style 80 12 2 2 2" xfId="31658" xr:uid="{8389AAF7-3848-4181-83E5-038CEFDE2621}"/>
    <cellStyle name="Style 80 12 2 3" xfId="12834" xr:uid="{96331617-6E75-4689-8064-9D40A02FAB6F}"/>
    <cellStyle name="Style 80 12 2 3 2" xfId="31659" xr:uid="{8D7CAD89-59F0-4AD5-A831-91C07026107E}"/>
    <cellStyle name="Style 80 12 2 4" xfId="12835" xr:uid="{1FE64CAC-3E84-4A2F-A759-AB6E8757FB39}"/>
    <cellStyle name="Style 80 12 2 4 2" xfId="31660" xr:uid="{9C81678B-6F92-4958-9782-CC8914B0B187}"/>
    <cellStyle name="Style 80 12 2 5" xfId="12836" xr:uid="{EF5DE9E2-BD66-4D10-A85C-931F782A814A}"/>
    <cellStyle name="Style 80 12 2 5 2" xfId="31661" xr:uid="{30F25AD7-6B0B-49B7-8448-38EAFDA91987}"/>
    <cellStyle name="Style 80 12 2 6" xfId="12837" xr:uid="{2BB8E185-D612-4597-A8FD-53ECC07F0CE4}"/>
    <cellStyle name="Style 80 12 2 6 2" xfId="31662" xr:uid="{DE371C37-5D30-4DE6-BD5C-B7D8CD8788D7}"/>
    <cellStyle name="Style 80 12 2 7" xfId="12838" xr:uid="{0F9818EE-1DB1-443D-9CCD-5CD8F9E3A3B2}"/>
    <cellStyle name="Style 80 12 2 7 2" xfId="31663" xr:uid="{71FEE555-4133-40F2-85CC-2E7397BDF626}"/>
    <cellStyle name="Style 80 12 2 8" xfId="12839" xr:uid="{CAFB9848-FA0C-4A61-A4E2-3C74F23171F3}"/>
    <cellStyle name="Style 80 12 2 8 2" xfId="31664" xr:uid="{C138A6F7-9F90-4B2E-A2E3-2E6778B983FE}"/>
    <cellStyle name="Style 80 12 2 9" xfId="12840" xr:uid="{AFA51CC9-90F5-4CCC-B2BA-676BEE62D013}"/>
    <cellStyle name="Style 80 12 2 9 2" xfId="31665" xr:uid="{6367D644-CF82-44D1-B943-439E53109A11}"/>
    <cellStyle name="Style 80 12 3" xfId="12841" xr:uid="{AF56A340-E590-4C78-BA20-7AB100CD9CE1}"/>
    <cellStyle name="Style 80 12 3 10" xfId="28018" xr:uid="{1199E879-92A3-40F4-8336-58BD5E147E2E}"/>
    <cellStyle name="Style 80 12 3 2" xfId="12842" xr:uid="{487B9744-FA15-4C3E-8DB2-BFE538B0C2DD}"/>
    <cellStyle name="Style 80 12 3 2 2" xfId="31666" xr:uid="{448F068D-7C6D-4F47-92C6-BD1073916FC0}"/>
    <cellStyle name="Style 80 12 3 3" xfId="12843" xr:uid="{1FD89889-14DE-40EA-A9FE-B8ABE8E74D06}"/>
    <cellStyle name="Style 80 12 3 3 2" xfId="31667" xr:uid="{5A81323E-B955-4B8E-B221-1761CC31F618}"/>
    <cellStyle name="Style 80 12 3 4" xfId="12844" xr:uid="{CD890455-43FB-4AE9-A483-DC7B709746ED}"/>
    <cellStyle name="Style 80 12 3 4 2" xfId="31668" xr:uid="{81BB919D-5619-4F1C-B49F-BD76E4EB9708}"/>
    <cellStyle name="Style 80 12 3 5" xfId="12845" xr:uid="{B41774B8-797C-41B7-8488-E80E0D9BA718}"/>
    <cellStyle name="Style 80 12 3 5 2" xfId="31669" xr:uid="{B607022B-26D8-4A01-B549-707D0AC7E2EC}"/>
    <cellStyle name="Style 80 12 3 6" xfId="12846" xr:uid="{010171C5-2553-4DBB-A8B9-06FE1910F5AC}"/>
    <cellStyle name="Style 80 12 3 6 2" xfId="31670" xr:uid="{51B1E272-E99D-414A-B77A-99F3BD47B669}"/>
    <cellStyle name="Style 80 12 3 7" xfId="12847" xr:uid="{AC16CA27-4A04-4ED4-8276-D1D39D2E6803}"/>
    <cellStyle name="Style 80 12 3 7 2" xfId="31671" xr:uid="{06A24675-280A-49E6-AD45-E238FD9E2824}"/>
    <cellStyle name="Style 80 12 3 8" xfId="12848" xr:uid="{D27ACD18-1298-4649-B84A-D9A80E24E714}"/>
    <cellStyle name="Style 80 12 3 8 2" xfId="31672" xr:uid="{612DAA52-86F2-41BD-B0DD-3984F4FC3650}"/>
    <cellStyle name="Style 80 12 3 9" xfId="12849" xr:uid="{61B47E0E-FA7B-4AB4-8CE3-D4585AE7D642}"/>
    <cellStyle name="Style 80 12 3 9 2" xfId="31673" xr:uid="{AA90AFB2-BDB3-4102-81CC-171525F948FE}"/>
    <cellStyle name="Style 80 12 4" xfId="12850" xr:uid="{3AA202A5-A371-4077-A87F-4D4EAEC207E5}"/>
    <cellStyle name="Style 80 12 4 2" xfId="12851" xr:uid="{CDCCD8C5-BBA5-42CD-A3D2-F1EF311B2DF7}"/>
    <cellStyle name="Style 80 12 4 2 2" xfId="31675" xr:uid="{B396967A-6EC8-4861-B8F9-8ABDBF3069DC}"/>
    <cellStyle name="Style 80 12 4 3" xfId="12852" xr:uid="{874495E4-9407-4BC2-8679-995CD4C05325}"/>
    <cellStyle name="Style 80 12 4 3 2" xfId="31676" xr:uid="{79870017-1540-4785-AF3A-392F39EEE60B}"/>
    <cellStyle name="Style 80 12 4 4" xfId="12853" xr:uid="{E4A4F215-A89B-4870-B22A-1F733C40F223}"/>
    <cellStyle name="Style 80 12 4 4 2" xfId="31677" xr:uid="{905CD6D9-3657-4AB3-8272-8CDA47D44286}"/>
    <cellStyle name="Style 80 12 4 5" xfId="12854" xr:uid="{235EF89E-F87C-4FD3-BF01-EDA6C0C8D6F1}"/>
    <cellStyle name="Style 80 12 4 5 2" xfId="31678" xr:uid="{E9A99A7D-DFA8-4360-B6B5-0026B61FBF23}"/>
    <cellStyle name="Style 80 12 4 6" xfId="12855" xr:uid="{09175516-9866-4B40-A066-1034C6F76EC2}"/>
    <cellStyle name="Style 80 12 4 6 2" xfId="31679" xr:uid="{EC539A99-0159-4DEF-8228-104A635CBA1F}"/>
    <cellStyle name="Style 80 12 4 7" xfId="31674" xr:uid="{4230587D-957C-4DC1-8C53-CF5FB37E41D5}"/>
    <cellStyle name="Style 80 12 5" xfId="12856" xr:uid="{EDE80F53-B953-477A-AC15-D0F838833E1C}"/>
    <cellStyle name="Style 80 12 5 2" xfId="31680" xr:uid="{A2317A4B-25E5-4F7B-A28B-45457B832B8A}"/>
    <cellStyle name="Style 80 12 6" xfId="12857" xr:uid="{78CEE376-5FDE-4668-B300-7AE9A97A59B6}"/>
    <cellStyle name="Style 80 12 6 2" xfId="31681" xr:uid="{BD02F1C2-DEFE-49E0-9780-8857B508454A}"/>
    <cellStyle name="Style 80 12 7" xfId="12858" xr:uid="{2AD67482-21AF-4458-89A1-D633D07F1530}"/>
    <cellStyle name="Style 80 12 7 2" xfId="31682" xr:uid="{88D0F63A-DD22-49DA-A75C-B95D78F0BD1E}"/>
    <cellStyle name="Style 80 12 8" xfId="12859" xr:uid="{8A08A78A-D14F-4554-AB51-AC2EE8607348}"/>
    <cellStyle name="Style 80 12 8 2" xfId="31683" xr:uid="{3945A61C-F2B9-4541-9ECD-1B9F4BCF17F6}"/>
    <cellStyle name="Style 80 12 9" xfId="12860" xr:uid="{E22AEE06-F6C5-4329-8E64-E31F1C431024}"/>
    <cellStyle name="Style 80 12 9 2" xfId="31684" xr:uid="{5D11B48C-77A7-41DC-B09C-9D1194EC4A61}"/>
    <cellStyle name="Style 80 13" xfId="6829" xr:uid="{EFC7DA0F-F83D-41DD-97CB-C47166E16BD0}"/>
    <cellStyle name="Style 80 13 2" xfId="12861" xr:uid="{5178A29C-418C-4BF8-A516-B27922BBE153}"/>
    <cellStyle name="Style 80 13 2 2" xfId="31685" xr:uid="{7E53CABB-5D6A-440D-963B-D250BFC75C42}"/>
    <cellStyle name="Style 80 13 3" xfId="12862" xr:uid="{2D6A7EBF-CBB9-4F45-B174-4A400CE31003}"/>
    <cellStyle name="Style 80 13 3 2" xfId="31686" xr:uid="{D1580401-7070-4289-9782-7DE3CCDD4006}"/>
    <cellStyle name="Style 80 13 4" xfId="12863" xr:uid="{0B77C6A8-48F5-4399-94DA-775378B4BE73}"/>
    <cellStyle name="Style 80 13 4 2" xfId="31687" xr:uid="{EF77839B-4F9B-486D-85FE-8F3AA74DF6D3}"/>
    <cellStyle name="Style 80 13 5" xfId="12864" xr:uid="{84FBA211-92F8-4B94-B37D-D6E986BB81D7}"/>
    <cellStyle name="Style 80 13 5 2" xfId="31688" xr:uid="{89E5AECD-0EFC-42EB-B358-7F46D39137C7}"/>
    <cellStyle name="Style 80 13 6" xfId="12865" xr:uid="{F8CE9C4F-F705-4F60-BB4A-16B508EC031C}"/>
    <cellStyle name="Style 80 13 6 2" xfId="31689" xr:uid="{D72DA831-3D68-4BFC-9712-7FA5D465302A}"/>
    <cellStyle name="Style 80 13 7" xfId="12866" xr:uid="{7628573D-2302-4430-867C-D5405E63B8E3}"/>
    <cellStyle name="Style 80 13 7 2" xfId="31690" xr:uid="{2137C169-F0A0-4535-8F09-475B037306D6}"/>
    <cellStyle name="Style 80 13 8" xfId="12867" xr:uid="{19EEA71B-12AA-4C12-A27E-2B0DC347A1FE}"/>
    <cellStyle name="Style 80 13 8 2" xfId="31691" xr:uid="{C2FDDDDE-736B-4F6B-9B39-915850E7D95F}"/>
    <cellStyle name="Style 80 13 9" xfId="12868" xr:uid="{8D102F31-9DCA-429C-ACBE-C83A410ED823}"/>
    <cellStyle name="Style 80 13 9 2" xfId="31692" xr:uid="{91022640-E7F9-41A0-BB70-2039EF270B7E}"/>
    <cellStyle name="Style 80 14" xfId="6821" xr:uid="{F53396CC-13E4-4711-AE3A-C7296B55F070}"/>
    <cellStyle name="Style 80 14 2" xfId="12869" xr:uid="{C364F707-4123-4699-A878-CFED690EE109}"/>
    <cellStyle name="Style 80 14 2 2" xfId="31693" xr:uid="{2F91B219-137F-412A-AF39-3C99103D2573}"/>
    <cellStyle name="Style 80 14 3" xfId="12870" xr:uid="{1D75B60D-5292-482E-9041-3DCA7B7E9D8B}"/>
    <cellStyle name="Style 80 14 3 2" xfId="31694" xr:uid="{E9DAA7FA-21C9-4FC4-82B9-4149EC7C9E26}"/>
    <cellStyle name="Style 80 14 4" xfId="12871" xr:uid="{2740FC71-8C07-4DB7-B979-E6807B1C0B66}"/>
    <cellStyle name="Style 80 14 4 2" xfId="31695" xr:uid="{081144F4-B25B-41F9-8D49-FBBC033CA055}"/>
    <cellStyle name="Style 80 14 5" xfId="12872" xr:uid="{61C5C67C-C3B1-482B-8584-36E6AF9414A6}"/>
    <cellStyle name="Style 80 14 5 2" xfId="31696" xr:uid="{C609A27B-8C63-4C0A-B89B-6129BA013044}"/>
    <cellStyle name="Style 80 14 6" xfId="12873" xr:uid="{DFF0BB50-ECE6-4F74-983A-A5E1EB57A8D4}"/>
    <cellStyle name="Style 80 14 6 2" xfId="31697" xr:uid="{C9771B97-A1C1-47AF-BBAA-C7D83CD8A090}"/>
    <cellStyle name="Style 80 14 7" xfId="12874" xr:uid="{71E4D242-9FAE-42FF-A188-A87677C7C843}"/>
    <cellStyle name="Style 80 14 7 2" xfId="31698" xr:uid="{39B8B94C-F846-4517-BCFE-E0C4CB1D47FF}"/>
    <cellStyle name="Style 80 14 8" xfId="12875" xr:uid="{62790702-764B-49C5-BC9E-763023172C6E}"/>
    <cellStyle name="Style 80 14 8 2" xfId="31699" xr:uid="{8CA2AA4B-CD03-4476-919C-9F95E533A58D}"/>
    <cellStyle name="Style 80 14 9" xfId="12876" xr:uid="{4250FD30-738C-4038-BFA0-25D2DC54A376}"/>
    <cellStyle name="Style 80 14 9 2" xfId="31700" xr:uid="{8F44C03D-989F-4038-AEEB-724DF70A2C84}"/>
    <cellStyle name="Style 80 15" xfId="12877" xr:uid="{AE810B95-FC5E-454F-BE96-539D4AF0D7C6}"/>
    <cellStyle name="Style 80 15 2" xfId="12878" xr:uid="{45A7D1C9-E3B7-4BF8-97BC-75A172BF3E8E}"/>
    <cellStyle name="Style 80 15 2 2" xfId="31701" xr:uid="{10A0205E-FF88-49CF-8E51-CB225B11C094}"/>
    <cellStyle name="Style 80 15 3" xfId="12879" xr:uid="{B4F9DA68-DC8A-4B2B-AAB3-BCE566DA0A4B}"/>
    <cellStyle name="Style 80 15 3 2" xfId="31702" xr:uid="{6DD7E2A9-CC6A-4B2B-AFA6-9FBE5D84478D}"/>
    <cellStyle name="Style 80 15 4" xfId="12880" xr:uid="{FB18E779-678D-4182-8588-22DD8DEFC371}"/>
    <cellStyle name="Style 80 15 4 2" xfId="31703" xr:uid="{E8288D3E-2902-4A06-A287-EADB2F51A2CD}"/>
    <cellStyle name="Style 80 15 5" xfId="12881" xr:uid="{7BE7504B-6D37-4C3D-90A8-23B1E039740D}"/>
    <cellStyle name="Style 80 15 5 2" xfId="31704" xr:uid="{EEA229A3-23F2-46D4-BC2A-BC6B20894BBB}"/>
    <cellStyle name="Style 80 15 6" xfId="12882" xr:uid="{EEB90507-F50E-47F4-BA5A-57C0B493A100}"/>
    <cellStyle name="Style 80 15 6 2" xfId="31705" xr:uid="{03A5E709-FB15-4A33-B2A7-3305A177D2A6}"/>
    <cellStyle name="Style 80 15 7" xfId="12883" xr:uid="{5F094016-FA58-4C49-91E7-E85A12D4ADE1}"/>
    <cellStyle name="Style 80 15 7 2" xfId="31706" xr:uid="{015107E8-460F-40C7-AFF2-9DF7A33D7BFC}"/>
    <cellStyle name="Style 80 15 8" xfId="26695" xr:uid="{9DD74EDD-7593-4E72-AF0A-2547DA3F40D6}"/>
    <cellStyle name="Style 80 16" xfId="12884" xr:uid="{D2D05591-D938-40BA-A926-A89CFF45B896}"/>
    <cellStyle name="Style 80 16 2" xfId="31707" xr:uid="{C0D32C30-1CC1-4749-AD32-A6C1F11AB7EF}"/>
    <cellStyle name="Style 80 17" xfId="12885" xr:uid="{16BDBF99-C056-4D55-9B2C-C0CB2906089D}"/>
    <cellStyle name="Style 80 17 2" xfId="31708" xr:uid="{B422A19A-C9A7-4392-9B9C-5470A772E741}"/>
    <cellStyle name="Style 80 18" xfId="12886" xr:uid="{08534FEF-B164-4C2F-8067-7B8A3BDAFEC8}"/>
    <cellStyle name="Style 80 18 2" xfId="31709" xr:uid="{41314D0E-9EDC-4E4B-BCE6-A213FEBE1212}"/>
    <cellStyle name="Style 80 19" xfId="12887" xr:uid="{6DE11981-9F18-469D-BB34-2E2E91B4F328}"/>
    <cellStyle name="Style 80 19 2" xfId="31710" xr:uid="{66640E47-AFF9-4453-BAC2-6B60761E9086}"/>
    <cellStyle name="Style 80 2" xfId="3389" xr:uid="{916BA723-796F-466F-9C37-5B1B0AAF7F5E}"/>
    <cellStyle name="Style 80 2 10" xfId="12888" xr:uid="{853C2AFB-DBBB-4C97-BE42-2BBD1848DFAA}"/>
    <cellStyle name="Style 80 2 10 2" xfId="31711" xr:uid="{57987527-21C1-4B87-9595-AE451F0EBFAB}"/>
    <cellStyle name="Style 80 2 11" xfId="12889" xr:uid="{08DEF540-8904-4AA2-A4FA-D1E294333D8B}"/>
    <cellStyle name="Style 80 2 11 2" xfId="31712" xr:uid="{CB713645-2E82-4207-AF46-3525F1D8EF44}"/>
    <cellStyle name="Style 80 2 12" xfId="23978" xr:uid="{905B95DB-21D2-4736-A5C0-81C744CE48AC}"/>
    <cellStyle name="Style 80 2 2" xfId="6831" xr:uid="{6E71C7B4-9BB0-4F5A-91AC-00ADC26D633D}"/>
    <cellStyle name="Style 80 2 2 2" xfId="12890" xr:uid="{2BF5D77F-AE3F-42D8-BAC2-DBB6A703EE19}"/>
    <cellStyle name="Style 80 2 2 2 2" xfId="31713" xr:uid="{AB393EEF-0DB7-44B5-AA6A-63903C3104BA}"/>
    <cellStyle name="Style 80 2 3" xfId="6830" xr:uid="{5BD00F74-71EA-4DF3-9896-3EA30CA4186C}"/>
    <cellStyle name="Style 80 2 3 2" xfId="12891" xr:uid="{F57A5D86-E504-4CC3-9F05-EB7D51E3D545}"/>
    <cellStyle name="Style 80 2 3 2 2" xfId="31714" xr:uid="{E1F4599D-247A-409E-A594-A599E492FE36}"/>
    <cellStyle name="Style 80 2 4" xfId="4435" xr:uid="{F00FC90C-5334-496C-8356-3EFFEBAF3E09}"/>
    <cellStyle name="Style 80 2 4 2" xfId="12892" xr:uid="{E3251D2C-C999-48A6-8ECF-9F8D600AFB10}"/>
    <cellStyle name="Style 80 2 4 2 2" xfId="31715" xr:uid="{080262C7-10EE-4BF0-B639-DF1D523E611D}"/>
    <cellStyle name="Style 80 2 4 3" xfId="26696" xr:uid="{66EF0F86-4F22-4001-A300-EF2D08746274}"/>
    <cellStyle name="Style 80 2 5" xfId="12893" xr:uid="{16F658F2-9949-40AF-AE52-C3C33039AEA9}"/>
    <cellStyle name="Style 80 2 5 2" xfId="31716" xr:uid="{F057B876-B0C9-4C38-BEE8-333D141304BE}"/>
    <cellStyle name="Style 80 2 6" xfId="12894" xr:uid="{F0957736-B934-4CCE-A635-A4175A1EC7DC}"/>
    <cellStyle name="Style 80 2 6 2" xfId="31717" xr:uid="{C37877AF-1F32-4FDE-9462-8DDF0A7FF7FB}"/>
    <cellStyle name="Style 80 2 7" xfId="12895" xr:uid="{67F00BBE-8E98-48AB-B2E4-CC43313935C6}"/>
    <cellStyle name="Style 80 2 7 2" xfId="31718" xr:uid="{71DCDE4C-B7CF-4CB1-A680-8DB68E52822C}"/>
    <cellStyle name="Style 80 2 8" xfId="12896" xr:uid="{C80670A9-92F6-4B6A-BCD9-243107E31E5E}"/>
    <cellStyle name="Style 80 2 8 2" xfId="31719" xr:uid="{2681A915-0BE1-4E9D-BB8E-7B51BA1BC04A}"/>
    <cellStyle name="Style 80 2 9" xfId="12897" xr:uid="{CA2FC98F-B2D8-4C0C-94C7-B0E30D534922}"/>
    <cellStyle name="Style 80 2 9 2" xfId="31720" xr:uid="{BEB2A2C5-C156-41DC-8A4E-3B485F4228C5}"/>
    <cellStyle name="Style 80 20" xfId="12898" xr:uid="{18ACE6FE-CFDA-4001-B76C-8F979E1F753B}"/>
    <cellStyle name="Style 80 20 2" xfId="31721" xr:uid="{33DFADB8-05EC-4D25-98AE-272363507F90}"/>
    <cellStyle name="Style 80 21" xfId="12899" xr:uid="{7A22DB95-AA9E-4E55-B8B0-1CDF2AC80BFB}"/>
    <cellStyle name="Style 80 21 2" xfId="31722" xr:uid="{582328BC-070C-4205-8F3A-1E564A0E5290}"/>
    <cellStyle name="Style 80 22" xfId="12900" xr:uid="{9EECBE17-9D3E-4CC2-ADA3-9334A5DC7101}"/>
    <cellStyle name="Style 80 22 2" xfId="31723" xr:uid="{2032C68F-D88B-4E7A-8B36-0B63FA8AD7C6}"/>
    <cellStyle name="Style 80 23" xfId="12901" xr:uid="{85C6F8FB-91C3-4675-92E0-A90C5BC6BE9F}"/>
    <cellStyle name="Style 80 23 2" xfId="31724" xr:uid="{B4CC7B4C-3289-4163-B81D-2FE2841E0401}"/>
    <cellStyle name="Style 80 24" xfId="12902" xr:uid="{BB56D208-7CF0-4658-B1B8-5B0100AE7094}"/>
    <cellStyle name="Style 80 24 2" xfId="31725" xr:uid="{64365D2E-D267-4CC5-AD6F-CC6DB3DA5672}"/>
    <cellStyle name="Style 80 25" xfId="23975" xr:uid="{10C6459F-891D-4C53-89F3-F366F42123C6}"/>
    <cellStyle name="Style 80 3" xfId="3390" xr:uid="{4BF3C26E-2CB1-42CF-8A18-58803A36FBBC}"/>
    <cellStyle name="Style 80 3 10" xfId="12903" xr:uid="{6B6A2DEA-D86C-4DD7-BA59-A1013A30794C}"/>
    <cellStyle name="Style 80 3 10 2" xfId="31726" xr:uid="{E74D7BAD-1EB7-45FB-AFB0-926C18F8BC62}"/>
    <cellStyle name="Style 80 3 11" xfId="12904" xr:uid="{981563BE-FFF6-4327-92C2-2CE1B04834DD}"/>
    <cellStyle name="Style 80 3 11 2" xfId="31727" xr:uid="{9EE55082-DA58-400F-B188-2516D271F6B5}"/>
    <cellStyle name="Style 80 3 12" xfId="12905" xr:uid="{A9777ADD-B257-4D86-B46D-150EDFF5F3E6}"/>
    <cellStyle name="Style 80 3 12 2" xfId="31728" xr:uid="{06FB0C3B-814F-4531-AF98-FCFE1E2089A9}"/>
    <cellStyle name="Style 80 3 13" xfId="12906" xr:uid="{6F6861E4-E726-4ABC-A8E4-1BDC77AA67E3}"/>
    <cellStyle name="Style 80 3 13 2" xfId="31729" xr:uid="{660D04DC-147D-47A2-8071-E16073C8A24F}"/>
    <cellStyle name="Style 80 3 14" xfId="12907" xr:uid="{B6977C37-A81D-461F-8DF3-1F3B3ED94753}"/>
    <cellStyle name="Style 80 3 14 2" xfId="31730" xr:uid="{D75E1CF8-A3F7-4761-8548-0CC38B05E000}"/>
    <cellStyle name="Style 80 3 15" xfId="12908" xr:uid="{71FF32A6-542C-468D-BAFC-DDB74472228C}"/>
    <cellStyle name="Style 80 3 15 2" xfId="31731" xr:uid="{69661FCD-5F65-419D-A66E-5A03E8A70A32}"/>
    <cellStyle name="Style 80 3 16" xfId="23979" xr:uid="{2E752154-162E-4CF6-8F30-FE20F1000494}"/>
    <cellStyle name="Style 80 3 2" xfId="3391" xr:uid="{4A0BB0EF-3FC9-4037-B95D-4D150FC7CFE1}"/>
    <cellStyle name="Style 80 3 2 10" xfId="12909" xr:uid="{DF939BE8-F52C-47CF-B211-3321FECE0643}"/>
    <cellStyle name="Style 80 3 2 10 2" xfId="31732" xr:uid="{07CFD4E8-1476-4A5B-8F85-BCEAEB183CEC}"/>
    <cellStyle name="Style 80 3 2 11" xfId="12910" xr:uid="{93D44AC0-6019-4CF5-9A67-6D45EF9F14E8}"/>
    <cellStyle name="Style 80 3 2 11 2" xfId="31733" xr:uid="{D8034C68-7160-4392-B5C3-7CB248B2D7A4}"/>
    <cellStyle name="Style 80 3 2 12" xfId="12911" xr:uid="{9FF6BD2E-1747-47AA-9275-5D9A91BB6E12}"/>
    <cellStyle name="Style 80 3 2 12 2" xfId="31734" xr:uid="{4213C219-6410-4E70-9B1C-6DE947C0AB8F}"/>
    <cellStyle name="Style 80 3 2 13" xfId="23980" xr:uid="{82BD7A5A-BF5D-4F29-9C64-352616270770}"/>
    <cellStyle name="Style 80 3 2 2" xfId="3392" xr:uid="{B063F087-3415-4018-BC24-0A85C2BFC711}"/>
    <cellStyle name="Style 80 3 2 2 10" xfId="12912" xr:uid="{29669AC7-8EEE-47B6-9BCA-C21C546A68EC}"/>
    <cellStyle name="Style 80 3 2 2 10 2" xfId="31735" xr:uid="{265D0858-175E-4E40-A608-B4D59682E3D9}"/>
    <cellStyle name="Style 80 3 2 2 11" xfId="12913" xr:uid="{18CD0817-C58D-43BA-B713-8672678B38B0}"/>
    <cellStyle name="Style 80 3 2 2 11 2" xfId="31736" xr:uid="{F8ADFB26-9901-4068-82BD-FAE44C164D0A}"/>
    <cellStyle name="Style 80 3 2 2 12" xfId="23981" xr:uid="{02E590C8-4DE5-46EF-9E12-13682F8E1C15}"/>
    <cellStyle name="Style 80 3 2 2 2" xfId="6835" xr:uid="{EB2B1ED7-D164-41F1-B417-A51F0CE35A56}"/>
    <cellStyle name="Style 80 3 2 2 2 2" xfId="12914" xr:uid="{D5306EDC-BE0A-4C9A-943D-71A156EDE3CC}"/>
    <cellStyle name="Style 80 3 2 2 2 2 2" xfId="31737" xr:uid="{6CFCD74E-918C-458F-BE0C-2FCE3DAD8666}"/>
    <cellStyle name="Style 80 3 2 2 3" xfId="6834" xr:uid="{920DA000-92F5-4893-9D18-386561905029}"/>
    <cellStyle name="Style 80 3 2 2 3 2" xfId="12915" xr:uid="{94CC8F4A-3E2A-47E8-BAD0-0B8ADFEE959E}"/>
    <cellStyle name="Style 80 3 2 2 3 2 2" xfId="31738" xr:uid="{067B3B15-3387-48A2-85CD-DE2227A8356C}"/>
    <cellStyle name="Style 80 3 2 2 4" xfId="12916" xr:uid="{D226CE70-FA20-41E6-8475-618AB83B7457}"/>
    <cellStyle name="Style 80 3 2 2 4 2" xfId="12917" xr:uid="{59D3FC07-B7B1-4CB4-94A8-3F0CE0580987}"/>
    <cellStyle name="Style 80 3 2 2 4 2 2" xfId="31739" xr:uid="{78E2BB36-C1EE-4935-9566-6CE1F51533D7}"/>
    <cellStyle name="Style 80 3 2 2 4 3" xfId="28019" xr:uid="{7855FAD9-2CC0-45A3-96C7-789F5182459A}"/>
    <cellStyle name="Style 80 3 2 2 5" xfId="12918" xr:uid="{6A957B54-FD50-47B3-BD78-F14E70E791EC}"/>
    <cellStyle name="Style 80 3 2 2 5 2" xfId="31740" xr:uid="{60723F4B-8DF6-45AA-BE37-7CE285796216}"/>
    <cellStyle name="Style 80 3 2 2 6" xfId="12919" xr:uid="{8EE5C00E-4F6F-4976-9692-B36BED966B16}"/>
    <cellStyle name="Style 80 3 2 2 6 2" xfId="31741" xr:uid="{774E92BB-17FF-4D49-88AE-D1B50B1E242D}"/>
    <cellStyle name="Style 80 3 2 2 7" xfId="12920" xr:uid="{0DF27C61-EFC0-4E9E-A0FE-5E2D9FE2B557}"/>
    <cellStyle name="Style 80 3 2 2 7 2" xfId="31742" xr:uid="{224B2D8E-A4AE-4F76-BB7B-C68C1C90AFD1}"/>
    <cellStyle name="Style 80 3 2 2 8" xfId="12921" xr:uid="{C750833A-F792-4ABD-9A7A-7BA02EEFE070}"/>
    <cellStyle name="Style 80 3 2 2 8 2" xfId="31743" xr:uid="{DC5FC100-50BB-46EE-A0DE-1A2DC8A1BFD0}"/>
    <cellStyle name="Style 80 3 2 2 9" xfId="12922" xr:uid="{4B60D94D-B10A-4EBC-A75D-46C482E1AD82}"/>
    <cellStyle name="Style 80 3 2 2 9 2" xfId="31744" xr:uid="{69714149-B691-4AF8-89BF-7FC48322EF8D}"/>
    <cellStyle name="Style 80 3 2 3" xfId="6836" xr:uid="{CBCECA5F-7E3F-4CE1-B056-4758DE4E85A6}"/>
    <cellStyle name="Style 80 3 2 3 2" xfId="12923" xr:uid="{ACC1EA7C-3BFE-4C8D-BC04-33D148D1729A}"/>
    <cellStyle name="Style 80 3 2 3 2 2" xfId="31745" xr:uid="{D4EC2B57-D213-4B2A-9982-A5BAA4E727A3}"/>
    <cellStyle name="Style 80 3 2 4" xfId="6833" xr:uid="{31756724-C1E0-4E56-97A0-53F47518EAF7}"/>
    <cellStyle name="Style 80 3 2 4 2" xfId="12924" xr:uid="{F788EB53-B0F5-4ACF-9511-1F37348FD02D}"/>
    <cellStyle name="Style 80 3 2 4 2 2" xfId="31746" xr:uid="{15427782-8F68-4656-B36B-99A936D6E83D}"/>
    <cellStyle name="Style 80 3 2 5" xfId="4437" xr:uid="{E63DB9D7-E953-49ED-B7A2-E2DCC1501278}"/>
    <cellStyle name="Style 80 3 2 5 2" xfId="12925" xr:uid="{A487FA1D-71CA-4D31-8C3A-958E7949003D}"/>
    <cellStyle name="Style 80 3 2 5 2 2" xfId="31747" xr:uid="{0F13CFD5-4CE4-4763-9BDA-2A9A299B03F7}"/>
    <cellStyle name="Style 80 3 2 5 3" xfId="26698" xr:uid="{66352052-8D8B-492A-B469-E78BCE2AD274}"/>
    <cellStyle name="Style 80 3 2 6" xfId="12926" xr:uid="{91D7C72E-C59D-4A4E-8B05-AAA690054D8B}"/>
    <cellStyle name="Style 80 3 2 6 2" xfId="31748" xr:uid="{12132EF1-ECA6-4DB0-B31D-8C4110C695F4}"/>
    <cellStyle name="Style 80 3 2 7" xfId="12927" xr:uid="{6FF1560B-B78D-4EA2-AE77-471C3AA9FABE}"/>
    <cellStyle name="Style 80 3 2 7 2" xfId="31749" xr:uid="{990741A3-B23E-4471-88CA-188EA69963B3}"/>
    <cellStyle name="Style 80 3 2 8" xfId="12928" xr:uid="{A81B77BF-2ECC-47B8-BE58-47BF1CB5063F}"/>
    <cellStyle name="Style 80 3 2 8 2" xfId="31750" xr:uid="{CB38E4A1-9035-4DDF-98E4-EDDCF7A23E64}"/>
    <cellStyle name="Style 80 3 2 9" xfId="12929" xr:uid="{E3F6D762-4ABD-4854-AF04-0200762E9440}"/>
    <cellStyle name="Style 80 3 2 9 2" xfId="31751" xr:uid="{5F068A2F-61BA-42A9-8816-E8CE8B123D78}"/>
    <cellStyle name="Style 80 3 3" xfId="3393" xr:uid="{65146C93-56E2-45E9-B091-56B347DDC839}"/>
    <cellStyle name="Style 80 3 3 10" xfId="12930" xr:uid="{09A9F2F3-3A46-4871-848E-8AF9A7822A45}"/>
    <cellStyle name="Style 80 3 3 10 2" xfId="31752" xr:uid="{EF5A80B8-0816-4426-B359-A5423F4A0C15}"/>
    <cellStyle name="Style 80 3 3 11" xfId="12931" xr:uid="{2707F7B4-62CF-4298-8A55-AD9921D64A2F}"/>
    <cellStyle name="Style 80 3 3 11 2" xfId="31753" xr:uid="{90580A2D-3C59-433C-8AF5-37DEAD6FCFB0}"/>
    <cellStyle name="Style 80 3 3 12" xfId="12932" xr:uid="{250AD31B-F58D-4FF9-9338-B6711CD06B22}"/>
    <cellStyle name="Style 80 3 3 12 2" xfId="31754" xr:uid="{BCEF10DC-BD1A-414B-870D-9AFE05FA20F8}"/>
    <cellStyle name="Style 80 3 3 13" xfId="12933" xr:uid="{5C69DF97-1312-430C-B06C-93B8DFE45D2D}"/>
    <cellStyle name="Style 80 3 3 13 2" xfId="31755" xr:uid="{FA63C005-3C15-4DAA-88D6-A2D7E8C5634B}"/>
    <cellStyle name="Style 80 3 3 14" xfId="12934" xr:uid="{35F6617E-FC19-40D5-84D5-B3186A5EB97C}"/>
    <cellStyle name="Style 80 3 3 14 2" xfId="31756" xr:uid="{46A31A7C-1303-40E2-8655-DF4A7495EF03}"/>
    <cellStyle name="Style 80 3 3 15" xfId="12935" xr:uid="{DAEE3F52-14A2-454A-84F8-3276124111FB}"/>
    <cellStyle name="Style 80 3 3 15 2" xfId="31757" xr:uid="{8083254B-5E1C-4B53-AB21-FA1BFA394AD0}"/>
    <cellStyle name="Style 80 3 3 16" xfId="23982" xr:uid="{A078B227-0024-42FE-96F6-EB3C48302567}"/>
    <cellStyle name="Style 80 3 3 2" xfId="3394" xr:uid="{FF980EDE-03F8-4B4E-9D51-616A33AE0CD5}"/>
    <cellStyle name="Style 80 3 3 2 10" xfId="12936" xr:uid="{2464F91D-B1A3-47B6-A008-AFA8378CC5AF}"/>
    <cellStyle name="Style 80 3 3 2 10 2" xfId="31758" xr:uid="{A89E56F3-A326-4F0F-A893-813636C4CD93}"/>
    <cellStyle name="Style 80 3 3 2 11" xfId="12937" xr:uid="{7A80190B-9CA7-49F2-A9C5-4B3B4FFE14A8}"/>
    <cellStyle name="Style 80 3 3 2 11 2" xfId="31759" xr:uid="{D0F57B3B-527F-4803-8432-A6F18CC891B1}"/>
    <cellStyle name="Style 80 3 3 2 12" xfId="23983" xr:uid="{CCF091ED-AA17-4EF7-95F5-4CBE9A1AB826}"/>
    <cellStyle name="Style 80 3 3 2 2" xfId="6839" xr:uid="{3717C1EC-F961-4DD0-905A-430AA355D75C}"/>
    <cellStyle name="Style 80 3 3 2 2 2" xfId="12938" xr:uid="{BDBBBD84-B848-47EF-8DED-287A7CD3604F}"/>
    <cellStyle name="Style 80 3 3 2 2 2 2" xfId="31760" xr:uid="{33654FD7-BEE2-4EAB-B8A8-6D567D5498E9}"/>
    <cellStyle name="Style 80 3 3 2 3" xfId="6838" xr:uid="{92B6074E-FD0A-4682-9871-B77D5E8560B3}"/>
    <cellStyle name="Style 80 3 3 2 3 2" xfId="12939" xr:uid="{1193DC17-AA12-4DE3-B8A2-D95F1E2528EA}"/>
    <cellStyle name="Style 80 3 3 2 3 2 2" xfId="31761" xr:uid="{8B46297A-8391-4FC3-9720-2BC6C15BDCE0}"/>
    <cellStyle name="Style 80 3 3 2 4" xfId="12940" xr:uid="{6D9FD903-5459-460B-9597-C2D90E2B42CE}"/>
    <cellStyle name="Style 80 3 3 2 4 2" xfId="12941" xr:uid="{9DFA6E28-B11E-4684-9EA7-676032450980}"/>
    <cellStyle name="Style 80 3 3 2 4 2 2" xfId="31762" xr:uid="{52C10CB7-C00D-4033-938C-8F3A3569D1C3}"/>
    <cellStyle name="Style 80 3 3 2 4 3" xfId="28021" xr:uid="{3AC0E62D-7BD9-4CE8-B7D6-E873A085835C}"/>
    <cellStyle name="Style 80 3 3 2 5" xfId="12942" xr:uid="{1A210ADD-C972-4590-BB28-80499A5A0F45}"/>
    <cellStyle name="Style 80 3 3 2 5 2" xfId="31763" xr:uid="{C7193743-E196-4694-961B-A2DD83ED5980}"/>
    <cellStyle name="Style 80 3 3 2 6" xfId="12943" xr:uid="{1E0ACF0D-20DE-4848-B66E-72403DE80436}"/>
    <cellStyle name="Style 80 3 3 2 6 2" xfId="31764" xr:uid="{95B2B8A1-89EA-4D34-BE33-95C637862D31}"/>
    <cellStyle name="Style 80 3 3 2 7" xfId="12944" xr:uid="{AF6FBEFA-5CA6-4D25-A82F-F1F0C3F71268}"/>
    <cellStyle name="Style 80 3 3 2 7 2" xfId="31765" xr:uid="{2FF66E93-A90D-45D3-AC0A-9B446E7BF601}"/>
    <cellStyle name="Style 80 3 3 2 8" xfId="12945" xr:uid="{23ECECA6-C5D6-47D2-84E7-AE672198EA2A}"/>
    <cellStyle name="Style 80 3 3 2 8 2" xfId="31766" xr:uid="{2E05249C-A6C8-44F8-B055-43ED7CE41E68}"/>
    <cellStyle name="Style 80 3 3 2 9" xfId="12946" xr:uid="{999AA991-8740-42BA-BC8B-8A011599AFF1}"/>
    <cellStyle name="Style 80 3 3 2 9 2" xfId="31767" xr:uid="{D10E1E01-8D86-4701-AAC3-795D9CAE6F68}"/>
    <cellStyle name="Style 80 3 3 3" xfId="3395" xr:uid="{EA1568E0-8891-49DB-AC6D-D75844EDBD58}"/>
    <cellStyle name="Style 80 3 3 3 10" xfId="12947" xr:uid="{B6B7C57B-EDD6-4795-BF51-60F09D92C429}"/>
    <cellStyle name="Style 80 3 3 3 10 2" xfId="31768" xr:uid="{1557DD7A-F20B-4753-AE0A-D31C0B641129}"/>
    <cellStyle name="Style 80 3 3 3 11" xfId="12948" xr:uid="{6A52D955-C186-41B9-83EA-DDCD44412296}"/>
    <cellStyle name="Style 80 3 3 3 11 2" xfId="31769" xr:uid="{29D6F948-55C6-442F-946E-982CA163A433}"/>
    <cellStyle name="Style 80 3 3 3 12" xfId="12949" xr:uid="{3E81E791-ECB5-4E79-8626-3B35C2B62A89}"/>
    <cellStyle name="Style 80 3 3 3 12 2" xfId="31770" xr:uid="{19A1F51F-8F11-4836-87EB-EC05C1A278C5}"/>
    <cellStyle name="Style 80 3 3 3 13" xfId="12950" xr:uid="{FC2ECC9B-8CFA-4AAB-870F-F581F16BDF2D}"/>
    <cellStyle name="Style 80 3 3 3 13 2" xfId="31771" xr:uid="{93422BB4-09CC-424A-A03A-D47FE464137F}"/>
    <cellStyle name="Style 80 3 3 3 14" xfId="23984" xr:uid="{9147E2EC-4B81-4DDC-8664-25667C368524}"/>
    <cellStyle name="Style 80 3 3 3 2" xfId="3396" xr:uid="{1077BC7E-1714-420E-9903-7E8B2DBFA2BD}"/>
    <cellStyle name="Style 80 3 3 3 2 10" xfId="12951" xr:uid="{91BAC81D-CA8D-4AF4-8522-B2D666664F0D}"/>
    <cellStyle name="Style 80 3 3 3 2 10 2" xfId="31772" xr:uid="{385AE629-B185-43E0-AE7D-89DEA0E6A664}"/>
    <cellStyle name="Style 80 3 3 3 2 11" xfId="12952" xr:uid="{4A032F39-02E0-4E27-AFCD-9C136BB46952}"/>
    <cellStyle name="Style 80 3 3 3 2 11 2" xfId="31773" xr:uid="{25F156B4-7631-4566-A82C-6B4BAA7E4286}"/>
    <cellStyle name="Style 80 3 3 3 2 12" xfId="23985" xr:uid="{11E525BD-E739-44C7-A251-1977A74558EC}"/>
    <cellStyle name="Style 80 3 3 3 2 2" xfId="6842" xr:uid="{6BFF430A-C911-4463-8548-778473EC06D4}"/>
    <cellStyle name="Style 80 3 3 3 2 2 2" xfId="12953" xr:uid="{E2BD9D21-B400-48C3-A1C3-628C6EF15A80}"/>
    <cellStyle name="Style 80 3 3 3 2 2 2 2" xfId="31774" xr:uid="{9E7EFAB6-715B-46A9-B0A4-51F2E989BB36}"/>
    <cellStyle name="Style 80 3 3 3 2 3" xfId="6841" xr:uid="{ADDCEDBA-D144-4AA1-9D64-1FE1CEAEDA1C}"/>
    <cellStyle name="Style 80 3 3 3 2 3 2" xfId="12954" xr:uid="{46B09CD6-FDCD-41D1-AC5C-433ADC18CA9D}"/>
    <cellStyle name="Style 80 3 3 3 2 3 2 2" xfId="31775" xr:uid="{3788E0CB-5EF3-4BBE-AE66-C0EFB1EAF3E6}"/>
    <cellStyle name="Style 80 3 3 3 2 4" xfId="12955" xr:uid="{7C63956C-E0C6-4540-9358-19345EFB462F}"/>
    <cellStyle name="Style 80 3 3 3 2 4 2" xfId="12956" xr:uid="{AEC5903F-9AD3-4EF3-8E80-611DCCF64A77}"/>
    <cellStyle name="Style 80 3 3 3 2 4 2 2" xfId="31776" xr:uid="{FE2B5F74-7FA3-4949-8A81-A18AB8FC3DD9}"/>
    <cellStyle name="Style 80 3 3 3 2 4 3" xfId="28023" xr:uid="{01D3B3B7-9C20-44AC-969D-855DFF90FD52}"/>
    <cellStyle name="Style 80 3 3 3 2 5" xfId="12957" xr:uid="{C3B6C186-A82F-4CF1-A648-8D7CD2D4EE01}"/>
    <cellStyle name="Style 80 3 3 3 2 5 2" xfId="31777" xr:uid="{B53D1FBF-521B-44CD-A86E-1C2A1CCA875C}"/>
    <cellStyle name="Style 80 3 3 3 2 6" xfId="12958" xr:uid="{144F4639-1770-474E-B0C6-1E28C186BD4E}"/>
    <cellStyle name="Style 80 3 3 3 2 6 2" xfId="31778" xr:uid="{D343C4F8-B572-4504-97A5-2925B5763F97}"/>
    <cellStyle name="Style 80 3 3 3 2 7" xfId="12959" xr:uid="{286A3C3A-C445-4ACE-A291-95FE36B98371}"/>
    <cellStyle name="Style 80 3 3 3 2 7 2" xfId="31779" xr:uid="{AD7674EB-57BF-42B6-A87C-99734068B02A}"/>
    <cellStyle name="Style 80 3 3 3 2 8" xfId="12960" xr:uid="{791401E0-26CC-472E-B93F-339D34918762}"/>
    <cellStyle name="Style 80 3 3 3 2 8 2" xfId="31780" xr:uid="{5DA8874D-9285-43BD-A584-8E3821D2807C}"/>
    <cellStyle name="Style 80 3 3 3 2 9" xfId="12961" xr:uid="{7634D43D-64F0-44B9-9BF9-19E6EA9ABA1F}"/>
    <cellStyle name="Style 80 3 3 3 2 9 2" xfId="31781" xr:uid="{A309E582-92BB-4ECD-AFEA-533A73C1E0CF}"/>
    <cellStyle name="Style 80 3 3 3 3" xfId="6843" xr:uid="{5D1DD285-C7F6-4866-AB1C-0415523A37B1}"/>
    <cellStyle name="Style 80 3 3 3 3 2" xfId="6844" xr:uid="{3D7F634E-87B0-415B-92B6-405100BD8AC9}"/>
    <cellStyle name="Style 80 3 3 3 3 2 2" xfId="12962" xr:uid="{CB757DEB-A8F8-422C-A1BA-3B55120FF6B1}"/>
    <cellStyle name="Style 80 3 3 3 3 2 2 2" xfId="31782" xr:uid="{B702EC1F-6F2C-404B-90A0-1C0F1672BA85}"/>
    <cellStyle name="Style 80 3 3 3 3 3" xfId="12963" xr:uid="{9070C2A4-3E87-4DF8-982F-32A8ECECE6C3}"/>
    <cellStyle name="Style 80 3 3 3 3 3 2" xfId="31783" xr:uid="{81017A63-25E8-4EB8-8B8E-94EEEA9C7547}"/>
    <cellStyle name="Style 80 3 3 3 3 4" xfId="12964" xr:uid="{A777E744-FC46-4978-BCF7-0867D777B3F9}"/>
    <cellStyle name="Style 80 3 3 3 3 4 2" xfId="31784" xr:uid="{07B6255C-0D52-478D-97AE-8FDB31412876}"/>
    <cellStyle name="Style 80 3 3 3 3 5" xfId="23986" xr:uid="{837F90E5-AC6F-48AB-B52A-6C5494F76CE0}"/>
    <cellStyle name="Style 80 3 3 3 4" xfId="6845" xr:uid="{A398636D-29E5-468C-97F4-FA88D602B88F}"/>
    <cellStyle name="Style 80 3 3 3 4 2" xfId="12965" xr:uid="{29C2AF92-FE65-46E4-820C-67E6F86B1F8A}"/>
    <cellStyle name="Style 80 3 3 3 4 2 2" xfId="31785" xr:uid="{836F6A38-1953-4D79-9A94-38534BE71F19}"/>
    <cellStyle name="Style 80 3 3 3 5" xfId="6846" xr:uid="{1264FEF1-D196-41C8-947A-3289C12A181B}"/>
    <cellStyle name="Style 80 3 3 3 5 2" xfId="12966" xr:uid="{D335F41F-15FE-4595-9895-F4C973880938}"/>
    <cellStyle name="Style 80 3 3 3 5 2 2" xfId="31786" xr:uid="{9C6C8B1D-7513-4A21-831C-8EBC277FF88C}"/>
    <cellStyle name="Style 80 3 3 3 6" xfId="6840" xr:uid="{F4EA54FD-D6DB-47CD-A2C7-BF3B0A54C35C}"/>
    <cellStyle name="Style 80 3 3 3 6 2" xfId="12967" xr:uid="{4198327F-53AA-418B-A76E-A0D1CE5DB7A4}"/>
    <cellStyle name="Style 80 3 3 3 6 2 2" xfId="31787" xr:uid="{AC550F13-1737-4D60-AE89-0F4134248B06}"/>
    <cellStyle name="Style 80 3 3 3 7" xfId="12968" xr:uid="{A7946739-A963-41E9-AF16-963A5C110C66}"/>
    <cellStyle name="Style 80 3 3 3 7 2" xfId="12969" xr:uid="{2B76D55D-BC25-4B65-B1E3-102FD9DA37EC}"/>
    <cellStyle name="Style 80 3 3 3 7 2 2" xfId="31788" xr:uid="{B76EE47A-FD24-4D95-9D84-82D088A3FD8B}"/>
    <cellStyle name="Style 80 3 3 3 7 3" xfId="28022" xr:uid="{ED6462F8-20C5-489D-9830-AA8207690897}"/>
    <cellStyle name="Style 80 3 3 3 8" xfId="12970" xr:uid="{264F558D-C790-492D-9713-4DB97F1CE88A}"/>
    <cellStyle name="Style 80 3 3 3 8 2" xfId="31789" xr:uid="{870F58F0-79C0-40D0-8D02-4A77A2508A6F}"/>
    <cellStyle name="Style 80 3 3 3 9" xfId="12971" xr:uid="{425AEFA8-A499-460A-8829-B9C17F8B76C9}"/>
    <cellStyle name="Style 80 3 3 3 9 2" xfId="31790" xr:uid="{4DCEC0A8-BE1A-41BE-A20E-1473FFE40F64}"/>
    <cellStyle name="Style 80 3 3 4" xfId="3397" xr:uid="{5AE01475-CA7D-4E0A-91C2-9DD5FE874DF4}"/>
    <cellStyle name="Style 80 3 3 4 10" xfId="12972" xr:uid="{F1024630-85A1-4B47-9794-CB7226E2E121}"/>
    <cellStyle name="Style 80 3 3 4 10 2" xfId="31791" xr:uid="{229797F6-A6BC-4648-A872-174B49E37BA6}"/>
    <cellStyle name="Style 80 3 3 4 11" xfId="12973" xr:uid="{2CEAF672-98A0-43F4-9F88-4DB35179127B}"/>
    <cellStyle name="Style 80 3 3 4 11 2" xfId="31792" xr:uid="{B38FA68E-B581-436E-A5CF-4AF18B148148}"/>
    <cellStyle name="Style 80 3 3 4 12" xfId="12974" xr:uid="{98BFDD70-B0B5-4075-9843-B41A51198E23}"/>
    <cellStyle name="Style 80 3 3 4 12 2" xfId="31793" xr:uid="{8859601A-B414-440B-93D9-9BBF1D112E36}"/>
    <cellStyle name="Style 80 3 3 4 13" xfId="23987" xr:uid="{209C2BC1-78CD-4FE0-84BA-1D9A7C1841A0}"/>
    <cellStyle name="Style 80 3 3 4 2" xfId="3398" xr:uid="{A35D4293-9249-442B-97AF-5833BF6D5717}"/>
    <cellStyle name="Style 80 3 3 4 2 10" xfId="12975" xr:uid="{584DFFE4-C3D6-4238-90D5-5A12731D41A6}"/>
    <cellStyle name="Style 80 3 3 4 2 10 2" xfId="31794" xr:uid="{AFD657FF-A57E-4033-AAE7-CC2FAE613138}"/>
    <cellStyle name="Style 80 3 3 4 2 11" xfId="12976" xr:uid="{45F6E2F8-2CD9-4F2A-888E-F2B1711499AD}"/>
    <cellStyle name="Style 80 3 3 4 2 11 2" xfId="31795" xr:uid="{2E155958-0FB5-404F-B2BF-043671F0AE65}"/>
    <cellStyle name="Style 80 3 3 4 2 12" xfId="23988" xr:uid="{233AFFD2-F9CB-475D-8E95-2CFA68211822}"/>
    <cellStyle name="Style 80 3 3 4 2 2" xfId="6849" xr:uid="{8E047811-A56A-45D1-954C-1C0A3FAA31B7}"/>
    <cellStyle name="Style 80 3 3 4 2 2 2" xfId="12977" xr:uid="{7608AAF3-50B2-4033-A8A1-F19DE19E9DDF}"/>
    <cellStyle name="Style 80 3 3 4 2 2 2 2" xfId="31796" xr:uid="{0ACE213C-5333-43B3-8A8B-7FBBF46C180C}"/>
    <cellStyle name="Style 80 3 3 4 2 3" xfId="6848" xr:uid="{9DDCE708-D1F2-4C22-9AE9-237D606BFC8F}"/>
    <cellStyle name="Style 80 3 3 4 2 3 2" xfId="12978" xr:uid="{3A5DFB38-A888-4337-8E1D-0E82825B5164}"/>
    <cellStyle name="Style 80 3 3 4 2 3 2 2" xfId="31797" xr:uid="{F4ABE3A9-9B1F-4395-856C-3B22037F9C2D}"/>
    <cellStyle name="Style 80 3 3 4 2 4" xfId="12979" xr:uid="{DC8055BD-7BE7-4E89-A850-7B3D562DA018}"/>
    <cellStyle name="Style 80 3 3 4 2 4 2" xfId="12980" xr:uid="{C0AC50AD-F85A-4E08-9F10-FCB4D2BCB757}"/>
    <cellStyle name="Style 80 3 3 4 2 4 2 2" xfId="31798" xr:uid="{6F309646-023A-47E8-92E1-ACC6F8422CFB}"/>
    <cellStyle name="Style 80 3 3 4 2 4 3" xfId="28025" xr:uid="{98E5BFC9-0628-4C37-A755-D728F658A1C6}"/>
    <cellStyle name="Style 80 3 3 4 2 5" xfId="12981" xr:uid="{1A9635BC-11E0-4CA6-8F4C-F0D0D71EB8B1}"/>
    <cellStyle name="Style 80 3 3 4 2 5 2" xfId="31799" xr:uid="{027D3360-9142-46C9-AB1C-7FDC6A9DAF72}"/>
    <cellStyle name="Style 80 3 3 4 2 6" xfId="12982" xr:uid="{B55B432C-3D07-4957-823C-979ECEA95BBF}"/>
    <cellStyle name="Style 80 3 3 4 2 6 2" xfId="31800" xr:uid="{F981A877-E499-428B-9843-DE5D6326B791}"/>
    <cellStyle name="Style 80 3 3 4 2 7" xfId="12983" xr:uid="{ABC45368-4ADE-4006-8656-F431021D1886}"/>
    <cellStyle name="Style 80 3 3 4 2 7 2" xfId="31801" xr:uid="{ABA2D622-1DD6-42CB-8720-947FC590D94F}"/>
    <cellStyle name="Style 80 3 3 4 2 8" xfId="12984" xr:uid="{32EFD23F-B995-4EE4-B1B5-EE9CDCEE4FD2}"/>
    <cellStyle name="Style 80 3 3 4 2 8 2" xfId="31802" xr:uid="{4772927D-158A-49C6-8932-952E245D19A4}"/>
    <cellStyle name="Style 80 3 3 4 2 9" xfId="12985" xr:uid="{95B90208-769F-4A7F-A643-0FA0ECC5181F}"/>
    <cellStyle name="Style 80 3 3 4 2 9 2" xfId="31803" xr:uid="{804C20B2-233E-492B-9DFB-0F6ABF01AE65}"/>
    <cellStyle name="Style 80 3 3 4 3" xfId="6850" xr:uid="{991FD909-1B52-4878-A7B9-AEFA8696A918}"/>
    <cellStyle name="Style 80 3 3 4 3 2" xfId="12986" xr:uid="{C1542338-7912-4611-8479-5B95E436F673}"/>
    <cellStyle name="Style 80 3 3 4 3 2 2" xfId="31804" xr:uid="{6FBC6B3D-CE59-43F1-9F17-E55D374AC3F1}"/>
    <cellStyle name="Style 80 3 3 4 4" xfId="6847" xr:uid="{4F1F9BBE-BB9B-4BF9-ABC7-3E1F0CB6AA41}"/>
    <cellStyle name="Style 80 3 3 4 4 2" xfId="12987" xr:uid="{D7E1EFD0-221E-4357-ABA7-9EEC38429C5F}"/>
    <cellStyle name="Style 80 3 3 4 4 2 2" xfId="31805" xr:uid="{787C996A-5D1C-4D38-BA71-1EED83E83C54}"/>
    <cellStyle name="Style 80 3 3 4 5" xfId="12988" xr:uid="{4CF4C74E-1948-4AB1-8396-D52CEEEA7DC1}"/>
    <cellStyle name="Style 80 3 3 4 5 2" xfId="12989" xr:uid="{4F70463F-9283-4F0B-BB9E-A82067FD4EE7}"/>
    <cellStyle name="Style 80 3 3 4 5 2 2" xfId="31806" xr:uid="{CEF11A02-701D-4021-9FCB-6FF3202F711F}"/>
    <cellStyle name="Style 80 3 3 4 5 3" xfId="28024" xr:uid="{FDD44508-CC16-4BD3-94FE-172AF68D67A2}"/>
    <cellStyle name="Style 80 3 3 4 6" xfId="12990" xr:uid="{62EDD511-8205-4873-A215-011FE6C903A1}"/>
    <cellStyle name="Style 80 3 3 4 6 2" xfId="31807" xr:uid="{3F2FF25F-FAB4-46E2-A637-54C950B4A5EF}"/>
    <cellStyle name="Style 80 3 3 4 7" xfId="12991" xr:uid="{FEEBC09D-3A4B-49A0-9957-24F1527EF78C}"/>
    <cellStyle name="Style 80 3 3 4 7 2" xfId="31808" xr:uid="{36FA0609-9923-4133-A7EE-CB5EB999D147}"/>
    <cellStyle name="Style 80 3 3 4 8" xfId="12992" xr:uid="{2E6D6578-2688-4EED-837B-BE7176E03E49}"/>
    <cellStyle name="Style 80 3 3 4 8 2" xfId="31809" xr:uid="{C4D9C1F6-5A62-4EB5-B494-2CE0065F5017}"/>
    <cellStyle name="Style 80 3 3 4 9" xfId="12993" xr:uid="{3368580C-51F8-42D8-B451-04C323975793}"/>
    <cellStyle name="Style 80 3 3 4 9 2" xfId="31810" xr:uid="{C42F8D9C-B4D3-475B-8C1B-C22567B51A92}"/>
    <cellStyle name="Style 80 3 3 5" xfId="6851" xr:uid="{31350D84-E37F-4C68-A1A0-77CA278B3EFE}"/>
    <cellStyle name="Style 80 3 3 5 2" xfId="12994" xr:uid="{D635B781-4D77-49D1-811D-C2FC4F208D8F}"/>
    <cellStyle name="Style 80 3 3 5 2 2" xfId="31811" xr:uid="{24D6B1C7-34D5-4E5E-ABF4-C45BB59F3947}"/>
    <cellStyle name="Style 80 3 3 5 3" xfId="12995" xr:uid="{4DFA9CE1-6EB1-4AD4-A6CE-6F51D8E2D7BC}"/>
    <cellStyle name="Style 80 3 3 5 3 2" xfId="31812" xr:uid="{6679BE6A-15A5-4C72-8685-30068F66E757}"/>
    <cellStyle name="Style 80 3 3 5 4" xfId="12996" xr:uid="{6E9436B1-EC3C-4886-82F7-E3C71572180D}"/>
    <cellStyle name="Style 80 3 3 5 4 2" xfId="31813" xr:uid="{0DA09DDD-F1F3-4867-A216-946D8C479877}"/>
    <cellStyle name="Style 80 3 3 6" xfId="6852" xr:uid="{9886F4E2-B01A-492B-B6B9-6848576B67BE}"/>
    <cellStyle name="Style 80 3 3 6 2" xfId="12997" xr:uid="{C80143BE-F1A9-4CA5-8C91-C4F84239761D}"/>
    <cellStyle name="Style 80 3 3 6 2 2" xfId="31814" xr:uid="{8435499C-9D59-44FE-9538-99DC8E42955A}"/>
    <cellStyle name="Style 80 3 3 7" xfId="6837" xr:uid="{AC3B5F78-A681-4A99-BE5B-C7EB186F12C9}"/>
    <cellStyle name="Style 80 3 3 7 2" xfId="12998" xr:uid="{CFB0EA55-2486-4566-8EED-C1B426D58FEB}"/>
    <cellStyle name="Style 80 3 3 7 2 2" xfId="31815" xr:uid="{C9F54A06-A63A-4025-AA4B-7E5D8B749487}"/>
    <cellStyle name="Style 80 3 3 8" xfId="12999" xr:uid="{CCA476D3-95CE-4ECB-BF9A-310C8287A8F3}"/>
    <cellStyle name="Style 80 3 3 8 2" xfId="13000" xr:uid="{32942839-5B0A-414A-8089-159BB76AC7E6}"/>
    <cellStyle name="Style 80 3 3 8 2 2" xfId="31816" xr:uid="{8CC9ECAF-B1B9-4A45-9BE0-0E9E701292EB}"/>
    <cellStyle name="Style 80 3 3 8 3" xfId="28020" xr:uid="{1EDB3FC2-260D-488E-ABE6-2666C9AED6A8}"/>
    <cellStyle name="Style 80 3 3 9" xfId="13001" xr:uid="{5E78295E-000E-4C78-B948-EF9F81FBE01A}"/>
    <cellStyle name="Style 80 3 3 9 2" xfId="31817" xr:uid="{E0E8F744-DAAB-4E15-801E-D1C2E8A4F75B}"/>
    <cellStyle name="Style 80 3 4" xfId="3399" xr:uid="{A67A8A25-B2F2-421C-BCFC-05E907438108}"/>
    <cellStyle name="Style 80 3 4 10" xfId="13002" xr:uid="{D98BFA51-3D62-4AB0-8576-C3E6DEB98B21}"/>
    <cellStyle name="Style 80 3 4 10 2" xfId="31818" xr:uid="{63922FDA-7512-41F1-A5E0-99DFD1A84EE1}"/>
    <cellStyle name="Style 80 3 4 11" xfId="13003" xr:uid="{AD7FBF80-5494-4CDA-9B9E-CF844431D03D}"/>
    <cellStyle name="Style 80 3 4 11 2" xfId="31819" xr:uid="{5E47A036-F6C8-4E56-BA32-2CAF6F28A25C}"/>
    <cellStyle name="Style 80 3 4 12" xfId="23989" xr:uid="{5C23D285-EAB9-4BBF-B163-C385F7D5A687}"/>
    <cellStyle name="Style 80 3 4 2" xfId="6854" xr:uid="{1809C635-0C67-436A-9407-A85DDFC629D2}"/>
    <cellStyle name="Style 80 3 4 2 2" xfId="6855" xr:uid="{2630EDDE-0199-4B59-929F-D794B34A412F}"/>
    <cellStyle name="Style 80 3 4 2 3" xfId="13004" xr:uid="{6521E1B9-1592-4035-92E1-B8D70504B413}"/>
    <cellStyle name="Style 80 3 4 2 3 2" xfId="31820" xr:uid="{52DFF54C-833D-4E4E-ADBF-09CC35C2874B}"/>
    <cellStyle name="Style 80 3 4 2 4" xfId="23990" xr:uid="{0CF5415F-8FB1-4DAB-9059-1A5AE1280F21}"/>
    <cellStyle name="Style 80 3 4 3" xfId="6856" xr:uid="{DB73FEED-6A75-40F3-865F-CED9EAF38748}"/>
    <cellStyle name="Style 80 3 4 3 2" xfId="13005" xr:uid="{BB58C083-017A-4B93-9837-B776EAD4B6D3}"/>
    <cellStyle name="Style 80 3 4 3 2 2" xfId="31821" xr:uid="{A398E96A-2373-4DCC-AA08-DAB33EF25C37}"/>
    <cellStyle name="Style 80 3 4 4" xfId="6857" xr:uid="{8826565A-F4E4-4AEB-A954-FD35A64AEF49}"/>
    <cellStyle name="Style 80 3 4 4 2" xfId="13006" xr:uid="{5C685069-1FD1-44B4-8D37-CBCDCF7E3F81}"/>
    <cellStyle name="Style 80 3 4 4 2 2" xfId="31822" xr:uid="{C16126D6-1F9E-4B8C-A2B1-9C7EA53CB75A}"/>
    <cellStyle name="Style 80 3 4 5" xfId="6853" xr:uid="{AEDB83F8-3041-4BE4-819D-6303789445EE}"/>
    <cellStyle name="Style 80 3 4 5 2" xfId="13007" xr:uid="{9A014306-0DE4-4A73-B1C7-00C112BC6F84}"/>
    <cellStyle name="Style 80 3 4 5 2 2" xfId="31823" xr:uid="{D158D02B-3F8A-4252-8A79-0E4A39C44D00}"/>
    <cellStyle name="Style 80 3 4 6" xfId="13008" xr:uid="{266E0285-9B02-4167-9E91-E734A74C751E}"/>
    <cellStyle name="Style 80 3 4 6 2" xfId="13009" xr:uid="{AC2F6A64-D68C-4072-A299-62CA06E3D060}"/>
    <cellStyle name="Style 80 3 4 6 2 2" xfId="31824" xr:uid="{CB0453E9-4FD4-4AF6-BFCE-702B08A9A602}"/>
    <cellStyle name="Style 80 3 4 6 3" xfId="28026" xr:uid="{B02D55AA-A7B5-4A30-B43E-9C2EB56D0909}"/>
    <cellStyle name="Style 80 3 4 7" xfId="13010" xr:uid="{5CC807B1-9563-4FA4-A742-8AC45EF8EB9F}"/>
    <cellStyle name="Style 80 3 4 7 2" xfId="31825" xr:uid="{2A91C47E-43A2-4C48-9CFF-BCDD55F898B6}"/>
    <cellStyle name="Style 80 3 4 8" xfId="13011" xr:uid="{7139DE6B-39DB-4F3E-BF0B-AFBCA2C1CDE1}"/>
    <cellStyle name="Style 80 3 4 8 2" xfId="31826" xr:uid="{366394EF-B1F1-4E63-89FC-8EB9AE12D89A}"/>
    <cellStyle name="Style 80 3 4 9" xfId="13012" xr:uid="{826D1DAA-69C0-4FEC-95B4-004F0172C5B4}"/>
    <cellStyle name="Style 80 3 4 9 2" xfId="31827" xr:uid="{3380D4F8-72D6-4905-8D24-174F2F26CAF9}"/>
    <cellStyle name="Style 80 3 5" xfId="6858" xr:uid="{F1CFAC29-236D-41BD-ABE0-709862C4EF6A}"/>
    <cellStyle name="Style 80 3 5 2" xfId="6859" xr:uid="{E745E40D-F173-418E-8D2B-9EDFEC7B3159}"/>
    <cellStyle name="Style 80 3 5 3" xfId="13013" xr:uid="{0AABA818-0F77-4ABC-9E0F-90D14F61ADE3}"/>
    <cellStyle name="Style 80 3 5 4" xfId="13014" xr:uid="{46656424-57CE-4BFB-8CE5-8809FF9659FA}"/>
    <cellStyle name="Style 80 3 5 4 2" xfId="31828" xr:uid="{874FE982-1034-4A3B-8946-6004AFEAAFE5}"/>
    <cellStyle name="Style 80 3 5 5" xfId="23991" xr:uid="{8F86DD15-EE81-4CF2-B18D-9B33D6B88040}"/>
    <cellStyle name="Style 80 3 6" xfId="6860" xr:uid="{E3369ACB-D526-47D9-9FAE-F266DBF28703}"/>
    <cellStyle name="Style 80 3 6 2" xfId="13015" xr:uid="{32656760-F44C-4012-A60E-56078C2E9BB5}"/>
    <cellStyle name="Style 80 3 6 2 2" xfId="31829" xr:uid="{3CED141C-CF6B-44FD-B21F-96550211929C}"/>
    <cellStyle name="Style 80 3 7" xfId="6832" xr:uid="{27C97CB3-C86D-4226-8614-F7FA0E1CA8B7}"/>
    <cellStyle name="Style 80 3 7 2" xfId="13016" xr:uid="{025859A2-73BA-431F-9735-E61D58497B7B}"/>
    <cellStyle name="Style 80 3 7 2 2" xfId="31830" xr:uid="{7A0C79B6-2A82-4E92-81FF-4ACDDD907BD3}"/>
    <cellStyle name="Style 80 3 8" xfId="4436" xr:uid="{ABD78E84-8C3E-4313-8288-8CBDDEE5F3AE}"/>
    <cellStyle name="Style 80 3 8 2" xfId="13017" xr:uid="{370ADF4A-FF34-4E5C-AAA3-9E4118689415}"/>
    <cellStyle name="Style 80 3 8 2 2" xfId="31831" xr:uid="{997B0C1B-E7D8-4C89-BB48-5E2EE4542610}"/>
    <cellStyle name="Style 80 3 8 3" xfId="26697" xr:uid="{BBC0CD1F-0AF2-447A-903E-256D0FCCE03A}"/>
    <cellStyle name="Style 80 3 9" xfId="13018" xr:uid="{12B02253-84FC-4CC7-801C-1A6D682B541D}"/>
    <cellStyle name="Style 80 3 9 2" xfId="31832" xr:uid="{1C431871-CC6D-4899-AACF-53A5766BF3DD}"/>
    <cellStyle name="Style 80 4" xfId="3400" xr:uid="{70119C53-B1E5-4CDB-B1E1-A2B9EF4E5074}"/>
    <cellStyle name="Style 80 4 10" xfId="13019" xr:uid="{022CCF46-207B-4FA3-8803-D2133EF7663D}"/>
    <cellStyle name="Style 80 4 10 2" xfId="31833" xr:uid="{A455A6CC-D2C0-4D56-966A-7442B3DAD701}"/>
    <cellStyle name="Style 80 4 11" xfId="13020" xr:uid="{7E5B3803-3160-4E94-960D-D62D7A5F3355}"/>
    <cellStyle name="Style 80 4 11 2" xfId="31834" xr:uid="{6B83269A-2895-4B67-AC2E-82BAF9991C24}"/>
    <cellStyle name="Style 80 4 12" xfId="13021" xr:uid="{E8F443DC-B525-4685-999F-F47EDE7B0F1E}"/>
    <cellStyle name="Style 80 4 12 2" xfId="31835" xr:uid="{2A79F4C7-78C9-46B3-A737-373D23A1057B}"/>
    <cellStyle name="Style 80 4 13" xfId="13022" xr:uid="{23E5B35F-C4E9-4A17-95FA-00BD191EDB33}"/>
    <cellStyle name="Style 80 4 13 2" xfId="31836" xr:uid="{CA74B5DF-15B0-443D-AF5A-4A603F2097D9}"/>
    <cellStyle name="Style 80 4 14" xfId="13023" xr:uid="{AD91F2CB-C470-4B80-A604-20292DDD68E0}"/>
    <cellStyle name="Style 80 4 14 2" xfId="31837" xr:uid="{7190A618-4564-43C5-B141-A78079A79F97}"/>
    <cellStyle name="Style 80 4 15" xfId="23992" xr:uid="{5ACA9B62-85C2-4BE7-9BE5-B6AAEE517894}"/>
    <cellStyle name="Style 80 4 2" xfId="3401" xr:uid="{7E8BA15A-9FF2-4972-BADE-05D506E78477}"/>
    <cellStyle name="Style 80 4 2 10" xfId="13024" xr:uid="{D1E9498A-33F6-4EDE-BEAA-9EC76C3CBE08}"/>
    <cellStyle name="Style 80 4 2 10 2" xfId="31838" xr:uid="{B2E96F24-5A9E-422C-98D2-66F80EE43B74}"/>
    <cellStyle name="Style 80 4 2 11" xfId="13025" xr:uid="{90F12C36-DF0B-49BB-AD39-31B5426227B2}"/>
    <cellStyle name="Style 80 4 2 11 2" xfId="31839" xr:uid="{B15B05C8-D7B8-40C5-8B1B-F85B603C3F03}"/>
    <cellStyle name="Style 80 4 2 12" xfId="13026" xr:uid="{8DBE4448-86B6-4E37-9C9E-E5DF8AB34620}"/>
    <cellStyle name="Style 80 4 2 12 2" xfId="31840" xr:uid="{E6CBCA87-30E7-4E81-8FA6-C7DC5A84C791}"/>
    <cellStyle name="Style 80 4 2 13" xfId="13027" xr:uid="{71ED8734-2BC2-4BBE-9F38-EC919CFF11E7}"/>
    <cellStyle name="Style 80 4 2 13 2" xfId="31841" xr:uid="{7401CBD4-581B-44D9-96C1-44AEAD3AF198}"/>
    <cellStyle name="Style 80 4 2 14" xfId="13028" xr:uid="{2F7C03A9-CC0D-4784-8EAF-41D066FA53B7}"/>
    <cellStyle name="Style 80 4 2 14 2" xfId="31842" xr:uid="{D5BC5F68-79D6-4AA4-BFB1-6EB4488D88D6}"/>
    <cellStyle name="Style 80 4 2 15" xfId="13029" xr:uid="{6A9B18B4-A5FF-4773-9C6E-1FBF6241BF2E}"/>
    <cellStyle name="Style 80 4 2 15 2" xfId="31843" xr:uid="{B41C6253-1D4A-42A4-A5CF-30C9AA888A8D}"/>
    <cellStyle name="Style 80 4 2 16" xfId="23993" xr:uid="{C07803CD-F8FF-48E7-A158-555F564D1DE7}"/>
    <cellStyle name="Style 80 4 2 2" xfId="3402" xr:uid="{C9E5160B-0417-426E-B6E3-7D32CB247C3C}"/>
    <cellStyle name="Style 80 4 2 2 10" xfId="13030" xr:uid="{EF38BC59-BACD-4B5B-B9E5-81C609213A06}"/>
    <cellStyle name="Style 80 4 2 2 10 2" xfId="31844" xr:uid="{58B08273-7498-4CC6-BE2A-F1C2FBA25DF1}"/>
    <cellStyle name="Style 80 4 2 2 11" xfId="13031" xr:uid="{F676079A-B2F7-4E4A-8550-BB68C5CCE1AA}"/>
    <cellStyle name="Style 80 4 2 2 11 2" xfId="31845" xr:uid="{1C11FABA-A649-46B4-897E-1F8B5E9002CC}"/>
    <cellStyle name="Style 80 4 2 2 12" xfId="23994" xr:uid="{8E6E5742-34F0-45F3-8C21-251D4612DD6B}"/>
    <cellStyle name="Style 80 4 2 2 2" xfId="6864" xr:uid="{FDCD4561-C6BD-4B6D-B064-D66937A84ECD}"/>
    <cellStyle name="Style 80 4 2 2 2 2" xfId="13032" xr:uid="{726CB1EA-70A0-47E6-AF9C-45231D1C6F9E}"/>
    <cellStyle name="Style 80 4 2 2 2 2 2" xfId="31846" xr:uid="{B67636FE-37F1-4505-9705-B47D7981CBA8}"/>
    <cellStyle name="Style 80 4 2 2 3" xfId="6863" xr:uid="{984E7E29-E761-4966-B714-F74944547607}"/>
    <cellStyle name="Style 80 4 2 2 3 2" xfId="13033" xr:uid="{F6A4C5AC-28B9-4978-9591-2CB53AFF4155}"/>
    <cellStyle name="Style 80 4 2 2 3 2 2" xfId="31847" xr:uid="{759DEB28-78A0-42BD-BB04-B1CCED659095}"/>
    <cellStyle name="Style 80 4 2 2 4" xfId="13034" xr:uid="{DAD67C5E-A0C7-44F3-9119-A8EA0F471AF1}"/>
    <cellStyle name="Style 80 4 2 2 4 2" xfId="13035" xr:uid="{931EDF3D-65DF-4D80-9A4A-ECBF6A9FC4C2}"/>
    <cellStyle name="Style 80 4 2 2 4 2 2" xfId="31848" xr:uid="{5E77367B-D64D-4835-8E5C-9E8D5EFF37BD}"/>
    <cellStyle name="Style 80 4 2 2 4 3" xfId="28029" xr:uid="{D0CE66E7-C24C-4721-AA08-82C985F6B096}"/>
    <cellStyle name="Style 80 4 2 2 5" xfId="13036" xr:uid="{2DCF1906-3F42-4F93-A950-15436C810A62}"/>
    <cellStyle name="Style 80 4 2 2 5 2" xfId="31849" xr:uid="{D6FD4723-03B5-45C9-BB8C-831C20992D18}"/>
    <cellStyle name="Style 80 4 2 2 6" xfId="13037" xr:uid="{7F714970-5694-4308-8CC0-7EEED290EC55}"/>
    <cellStyle name="Style 80 4 2 2 6 2" xfId="31850" xr:uid="{F742360C-DBEF-4F88-91FF-36BD1CD2B75B}"/>
    <cellStyle name="Style 80 4 2 2 7" xfId="13038" xr:uid="{B765E28F-9988-4F02-8CBF-2F5FDFA57BEB}"/>
    <cellStyle name="Style 80 4 2 2 7 2" xfId="31851" xr:uid="{E5AF9B2A-D419-4B03-B1EE-E63753F434DA}"/>
    <cellStyle name="Style 80 4 2 2 8" xfId="13039" xr:uid="{76011058-EE7E-4D5A-8C74-ED466F484134}"/>
    <cellStyle name="Style 80 4 2 2 8 2" xfId="31852" xr:uid="{1B9BB863-8E1C-4608-8182-263868C36A5C}"/>
    <cellStyle name="Style 80 4 2 2 9" xfId="13040" xr:uid="{0DF66754-BCFA-4EF0-8DE5-62D48ECFF1FF}"/>
    <cellStyle name="Style 80 4 2 2 9 2" xfId="31853" xr:uid="{CDD7DE2D-313E-4B45-B685-F0BCDC488A1F}"/>
    <cellStyle name="Style 80 4 2 3" xfId="3403" xr:uid="{39F6E146-2EF8-4A2C-9520-C15241346050}"/>
    <cellStyle name="Style 80 4 2 3 10" xfId="13041" xr:uid="{66C37516-4B53-4855-B056-F284B5E0696E}"/>
    <cellStyle name="Style 80 4 2 3 10 2" xfId="31854" xr:uid="{FDE5A65B-8E5F-4740-B3E9-8736D9E5B5A9}"/>
    <cellStyle name="Style 80 4 2 3 11" xfId="13042" xr:uid="{33961B11-0754-4D53-9B8E-F1D1555BFCCE}"/>
    <cellStyle name="Style 80 4 2 3 11 2" xfId="31855" xr:uid="{6580C5B6-683F-496B-9505-FE26B62DE3A7}"/>
    <cellStyle name="Style 80 4 2 3 12" xfId="13043" xr:uid="{18DCCEDA-D6C6-4D92-A06A-7295BA1FD573}"/>
    <cellStyle name="Style 80 4 2 3 12 2" xfId="31856" xr:uid="{8E777B46-E582-4A58-970F-1D3DB5D53B2E}"/>
    <cellStyle name="Style 80 4 2 3 13" xfId="13044" xr:uid="{08A75E4B-07A2-4949-80F7-5C60DF0F7667}"/>
    <cellStyle name="Style 80 4 2 3 13 2" xfId="31857" xr:uid="{52BF1446-DB42-4AB3-9C35-C8C592B67140}"/>
    <cellStyle name="Style 80 4 2 3 14" xfId="23995" xr:uid="{8D9B8579-33C3-431D-84EB-197365854A7C}"/>
    <cellStyle name="Style 80 4 2 3 2" xfId="3404" xr:uid="{12FD951D-32CB-4DD0-A9CE-9B8C956E3D62}"/>
    <cellStyle name="Style 80 4 2 3 2 10" xfId="13045" xr:uid="{D810B916-9141-4A4C-864B-BA43C2E45C09}"/>
    <cellStyle name="Style 80 4 2 3 2 10 2" xfId="31858" xr:uid="{13FCA22C-D82B-435F-8D11-5E8C7D72A365}"/>
    <cellStyle name="Style 80 4 2 3 2 11" xfId="13046" xr:uid="{DCA10B3D-C6B7-44AA-AB3A-9A0ECE028FD8}"/>
    <cellStyle name="Style 80 4 2 3 2 11 2" xfId="31859" xr:uid="{3A8F06F7-36D0-4958-81BA-FABF8ED90BFE}"/>
    <cellStyle name="Style 80 4 2 3 2 12" xfId="23996" xr:uid="{04DE4C79-2782-44F9-B824-85FC2FA665E8}"/>
    <cellStyle name="Style 80 4 2 3 2 2" xfId="6867" xr:uid="{60F880AC-00CC-498D-BB82-EF603871BBBB}"/>
    <cellStyle name="Style 80 4 2 3 2 2 2" xfId="13047" xr:uid="{175F2A18-A4AC-4EE4-B853-3776FEB50FE1}"/>
    <cellStyle name="Style 80 4 2 3 2 2 2 2" xfId="31860" xr:uid="{AEAEB63E-E7C4-43B6-9CCA-BCDDBBA9D3E8}"/>
    <cellStyle name="Style 80 4 2 3 2 3" xfId="6866" xr:uid="{A3FECE4B-8CBE-4220-9F35-16F077974FF7}"/>
    <cellStyle name="Style 80 4 2 3 2 3 2" xfId="13048" xr:uid="{E38C10E2-DC35-448D-AB9D-7C4BD5A02EFE}"/>
    <cellStyle name="Style 80 4 2 3 2 3 2 2" xfId="31861" xr:uid="{708FFF2D-2C51-466A-BA80-05ADA488C8EC}"/>
    <cellStyle name="Style 80 4 2 3 2 4" xfId="13049" xr:uid="{F7EC66B9-32ED-41DE-BBAA-B93A88E272D7}"/>
    <cellStyle name="Style 80 4 2 3 2 4 2" xfId="13050" xr:uid="{A19CA99D-FF7D-4E36-A321-4EEBD642CDD6}"/>
    <cellStyle name="Style 80 4 2 3 2 4 2 2" xfId="31862" xr:uid="{27DB2E40-5C34-447E-A36A-1510E0431273}"/>
    <cellStyle name="Style 80 4 2 3 2 4 3" xfId="28031" xr:uid="{306409D0-FB0D-4765-81E7-9343F2361E6F}"/>
    <cellStyle name="Style 80 4 2 3 2 5" xfId="13051" xr:uid="{FFCABB6F-A790-4E77-BD08-4FA37B1C7D8A}"/>
    <cellStyle name="Style 80 4 2 3 2 5 2" xfId="31863" xr:uid="{6ADC3E7E-38A8-4DC3-901F-0E4230321341}"/>
    <cellStyle name="Style 80 4 2 3 2 6" xfId="13052" xr:uid="{D220660D-7A4E-48DC-9DE4-3EEC34795146}"/>
    <cellStyle name="Style 80 4 2 3 2 6 2" xfId="31864" xr:uid="{81E98FDD-CC5A-4973-960A-95E0440F8138}"/>
    <cellStyle name="Style 80 4 2 3 2 7" xfId="13053" xr:uid="{066F0A71-CA7F-4C45-82A9-D96B985D202D}"/>
    <cellStyle name="Style 80 4 2 3 2 7 2" xfId="31865" xr:uid="{A76F798A-1DC8-43D2-A116-0505A0F3F4E6}"/>
    <cellStyle name="Style 80 4 2 3 2 8" xfId="13054" xr:uid="{E7AF3EC2-A4F6-4FA8-B98A-10FD8D623A30}"/>
    <cellStyle name="Style 80 4 2 3 2 8 2" xfId="31866" xr:uid="{25526D86-2556-41D8-85E0-D56F7BD75417}"/>
    <cellStyle name="Style 80 4 2 3 2 9" xfId="13055" xr:uid="{F6379796-5101-49CC-BC24-4250F258B413}"/>
    <cellStyle name="Style 80 4 2 3 2 9 2" xfId="31867" xr:uid="{9A31A83A-874A-458E-8200-46F71AE17C3A}"/>
    <cellStyle name="Style 80 4 2 3 3" xfId="6868" xr:uid="{F0046601-6233-4983-8923-108C2ACAE7D2}"/>
    <cellStyle name="Style 80 4 2 3 3 2" xfId="6869" xr:uid="{6FF89D0B-53FF-40A1-9F61-5B499EFC81BA}"/>
    <cellStyle name="Style 80 4 2 3 3 2 2" xfId="13056" xr:uid="{6B8F1EA6-CC57-40C8-B7FC-E36E480577A3}"/>
    <cellStyle name="Style 80 4 2 3 3 2 2 2" xfId="31868" xr:uid="{6A8BBC14-4B8C-49DF-A4D0-DC98A87853F1}"/>
    <cellStyle name="Style 80 4 2 3 3 3" xfId="13057" xr:uid="{9D46AC5A-49DE-4C03-9BFD-846F8AF6146F}"/>
    <cellStyle name="Style 80 4 2 3 3 3 2" xfId="31869" xr:uid="{0F3018DB-3846-491C-860C-3F064803C37E}"/>
    <cellStyle name="Style 80 4 2 3 3 4" xfId="13058" xr:uid="{F5F94EA4-417E-41EE-B21D-CCB9ADA12CB5}"/>
    <cellStyle name="Style 80 4 2 3 3 4 2" xfId="31870" xr:uid="{26465FF0-401C-4523-B09F-0F536D330967}"/>
    <cellStyle name="Style 80 4 2 3 3 5" xfId="23997" xr:uid="{4025AD0B-C07E-436E-917D-2275CA63C737}"/>
    <cellStyle name="Style 80 4 2 3 4" xfId="6870" xr:uid="{F98C4F91-7646-43D9-81B1-18EDDE70DE1E}"/>
    <cellStyle name="Style 80 4 2 3 4 2" xfId="13059" xr:uid="{6057356B-CDCC-4FDA-BDBA-A86770727EE7}"/>
    <cellStyle name="Style 80 4 2 3 4 2 2" xfId="31871" xr:uid="{3F538EBC-84EE-4489-B584-0ACDF315B21F}"/>
    <cellStyle name="Style 80 4 2 3 5" xfId="6871" xr:uid="{2BB789C3-5100-4143-B006-8D54F0094D53}"/>
    <cellStyle name="Style 80 4 2 3 5 2" xfId="13060" xr:uid="{103634FF-FDA5-46B2-B30D-70767D136B89}"/>
    <cellStyle name="Style 80 4 2 3 5 2 2" xfId="31872" xr:uid="{63E58D55-8C1F-4C78-8729-A7583DF7D41C}"/>
    <cellStyle name="Style 80 4 2 3 6" xfId="6865" xr:uid="{EF3EEAAF-CFC0-4EA2-A2FD-F005147CEC34}"/>
    <cellStyle name="Style 80 4 2 3 6 2" xfId="13061" xr:uid="{8959DFD5-3091-4581-9A1E-156FBE1CD570}"/>
    <cellStyle name="Style 80 4 2 3 6 2 2" xfId="31873" xr:uid="{D9558250-DAB6-4789-939C-6477AD31CCDD}"/>
    <cellStyle name="Style 80 4 2 3 7" xfId="13062" xr:uid="{5A50CAE1-3F22-40C9-8BA7-EA373A30B10A}"/>
    <cellStyle name="Style 80 4 2 3 7 2" xfId="13063" xr:uid="{8BA22CDE-7630-4516-B801-B0FEB4B068B4}"/>
    <cellStyle name="Style 80 4 2 3 7 2 2" xfId="31874" xr:uid="{279F643D-EAD9-4026-BDCC-1C1470E66BA6}"/>
    <cellStyle name="Style 80 4 2 3 7 3" xfId="28030" xr:uid="{AD6B3E9D-F0B7-47AC-99AD-6280C44C5604}"/>
    <cellStyle name="Style 80 4 2 3 8" xfId="13064" xr:uid="{5AC92D5E-3E72-4A55-88E0-37E521BBDFF0}"/>
    <cellStyle name="Style 80 4 2 3 8 2" xfId="31875" xr:uid="{2506D5F6-8CD9-4EC5-8AB1-2CB10A6F7043}"/>
    <cellStyle name="Style 80 4 2 3 9" xfId="13065" xr:uid="{D7322CF7-4EE6-40E8-B46F-47649AEEA466}"/>
    <cellStyle name="Style 80 4 2 3 9 2" xfId="31876" xr:uid="{C4D60493-6F0E-4895-842F-97BDF90E653E}"/>
    <cellStyle name="Style 80 4 2 4" xfId="3405" xr:uid="{E28C54A2-CBE0-48DA-8A15-B248AF255099}"/>
    <cellStyle name="Style 80 4 2 4 10" xfId="13066" xr:uid="{9FB49E77-158B-48DF-9E68-94DA6583D479}"/>
    <cellStyle name="Style 80 4 2 4 10 2" xfId="31877" xr:uid="{6C5F15A3-7C0E-4A76-85C2-F6B7BDD7A13C}"/>
    <cellStyle name="Style 80 4 2 4 11" xfId="13067" xr:uid="{F217660A-4AAB-4801-B380-D30C459C3CB1}"/>
    <cellStyle name="Style 80 4 2 4 11 2" xfId="31878" xr:uid="{CD4C9AF6-AA48-4C64-84D5-CDC7EC1950FB}"/>
    <cellStyle name="Style 80 4 2 4 12" xfId="13068" xr:uid="{314329D5-28C7-4826-9A64-37757D831002}"/>
    <cellStyle name="Style 80 4 2 4 12 2" xfId="31879" xr:uid="{D2402D43-64F8-4D6A-A9D3-942050A2EAA5}"/>
    <cellStyle name="Style 80 4 2 4 13" xfId="23998" xr:uid="{4D529D46-3EAF-47EA-8F45-9DC12F02D4FF}"/>
    <cellStyle name="Style 80 4 2 4 2" xfId="3406" xr:uid="{A923CED0-34B9-4A0F-AF2E-57D0B7A019F9}"/>
    <cellStyle name="Style 80 4 2 4 2 10" xfId="13069" xr:uid="{A2B60798-E329-48D0-BE65-CA53449D5EBB}"/>
    <cellStyle name="Style 80 4 2 4 2 10 2" xfId="31880" xr:uid="{6DB004EC-A6F4-489C-84E4-E4B229860799}"/>
    <cellStyle name="Style 80 4 2 4 2 11" xfId="13070" xr:uid="{D062B32D-A07C-4FAC-A94F-D10D8369A87A}"/>
    <cellStyle name="Style 80 4 2 4 2 11 2" xfId="31881" xr:uid="{7AA87C0D-7014-4DFB-8350-571028E2FB7E}"/>
    <cellStyle name="Style 80 4 2 4 2 12" xfId="23999" xr:uid="{068A809A-1D73-4507-B019-962D80F343B3}"/>
    <cellStyle name="Style 80 4 2 4 2 2" xfId="6874" xr:uid="{93B7E7A5-917B-44EF-A78A-5E246F71B703}"/>
    <cellStyle name="Style 80 4 2 4 2 2 2" xfId="13071" xr:uid="{9CA905E9-7AC1-4F30-9039-599BC59BD4F6}"/>
    <cellStyle name="Style 80 4 2 4 2 2 2 2" xfId="31882" xr:uid="{68F1460C-A85C-4DDF-8F5D-283DDCC31DDE}"/>
    <cellStyle name="Style 80 4 2 4 2 3" xfId="6873" xr:uid="{9AAA8121-1DF3-4031-8888-E9FDD76F1232}"/>
    <cellStyle name="Style 80 4 2 4 2 3 2" xfId="13072" xr:uid="{1FA09F5D-C22C-4F71-ADC6-BF82FE830DAB}"/>
    <cellStyle name="Style 80 4 2 4 2 3 2 2" xfId="31883" xr:uid="{7CAE8624-E4FA-4A30-8368-3BF9B6CE095F}"/>
    <cellStyle name="Style 80 4 2 4 2 4" xfId="13073" xr:uid="{13DBCFD4-935E-4588-948E-9E1CDEF57702}"/>
    <cellStyle name="Style 80 4 2 4 2 4 2" xfId="13074" xr:uid="{E1705F7A-1004-4791-9BE2-6FB3B7931176}"/>
    <cellStyle name="Style 80 4 2 4 2 4 2 2" xfId="31884" xr:uid="{FBB0CE04-3330-4A2C-8208-3B5EC6F80CBC}"/>
    <cellStyle name="Style 80 4 2 4 2 4 3" xfId="28033" xr:uid="{EA524892-3EEF-4FC8-A4A2-CA2E937736EB}"/>
    <cellStyle name="Style 80 4 2 4 2 5" xfId="13075" xr:uid="{6B8394AB-D367-4352-B09C-0D6A251E8F8D}"/>
    <cellStyle name="Style 80 4 2 4 2 5 2" xfId="31885" xr:uid="{4EF0E601-0A38-41F5-946D-CE2208315B60}"/>
    <cellStyle name="Style 80 4 2 4 2 6" xfId="13076" xr:uid="{5C14CE19-899F-4B22-99D6-47FCAAC469B4}"/>
    <cellStyle name="Style 80 4 2 4 2 6 2" xfId="31886" xr:uid="{839C1574-6382-4F2A-8A05-4CDEBF447E71}"/>
    <cellStyle name="Style 80 4 2 4 2 7" xfId="13077" xr:uid="{E25A624F-D8F0-4A77-9D38-3E0158B3CD26}"/>
    <cellStyle name="Style 80 4 2 4 2 7 2" xfId="31887" xr:uid="{FEA65174-202F-4458-9183-40630224E875}"/>
    <cellStyle name="Style 80 4 2 4 2 8" xfId="13078" xr:uid="{F4DA127F-91C9-4A09-A787-B2E00C1D17D9}"/>
    <cellStyle name="Style 80 4 2 4 2 8 2" xfId="31888" xr:uid="{D507BB63-609C-481F-A767-F32298BF96FC}"/>
    <cellStyle name="Style 80 4 2 4 2 9" xfId="13079" xr:uid="{5F18EFB8-2D22-4471-9B8E-1E63A112EDA7}"/>
    <cellStyle name="Style 80 4 2 4 2 9 2" xfId="31889" xr:uid="{DAF7E66F-783C-4E58-937E-45C61D549DAE}"/>
    <cellStyle name="Style 80 4 2 4 3" xfId="6875" xr:uid="{6E5AD18E-A7DF-4304-893E-292627A18A08}"/>
    <cellStyle name="Style 80 4 2 4 3 2" xfId="13080" xr:uid="{B2F8927E-BAC0-42B1-881D-7182E54733A5}"/>
    <cellStyle name="Style 80 4 2 4 3 2 2" xfId="31890" xr:uid="{72BE00F0-92FC-4F6F-94F8-F7EC86CC1726}"/>
    <cellStyle name="Style 80 4 2 4 4" xfId="6872" xr:uid="{85D024C7-7055-418D-816C-45680ACE7244}"/>
    <cellStyle name="Style 80 4 2 4 4 2" xfId="13081" xr:uid="{029C1244-2104-48E5-A90D-B1501DBD4A0D}"/>
    <cellStyle name="Style 80 4 2 4 4 2 2" xfId="31891" xr:uid="{ADFA3FAD-A6EA-41AB-AC4D-CF91A1E2B1C1}"/>
    <cellStyle name="Style 80 4 2 4 5" xfId="13082" xr:uid="{2530D2D1-A32C-46F4-BE0E-366DEBFBE5FA}"/>
    <cellStyle name="Style 80 4 2 4 5 2" xfId="13083" xr:uid="{AEA93ABD-6CE9-4159-A01E-31DF070F86D2}"/>
    <cellStyle name="Style 80 4 2 4 5 2 2" xfId="31892" xr:uid="{FC61A38E-DCF3-48D3-8B17-F573725000BB}"/>
    <cellStyle name="Style 80 4 2 4 5 3" xfId="28032" xr:uid="{25552EFD-B562-4A49-8A67-DD31DE090A63}"/>
    <cellStyle name="Style 80 4 2 4 6" xfId="13084" xr:uid="{3E90D31B-1781-4939-B57F-7A147DBA81C1}"/>
    <cellStyle name="Style 80 4 2 4 6 2" xfId="31893" xr:uid="{37EE0F95-A917-4871-BBA9-DCBBB814CA2D}"/>
    <cellStyle name="Style 80 4 2 4 7" xfId="13085" xr:uid="{6B8ACEF8-9B1C-4905-B2AD-3910C2F3B89E}"/>
    <cellStyle name="Style 80 4 2 4 7 2" xfId="31894" xr:uid="{2B95D12F-7530-4315-B366-524734BE4767}"/>
    <cellStyle name="Style 80 4 2 4 8" xfId="13086" xr:uid="{FAA0135A-D9CB-4EED-A79C-9D205ACBBB82}"/>
    <cellStyle name="Style 80 4 2 4 8 2" xfId="31895" xr:uid="{763F365B-3068-49B9-8AA4-9A5442596AF2}"/>
    <cellStyle name="Style 80 4 2 4 9" xfId="13087" xr:uid="{25F7B63F-E26D-4AAF-B356-367E267078AD}"/>
    <cellStyle name="Style 80 4 2 4 9 2" xfId="31896" xr:uid="{5FE20DDE-BC43-48FE-8A03-1E1EEF709960}"/>
    <cellStyle name="Style 80 4 2 5" xfId="6876" xr:uid="{10E5AAF3-2EFE-463B-910F-80C4FC171498}"/>
    <cellStyle name="Style 80 4 2 5 2" xfId="13088" xr:uid="{385048D2-2C0C-49AE-9D3F-EC351D40E596}"/>
    <cellStyle name="Style 80 4 2 5 2 2" xfId="31897" xr:uid="{A4C4FDE3-DBF5-4626-B2E1-DFC406F7234C}"/>
    <cellStyle name="Style 80 4 2 5 3" xfId="13089" xr:uid="{2ABA870A-F816-4590-8438-1B2C98CD6201}"/>
    <cellStyle name="Style 80 4 2 5 3 2" xfId="31898" xr:uid="{1BC13897-937B-4A5A-B5C4-F76D8B3984C4}"/>
    <cellStyle name="Style 80 4 2 5 4" xfId="13090" xr:uid="{567C48DD-D4F6-4A06-9187-E84F2A946F9F}"/>
    <cellStyle name="Style 80 4 2 5 4 2" xfId="31899" xr:uid="{C466DDEB-00AE-45AA-BD84-466689CB8981}"/>
    <cellStyle name="Style 80 4 2 6" xfId="6877" xr:uid="{AF4C8F64-C277-4E73-8695-FCCED03C6466}"/>
    <cellStyle name="Style 80 4 2 6 2" xfId="13091" xr:uid="{EE2948E9-BACB-4D03-887C-51414512CF56}"/>
    <cellStyle name="Style 80 4 2 6 2 2" xfId="31900" xr:uid="{479D261E-01D8-4013-981A-C384A1A31DBB}"/>
    <cellStyle name="Style 80 4 2 7" xfId="6862" xr:uid="{6CAF7DFB-B431-461B-85DD-58096588B764}"/>
    <cellStyle name="Style 80 4 2 7 2" xfId="13092" xr:uid="{135F6B5C-03A3-43EC-A2FB-523F8FED7992}"/>
    <cellStyle name="Style 80 4 2 7 2 2" xfId="31901" xr:uid="{F6440F16-F56D-4D16-BBFC-D88F506BF9E8}"/>
    <cellStyle name="Style 80 4 2 8" xfId="13093" xr:uid="{927C0455-56A8-46FE-92BE-EE8C21448B3A}"/>
    <cellStyle name="Style 80 4 2 8 2" xfId="13094" xr:uid="{3C17ED08-C10B-4A56-B708-DB930455E62B}"/>
    <cellStyle name="Style 80 4 2 8 2 2" xfId="31902" xr:uid="{CDD95AA8-DCE5-487C-B417-967B223668FE}"/>
    <cellStyle name="Style 80 4 2 8 3" xfId="28028" xr:uid="{4698D4ED-7274-46BE-A975-67CFAC641D16}"/>
    <cellStyle name="Style 80 4 2 9" xfId="13095" xr:uid="{0192DC64-B392-40AB-A511-1A9FD49DDEEC}"/>
    <cellStyle name="Style 80 4 2 9 2" xfId="31903" xr:uid="{BA773251-E8BD-429F-96EB-023A8CD2CA7C}"/>
    <cellStyle name="Style 80 4 3" xfId="3407" xr:uid="{3EE36EAB-275F-4004-BAF5-88B5792F6740}"/>
    <cellStyle name="Style 80 4 3 10" xfId="13096" xr:uid="{8A8EE6DC-8707-44DE-8397-35702042D2F5}"/>
    <cellStyle name="Style 80 4 3 10 2" xfId="31904" xr:uid="{B7525F15-0890-40A5-B44C-0F4F3D49A6F2}"/>
    <cellStyle name="Style 80 4 3 11" xfId="13097" xr:uid="{0C54B184-F6CB-4141-8DC9-3314A9C83F2E}"/>
    <cellStyle name="Style 80 4 3 11 2" xfId="31905" xr:uid="{A5C86293-63AE-448A-BEC4-557B42149035}"/>
    <cellStyle name="Style 80 4 3 12" xfId="24000" xr:uid="{F3E057C4-A19D-40E3-A012-4924A1A31C2E}"/>
    <cellStyle name="Style 80 4 3 2" xfId="6879" xr:uid="{EEBC487C-7C24-4977-8173-E972FAC9998D}"/>
    <cellStyle name="Style 80 4 3 2 2" xfId="13098" xr:uid="{21B3C770-971F-4FD3-B5E0-FD9D87635745}"/>
    <cellStyle name="Style 80 4 3 2 2 2" xfId="31906" xr:uid="{68BEE0DB-ED24-4301-B559-B86470860371}"/>
    <cellStyle name="Style 80 4 3 3" xfId="6878" xr:uid="{617C9766-A3A7-4B11-9B63-5945F5328057}"/>
    <cellStyle name="Style 80 4 3 3 2" xfId="13099" xr:uid="{FFFAF20A-B361-4473-86D2-F51D82F9F167}"/>
    <cellStyle name="Style 80 4 3 3 2 2" xfId="31907" xr:uid="{0401A11D-2A90-4B8E-BA5F-168E799ABFF0}"/>
    <cellStyle name="Style 80 4 3 4" xfId="13100" xr:uid="{ABA503DA-9EAF-45A1-B11F-6E7A166FAD95}"/>
    <cellStyle name="Style 80 4 3 4 2" xfId="13101" xr:uid="{EA0366C5-4CC4-49D9-9E1C-3045C5989C66}"/>
    <cellStyle name="Style 80 4 3 4 2 2" xfId="31908" xr:uid="{37ECF1C7-3A87-4E69-97CB-F25BD16A4C64}"/>
    <cellStyle name="Style 80 4 3 4 3" xfId="28034" xr:uid="{232324E2-1669-4E43-947A-F4568BBFE55F}"/>
    <cellStyle name="Style 80 4 3 5" xfId="13102" xr:uid="{FD9ACA39-F68B-43CB-B832-FF7BF0FD2519}"/>
    <cellStyle name="Style 80 4 3 5 2" xfId="31909" xr:uid="{04701FEF-4C3A-4047-8164-95949FB15E8A}"/>
    <cellStyle name="Style 80 4 3 6" xfId="13103" xr:uid="{3F68D4B5-3607-4951-8C24-E1E0E2BDBCF9}"/>
    <cellStyle name="Style 80 4 3 6 2" xfId="31910" xr:uid="{64D4B651-E26A-4D4C-BFB4-E2C60394D0D0}"/>
    <cellStyle name="Style 80 4 3 7" xfId="13104" xr:uid="{FFBEFB97-919F-4C25-B5B9-798418CB0287}"/>
    <cellStyle name="Style 80 4 3 7 2" xfId="31911" xr:uid="{D7A2172D-9C94-42FF-8546-F0FE35C1FC1A}"/>
    <cellStyle name="Style 80 4 3 8" xfId="13105" xr:uid="{3E265C82-056A-456B-BD46-32569F9870BB}"/>
    <cellStyle name="Style 80 4 3 8 2" xfId="31912" xr:uid="{05BF0DEE-199B-46FB-A9D7-1B0E3A88BBC8}"/>
    <cellStyle name="Style 80 4 3 9" xfId="13106" xr:uid="{2A2E2A4F-B9ED-4315-BF1B-0546DD2211B6}"/>
    <cellStyle name="Style 80 4 3 9 2" xfId="31913" xr:uid="{AC2697A6-5148-4453-A717-838D8D0E1B4E}"/>
    <cellStyle name="Style 80 4 4" xfId="6880" xr:uid="{06F87929-2653-47D9-8BDF-CBB2B75800D0}"/>
    <cellStyle name="Style 80 4 4 2" xfId="6881" xr:uid="{1325E87F-1EF7-49A7-A3EA-785597000205}"/>
    <cellStyle name="Style 80 4 4 2 2" xfId="13107" xr:uid="{EDD616ED-C5E8-4D1B-8586-C9280218677A}"/>
    <cellStyle name="Style 80 4 4 2 2 2" xfId="31914" xr:uid="{8D5C4E30-B8C6-49EE-BB47-2D76AD1A2AFA}"/>
    <cellStyle name="Style 80 4 4 3" xfId="6882" xr:uid="{E3F7A49C-3398-4DDB-A05B-005E85A9DE83}"/>
    <cellStyle name="Style 80 4 4 3 2" xfId="13108" xr:uid="{F565FF71-6384-4D90-86A6-B0E8C0781636}"/>
    <cellStyle name="Style 80 4 4 3 2 2" xfId="31915" xr:uid="{C1BC40A3-EEB8-45D8-9399-04FB760B600F}"/>
    <cellStyle name="Style 80 4 4 4" xfId="13109" xr:uid="{F92E67C4-0836-492A-91DF-06331F1F0FC1}"/>
    <cellStyle name="Style 80 4 4 4 2" xfId="31916" xr:uid="{E76CF61A-7FCF-49FD-A86B-5F886F5C5C04}"/>
    <cellStyle name="Style 80 4 4 5" xfId="24001" xr:uid="{EE4897AA-3E13-430D-90BE-001BF9163DFE}"/>
    <cellStyle name="Style 80 4 5" xfId="6883" xr:uid="{2967AC18-4FA5-4E2B-8665-5D1366DABE4F}"/>
    <cellStyle name="Style 80 4 5 2" xfId="13110" xr:uid="{C71C747B-8D89-4704-8F68-3EA93F4A8196}"/>
    <cellStyle name="Style 80 4 5 2 2" xfId="31917" xr:uid="{8A101B9A-83BC-4EE2-9CED-60CD40CDC727}"/>
    <cellStyle name="Style 80 4 6" xfId="6861" xr:uid="{B348A902-D942-44DB-911B-9E39293E2400}"/>
    <cellStyle name="Style 80 4 6 2" xfId="13111" xr:uid="{DDBFAE0D-8E35-47E5-A53A-E6A6B3E36802}"/>
    <cellStyle name="Style 80 4 6 2 2" xfId="31918" xr:uid="{AA53D906-5AED-4318-8B96-1AC62B355C76}"/>
    <cellStyle name="Style 80 4 7" xfId="4438" xr:uid="{E7BCDF33-6FDD-4678-9379-E91D58C44E39}"/>
    <cellStyle name="Style 80 4 7 2" xfId="13112" xr:uid="{D05249D3-072A-42C2-B681-AAFD28931F2D}"/>
    <cellStyle name="Style 80 4 7 2 2" xfId="31919" xr:uid="{968A5CAB-4D79-4BEF-9F8E-11329861C68D}"/>
    <cellStyle name="Style 80 4 7 3" xfId="26699" xr:uid="{3DB0FC21-2659-43C7-9669-8FAEF5CC7EA8}"/>
    <cellStyle name="Style 80 4 8" xfId="13113" xr:uid="{F3F476BD-5002-4327-B39B-DF08EFEA19B0}"/>
    <cellStyle name="Style 80 4 8 2" xfId="13114" xr:uid="{5EC723DC-3C5C-4E3D-8AAD-E214B2FE4C23}"/>
    <cellStyle name="Style 80 4 8 2 2" xfId="31920" xr:uid="{8EF1E4C5-E6E5-4DB6-BFA5-5F8FCC6A4B67}"/>
    <cellStyle name="Style 80 4 8 3" xfId="28027" xr:uid="{5CB32E0F-4FF1-4AA2-A931-9FE32C866200}"/>
    <cellStyle name="Style 80 4 9" xfId="13115" xr:uid="{FF6A3C87-F54B-4E8D-8F33-33A6A166B40B}"/>
    <cellStyle name="Style 80 4 9 2" xfId="31921" xr:uid="{69A91F57-AFA4-411A-A052-BCF8F1EF41F6}"/>
    <cellStyle name="Style 80 5" xfId="3408" xr:uid="{C54955EE-C847-4131-A287-800D5DF5CF54}"/>
    <cellStyle name="Style 80 5 10" xfId="13116" xr:uid="{156BFC84-249C-4B5B-82D4-6ADAE53776FD}"/>
    <cellStyle name="Style 80 5 10 2" xfId="31922" xr:uid="{3F6E45E7-2962-4626-A9BB-FAFC6E868DD2}"/>
    <cellStyle name="Style 80 5 11" xfId="13117" xr:uid="{84C43C85-AFCF-48B9-AC6C-F85F3ED5A331}"/>
    <cellStyle name="Style 80 5 11 2" xfId="31923" xr:uid="{119DDBC3-349B-4A2A-A884-BE891C7E556B}"/>
    <cellStyle name="Style 80 5 12" xfId="13118" xr:uid="{DC90C2DB-07B4-4F5B-9E68-329113266EF9}"/>
    <cellStyle name="Style 80 5 12 2" xfId="31924" xr:uid="{C22BAFF2-952A-410D-B6ED-C986A8355BD9}"/>
    <cellStyle name="Style 80 5 13" xfId="13119" xr:uid="{7AE205B2-7325-44B3-921C-AFE9EB4E5C32}"/>
    <cellStyle name="Style 80 5 13 2" xfId="31925" xr:uid="{ED6662CA-5C04-4BC7-ADFC-7E3C5092EDF9}"/>
    <cellStyle name="Style 80 5 14" xfId="13120" xr:uid="{8EE279C8-BFF2-4032-8A79-297EE923797E}"/>
    <cellStyle name="Style 80 5 14 2" xfId="31926" xr:uid="{8F493A29-CF79-402E-B79D-4D7A5B1985A9}"/>
    <cellStyle name="Style 80 5 15" xfId="24002" xr:uid="{5C62AA40-51EA-46CB-98E7-2C67605AAE7B}"/>
    <cellStyle name="Style 80 5 2" xfId="3409" xr:uid="{8C6A54DE-50A1-4E51-BFD4-18E57A5FB1E2}"/>
    <cellStyle name="Style 80 5 2 10" xfId="13121" xr:uid="{4A853C7C-44A9-4FDE-B08E-507DFF074614}"/>
    <cellStyle name="Style 80 5 2 10 2" xfId="31927" xr:uid="{97B7D160-672F-4EE3-A17B-85D58C6EC459}"/>
    <cellStyle name="Style 80 5 2 11" xfId="13122" xr:uid="{CA46FA7E-E0BB-4B8D-8AD8-7D96A1B7239C}"/>
    <cellStyle name="Style 80 5 2 11 2" xfId="31928" xr:uid="{58181BFE-AAE4-477F-8ACE-87A8E6EFD8F5}"/>
    <cellStyle name="Style 80 5 2 12" xfId="13123" xr:uid="{1FD46214-3E67-4DA3-AA7D-50BE14049403}"/>
    <cellStyle name="Style 80 5 2 12 2" xfId="31929" xr:uid="{D886D731-5552-4882-B758-17E1CD763A77}"/>
    <cellStyle name="Style 80 5 2 13" xfId="13124" xr:uid="{AD6B5E07-ED2E-4D38-AD59-B667F59FC0D0}"/>
    <cellStyle name="Style 80 5 2 13 2" xfId="31930" xr:uid="{DC5306E6-FC36-47DC-A07A-B1161C4D0057}"/>
    <cellStyle name="Style 80 5 2 14" xfId="13125" xr:uid="{D0A80D7C-2464-41E3-B61D-AD590F2AECD8}"/>
    <cellStyle name="Style 80 5 2 14 2" xfId="31931" xr:uid="{DE70C8EE-93FC-4394-96D8-169F7F31619C}"/>
    <cellStyle name="Style 80 5 2 15" xfId="24003" xr:uid="{C602C419-89F6-4DCA-8377-3A6010F7BBAB}"/>
    <cellStyle name="Style 80 5 2 2" xfId="3410" xr:uid="{4DB4D421-A622-46B2-8713-374704C697FB}"/>
    <cellStyle name="Style 80 5 2 2 10" xfId="13126" xr:uid="{A0919AA0-2D10-488B-8C33-9CEB8E01BF2F}"/>
    <cellStyle name="Style 80 5 2 2 10 2" xfId="31932" xr:uid="{60040796-5C86-41E8-993E-122BA9541976}"/>
    <cellStyle name="Style 80 5 2 2 11" xfId="13127" xr:uid="{7D88C598-12D2-42DB-A7F7-E8F282A7405F}"/>
    <cellStyle name="Style 80 5 2 2 11 2" xfId="31933" xr:uid="{5DEC9004-4CB0-4B9D-AF7C-A894FB67BDAF}"/>
    <cellStyle name="Style 80 5 2 2 12" xfId="24004" xr:uid="{C119AD3B-59DD-4666-BCAF-F52F73856A8B}"/>
    <cellStyle name="Style 80 5 2 2 2" xfId="6887" xr:uid="{E8C1ADC1-50E2-4680-8804-6A47153F374B}"/>
    <cellStyle name="Style 80 5 2 2 2 2" xfId="13128" xr:uid="{D91CEBE0-163C-4E1A-91B9-4133C61847F1}"/>
    <cellStyle name="Style 80 5 2 2 2 2 2" xfId="31934" xr:uid="{F97DBFF8-DF24-4532-A6F9-03655FDCB7D2}"/>
    <cellStyle name="Style 80 5 2 2 3" xfId="6886" xr:uid="{625FD777-5798-4308-8661-3BC9F0D178CB}"/>
    <cellStyle name="Style 80 5 2 2 3 2" xfId="13129" xr:uid="{345B8F0D-D8E5-4793-9001-F5F02DB781A9}"/>
    <cellStyle name="Style 80 5 2 2 3 2 2" xfId="31935" xr:uid="{C96CE521-E389-4EC4-BA38-E04832418ADA}"/>
    <cellStyle name="Style 80 5 2 2 4" xfId="13130" xr:uid="{1D40F135-BB45-446E-A203-5B4350B458E9}"/>
    <cellStyle name="Style 80 5 2 2 4 2" xfId="13131" xr:uid="{11DA886D-D461-4D3C-82F3-B82BAE0FBD03}"/>
    <cellStyle name="Style 80 5 2 2 4 2 2" xfId="31936" xr:uid="{CDD98FFD-4DD5-46F7-B2BF-3250D2D1FF40}"/>
    <cellStyle name="Style 80 5 2 2 4 3" xfId="28037" xr:uid="{3112CB38-57E9-4519-AA55-9971105896B2}"/>
    <cellStyle name="Style 80 5 2 2 5" xfId="13132" xr:uid="{09BDC989-0376-4254-8DA8-031EEDD55383}"/>
    <cellStyle name="Style 80 5 2 2 5 2" xfId="31937" xr:uid="{A2817446-80DD-4C7D-817B-0B1199FA4F6E}"/>
    <cellStyle name="Style 80 5 2 2 6" xfId="13133" xr:uid="{75875635-F488-4437-B160-E2CB5F079633}"/>
    <cellStyle name="Style 80 5 2 2 6 2" xfId="31938" xr:uid="{5DC0F784-C890-4DB3-877E-C286DA30079B}"/>
    <cellStyle name="Style 80 5 2 2 7" xfId="13134" xr:uid="{AA1A784B-3FD9-484D-94B1-52B75205C7EF}"/>
    <cellStyle name="Style 80 5 2 2 7 2" xfId="31939" xr:uid="{07D14577-6819-46AE-96C7-AA36E3FF2AA0}"/>
    <cellStyle name="Style 80 5 2 2 8" xfId="13135" xr:uid="{9E9D8D67-79F8-4297-B54B-DA93FEF582A6}"/>
    <cellStyle name="Style 80 5 2 2 8 2" xfId="31940" xr:uid="{A1E366A5-BFD5-436E-BA0E-32F2041BFCC3}"/>
    <cellStyle name="Style 80 5 2 2 9" xfId="13136" xr:uid="{9AE16035-BEB3-488E-AF45-63FFE4497000}"/>
    <cellStyle name="Style 80 5 2 2 9 2" xfId="31941" xr:uid="{BE393EBD-5667-4B2F-A52F-4FC3201921BF}"/>
    <cellStyle name="Style 80 5 2 3" xfId="3411" xr:uid="{2E482A20-635B-4DE9-8FD9-535280970DE6}"/>
    <cellStyle name="Style 80 5 2 3 10" xfId="13137" xr:uid="{457B6A30-876D-4D44-82B3-10CB91CFFEF3}"/>
    <cellStyle name="Style 80 5 2 3 10 2" xfId="31942" xr:uid="{F14AFE46-1C6E-4C54-A6D7-16001DBF2F58}"/>
    <cellStyle name="Style 80 5 2 3 11" xfId="13138" xr:uid="{20B551BF-4887-4092-B922-D1E12189E90E}"/>
    <cellStyle name="Style 80 5 2 3 11 2" xfId="31943" xr:uid="{33D50251-7D1C-4736-9597-C2C94E20E1DD}"/>
    <cellStyle name="Style 80 5 2 3 12" xfId="13139" xr:uid="{669A62E1-13B9-4A51-90D6-B27EA4990854}"/>
    <cellStyle name="Style 80 5 2 3 12 2" xfId="31944" xr:uid="{10149C56-24FE-4804-AC24-BFDDA697A743}"/>
    <cellStyle name="Style 80 5 2 3 13" xfId="13140" xr:uid="{02C9D12B-8E19-44F4-9E50-F4B9F062133C}"/>
    <cellStyle name="Style 80 5 2 3 13 2" xfId="31945" xr:uid="{41E4E761-58F2-4B96-B6C8-A1A9DFB4BA7A}"/>
    <cellStyle name="Style 80 5 2 3 14" xfId="24005" xr:uid="{F62EAF9C-08B3-4C7B-BD05-3B74D1B80C20}"/>
    <cellStyle name="Style 80 5 2 3 2" xfId="3412" xr:uid="{DB36C511-862A-473E-A0A4-3AFD9C1405C0}"/>
    <cellStyle name="Style 80 5 2 3 2 10" xfId="13141" xr:uid="{7C9C4921-A766-42D7-AAAC-1B1ACC0BDD07}"/>
    <cellStyle name="Style 80 5 2 3 2 10 2" xfId="31946" xr:uid="{3C1324A5-F930-4E1A-B0B6-F32EF716E987}"/>
    <cellStyle name="Style 80 5 2 3 2 11" xfId="13142" xr:uid="{177BB490-3FAC-4E78-85F5-B7062E949F3A}"/>
    <cellStyle name="Style 80 5 2 3 2 11 2" xfId="31947" xr:uid="{8B6F0AFB-2653-45E2-A610-35610D08231B}"/>
    <cellStyle name="Style 80 5 2 3 2 12" xfId="24006" xr:uid="{EB12CB6F-2A76-4FC2-BA9A-5F2C9642ED7E}"/>
    <cellStyle name="Style 80 5 2 3 2 2" xfId="6890" xr:uid="{EAC4F2B5-FF01-4052-AC28-CBE6217FB0A1}"/>
    <cellStyle name="Style 80 5 2 3 2 2 2" xfId="13143" xr:uid="{F0DC40D8-7EBB-46BF-9204-8F4247D3804E}"/>
    <cellStyle name="Style 80 5 2 3 2 2 2 2" xfId="31948" xr:uid="{F400C292-8785-4217-96FB-748E182291DE}"/>
    <cellStyle name="Style 80 5 2 3 2 3" xfId="6889" xr:uid="{600C35D5-DE35-4E69-8142-EA1C8BD6FE60}"/>
    <cellStyle name="Style 80 5 2 3 2 3 2" xfId="13144" xr:uid="{EE5A69CF-5E9D-43D8-B079-CC00649E280F}"/>
    <cellStyle name="Style 80 5 2 3 2 3 2 2" xfId="31949" xr:uid="{7D4B54B4-495C-41D8-99B1-4F199774817E}"/>
    <cellStyle name="Style 80 5 2 3 2 4" xfId="13145" xr:uid="{369C5F11-27F1-4366-9E33-3A65BCE38E22}"/>
    <cellStyle name="Style 80 5 2 3 2 4 2" xfId="13146" xr:uid="{1B811182-903E-4D2B-A598-6D50398E3896}"/>
    <cellStyle name="Style 80 5 2 3 2 4 2 2" xfId="31950" xr:uid="{C7A24FE5-C656-4CC5-9118-E5C8451AEDDB}"/>
    <cellStyle name="Style 80 5 2 3 2 4 3" xfId="28039" xr:uid="{E7AF0BDC-2AFA-477D-99A7-142BA396399B}"/>
    <cellStyle name="Style 80 5 2 3 2 5" xfId="13147" xr:uid="{343159C6-3768-48BA-8462-7749651B41C6}"/>
    <cellStyle name="Style 80 5 2 3 2 5 2" xfId="31951" xr:uid="{D5195C1E-7274-4B95-9452-83A213274574}"/>
    <cellStyle name="Style 80 5 2 3 2 6" xfId="13148" xr:uid="{CC707236-566D-4AB5-B458-F47CB19480D1}"/>
    <cellStyle name="Style 80 5 2 3 2 6 2" xfId="31952" xr:uid="{E862EE01-CB71-495B-AF1D-CAAA023E5385}"/>
    <cellStyle name="Style 80 5 2 3 2 7" xfId="13149" xr:uid="{105A3ED5-3D9D-420C-9B5D-11DEB44E7C99}"/>
    <cellStyle name="Style 80 5 2 3 2 7 2" xfId="31953" xr:uid="{0D653730-5035-4FA4-B737-C7D130C6077C}"/>
    <cellStyle name="Style 80 5 2 3 2 8" xfId="13150" xr:uid="{BF34ED10-F601-4F05-91FB-AA1378E0737D}"/>
    <cellStyle name="Style 80 5 2 3 2 8 2" xfId="31954" xr:uid="{0401E605-9A33-4338-9F72-F0B4A53F360C}"/>
    <cellStyle name="Style 80 5 2 3 2 9" xfId="13151" xr:uid="{12A40878-8A37-4732-B284-E46B572FD56A}"/>
    <cellStyle name="Style 80 5 2 3 2 9 2" xfId="31955" xr:uid="{9D939D16-CCB0-4457-BC84-EA2B3CBAB76F}"/>
    <cellStyle name="Style 80 5 2 3 3" xfId="6891" xr:uid="{5038EA20-39B1-4181-9C7B-A4BEA63077A6}"/>
    <cellStyle name="Style 80 5 2 3 3 2" xfId="6892" xr:uid="{ECCB698C-91B8-439B-81F5-7DD77BE92BB3}"/>
    <cellStyle name="Style 80 5 2 3 3 2 2" xfId="13152" xr:uid="{D7DA4B3D-3D25-4AA2-8387-785D3C8C4B41}"/>
    <cellStyle name="Style 80 5 2 3 3 2 2 2" xfId="31956" xr:uid="{7E2A0ABF-79A3-4D07-A4FF-07EB6FF8823A}"/>
    <cellStyle name="Style 80 5 2 3 3 3" xfId="13153" xr:uid="{34243D6A-3BA8-40C6-BA56-2943A636171F}"/>
    <cellStyle name="Style 80 5 2 3 3 3 2" xfId="31957" xr:uid="{206106C5-A254-4088-AED7-B5E008080F0A}"/>
    <cellStyle name="Style 80 5 2 3 3 4" xfId="13154" xr:uid="{55CFEEC4-5DF2-4904-8E7E-F79F835597F5}"/>
    <cellStyle name="Style 80 5 2 3 3 4 2" xfId="31958" xr:uid="{D157BEB5-FD21-4F86-BA28-B0887198322D}"/>
    <cellStyle name="Style 80 5 2 3 3 5" xfId="24007" xr:uid="{171DEFA5-C993-4FAE-9CE8-8DAC1B618068}"/>
    <cellStyle name="Style 80 5 2 3 4" xfId="6893" xr:uid="{71E0CDF3-C657-4B72-ABAD-899F7C99D34D}"/>
    <cellStyle name="Style 80 5 2 3 4 2" xfId="13155" xr:uid="{DC5734FF-1E77-4DE3-A0DC-45874F4FE299}"/>
    <cellStyle name="Style 80 5 2 3 4 2 2" xfId="31959" xr:uid="{A12FF650-63D3-4EF9-B1C1-739F5C5DB314}"/>
    <cellStyle name="Style 80 5 2 3 5" xfId="6894" xr:uid="{0077B34C-AEB7-4F0D-BB38-6F7190EF7F33}"/>
    <cellStyle name="Style 80 5 2 3 5 2" xfId="13156" xr:uid="{99CF7874-AAF8-4413-B9B8-57C2EE767FC1}"/>
    <cellStyle name="Style 80 5 2 3 5 2 2" xfId="31960" xr:uid="{0E1DA2D7-C711-4ADA-B655-EEAF83C1BE96}"/>
    <cellStyle name="Style 80 5 2 3 6" xfId="6888" xr:uid="{CD146D23-46FB-4BC6-98F9-C1B58997F4BC}"/>
    <cellStyle name="Style 80 5 2 3 6 2" xfId="13157" xr:uid="{6A537646-645B-4126-8437-43E320343576}"/>
    <cellStyle name="Style 80 5 2 3 6 2 2" xfId="31961" xr:uid="{7F29F386-D028-4259-8C1A-F8D41766D49C}"/>
    <cellStyle name="Style 80 5 2 3 7" xfId="13158" xr:uid="{AC5295A7-A191-47BD-9D5B-306BA166128C}"/>
    <cellStyle name="Style 80 5 2 3 7 2" xfId="13159" xr:uid="{02D10BA7-2C94-424C-9FB6-26675380759F}"/>
    <cellStyle name="Style 80 5 2 3 7 2 2" xfId="31962" xr:uid="{765AD232-150D-4231-9CB1-4E7E28F0E3B1}"/>
    <cellStyle name="Style 80 5 2 3 7 3" xfId="28038" xr:uid="{DDDD0431-37FA-4598-85A6-BAD9D9279AB6}"/>
    <cellStyle name="Style 80 5 2 3 8" xfId="13160" xr:uid="{43DABA21-926E-4DB8-9388-F25CEAF98BA2}"/>
    <cellStyle name="Style 80 5 2 3 8 2" xfId="31963" xr:uid="{2C98EF9C-F7AE-4D28-B848-C809B23E4A04}"/>
    <cellStyle name="Style 80 5 2 3 9" xfId="13161" xr:uid="{3E253D88-4061-43A1-B616-30DDCFFD74CF}"/>
    <cellStyle name="Style 80 5 2 3 9 2" xfId="31964" xr:uid="{5FEF4718-CABC-4276-90B8-2BE3666C9BE3}"/>
    <cellStyle name="Style 80 5 2 4" xfId="3413" xr:uid="{BE8FEECE-4353-46AE-8CA2-2092652EA2E9}"/>
    <cellStyle name="Style 80 5 2 4 10" xfId="13162" xr:uid="{8E7FEB77-B451-4BF9-88AD-C7E6ED9CD103}"/>
    <cellStyle name="Style 80 5 2 4 10 2" xfId="31965" xr:uid="{45375272-CB88-4291-8732-034472A97114}"/>
    <cellStyle name="Style 80 5 2 4 11" xfId="13163" xr:uid="{4A69C2E9-DCDF-4B17-9108-7C6F00A98C28}"/>
    <cellStyle name="Style 80 5 2 4 11 2" xfId="31966" xr:uid="{4938AE8C-E4D4-4AAE-9CE3-7DBEE4E42186}"/>
    <cellStyle name="Style 80 5 2 4 12" xfId="13164" xr:uid="{D22340D1-C80C-48CF-BC75-39E203ABE331}"/>
    <cellStyle name="Style 80 5 2 4 12 2" xfId="31967" xr:uid="{70016130-7878-4090-8990-E4DD54B8EDD8}"/>
    <cellStyle name="Style 80 5 2 4 13" xfId="24008" xr:uid="{187435CC-2AF6-4A6F-840A-FA0275558D9A}"/>
    <cellStyle name="Style 80 5 2 4 2" xfId="3414" xr:uid="{47357F4D-BB1F-40CA-987F-0DBD4BE6167C}"/>
    <cellStyle name="Style 80 5 2 4 2 10" xfId="13165" xr:uid="{2143360B-3C9D-460E-AD02-BAC31E6A5E7F}"/>
    <cellStyle name="Style 80 5 2 4 2 10 2" xfId="31968" xr:uid="{8477FA46-A117-4E33-BA98-22082B80DEEA}"/>
    <cellStyle name="Style 80 5 2 4 2 11" xfId="13166" xr:uid="{2F6C3D21-CE58-4A9C-AA96-447DF22C528B}"/>
    <cellStyle name="Style 80 5 2 4 2 11 2" xfId="31969" xr:uid="{8BD78B76-3EAD-4E2F-B5F2-4BC4A4101BA0}"/>
    <cellStyle name="Style 80 5 2 4 2 12" xfId="24009" xr:uid="{4C9F896B-C8E7-4731-8908-84224DDE2445}"/>
    <cellStyle name="Style 80 5 2 4 2 2" xfId="6897" xr:uid="{924F7F8C-76A4-428E-9E74-9BB8F0ADC990}"/>
    <cellStyle name="Style 80 5 2 4 2 2 2" xfId="13167" xr:uid="{C347F5B4-656C-4513-8DCE-C317DAF45F87}"/>
    <cellStyle name="Style 80 5 2 4 2 2 2 2" xfId="31970" xr:uid="{1F90194C-AD32-405C-A280-A27D1F8F4420}"/>
    <cellStyle name="Style 80 5 2 4 2 3" xfId="6896" xr:uid="{8CAD14E0-D7F9-4C72-8494-4DC48E854EA8}"/>
    <cellStyle name="Style 80 5 2 4 2 3 2" xfId="13168" xr:uid="{4828AE34-449E-4AE1-ABB3-A9835C17C698}"/>
    <cellStyle name="Style 80 5 2 4 2 3 2 2" xfId="31971" xr:uid="{2B278D0D-9D33-4991-8456-7683D7742F99}"/>
    <cellStyle name="Style 80 5 2 4 2 4" xfId="13169" xr:uid="{0FE84292-ABE5-40B9-B8A9-D6C907805422}"/>
    <cellStyle name="Style 80 5 2 4 2 4 2" xfId="13170" xr:uid="{329211A0-8650-48D6-8B18-4DA9D946301B}"/>
    <cellStyle name="Style 80 5 2 4 2 4 2 2" xfId="31972" xr:uid="{B1FA4B21-9C50-4039-B6CB-0F73347AA10D}"/>
    <cellStyle name="Style 80 5 2 4 2 4 3" xfId="28041" xr:uid="{B0309297-720C-4442-9882-661B94B03578}"/>
    <cellStyle name="Style 80 5 2 4 2 5" xfId="13171" xr:uid="{0A68F38F-47E1-491F-A401-7EC2CA0FE875}"/>
    <cellStyle name="Style 80 5 2 4 2 5 2" xfId="31973" xr:uid="{E9DC93B3-9645-466E-BAAA-1927EA3BE8C1}"/>
    <cellStyle name="Style 80 5 2 4 2 6" xfId="13172" xr:uid="{0B78BE9F-45CE-4FFC-B3F7-D1ADAF67ECA0}"/>
    <cellStyle name="Style 80 5 2 4 2 6 2" xfId="31974" xr:uid="{09BC8DB1-F65C-4880-8879-49F111FFDD24}"/>
    <cellStyle name="Style 80 5 2 4 2 7" xfId="13173" xr:uid="{49C5813A-3ED4-4719-9F80-BBAA89243150}"/>
    <cellStyle name="Style 80 5 2 4 2 7 2" xfId="31975" xr:uid="{9262D355-2DCA-435D-94D1-074E2C31971A}"/>
    <cellStyle name="Style 80 5 2 4 2 8" xfId="13174" xr:uid="{3F4530D8-F43E-4DBF-8A33-519AD092B63F}"/>
    <cellStyle name="Style 80 5 2 4 2 8 2" xfId="31976" xr:uid="{8E1DDB37-4EF9-4C7F-BB61-183F00B25C77}"/>
    <cellStyle name="Style 80 5 2 4 2 9" xfId="13175" xr:uid="{693C6718-BE40-48C2-B7D6-91E8DF0B4EC3}"/>
    <cellStyle name="Style 80 5 2 4 2 9 2" xfId="31977" xr:uid="{43F3D06B-6BC1-4FBB-A61D-09D58F77B821}"/>
    <cellStyle name="Style 80 5 2 4 3" xfId="6898" xr:uid="{42569529-712D-4591-9467-FED86A506671}"/>
    <cellStyle name="Style 80 5 2 4 3 2" xfId="13176" xr:uid="{5514364E-2805-4E46-945B-76A3A36CB5D8}"/>
    <cellStyle name="Style 80 5 2 4 3 2 2" xfId="31978" xr:uid="{05C5CBFB-3808-43E5-81CE-407DE474C65A}"/>
    <cellStyle name="Style 80 5 2 4 4" xfId="6895" xr:uid="{0FA98879-2143-4AC1-9B8E-EC5F3A841125}"/>
    <cellStyle name="Style 80 5 2 4 4 2" xfId="13177" xr:uid="{B7115495-828D-49A7-B75C-06582ADDCD4F}"/>
    <cellStyle name="Style 80 5 2 4 4 2 2" xfId="31979" xr:uid="{D2B810BD-8346-4817-89E3-10496361B00F}"/>
    <cellStyle name="Style 80 5 2 4 5" xfId="13178" xr:uid="{5A4C02A2-44DF-44C7-AF92-4A2A0700A161}"/>
    <cellStyle name="Style 80 5 2 4 5 2" xfId="13179" xr:uid="{3E77C9D0-DB96-47DC-B4A9-832CFC083390}"/>
    <cellStyle name="Style 80 5 2 4 5 2 2" xfId="31980" xr:uid="{651E89FE-F309-4043-9C19-B3B362EC966C}"/>
    <cellStyle name="Style 80 5 2 4 5 3" xfId="28040" xr:uid="{9FAC3F7D-3CA6-43EC-85B5-529BEF3A7174}"/>
    <cellStyle name="Style 80 5 2 4 6" xfId="13180" xr:uid="{25A719C1-4BA0-47AF-9479-F463AF8D2AFE}"/>
    <cellStyle name="Style 80 5 2 4 6 2" xfId="31981" xr:uid="{E33F09B0-5C00-491B-BE59-DF0904B11D7C}"/>
    <cellStyle name="Style 80 5 2 4 7" xfId="13181" xr:uid="{9D0E42FA-7608-4D82-9C8E-D5E70B934483}"/>
    <cellStyle name="Style 80 5 2 4 7 2" xfId="31982" xr:uid="{22B06F4A-1B68-44B4-B2BE-D29BBECA75D2}"/>
    <cellStyle name="Style 80 5 2 4 8" xfId="13182" xr:uid="{8EC57881-C729-4FB4-81F4-AD26CC2A958D}"/>
    <cellStyle name="Style 80 5 2 4 8 2" xfId="31983" xr:uid="{9AE99F0C-D916-41F5-87EA-90AB124F5E28}"/>
    <cellStyle name="Style 80 5 2 4 9" xfId="13183" xr:uid="{9C140A20-FFE9-4BB3-9287-966DDB5D3B6D}"/>
    <cellStyle name="Style 80 5 2 4 9 2" xfId="31984" xr:uid="{A1B8FE10-5607-42B4-BE47-C6C40ADBE686}"/>
    <cellStyle name="Style 80 5 2 5" xfId="6899" xr:uid="{E74ED45E-5575-4E35-8562-2D3F2C6C99A1}"/>
    <cellStyle name="Style 80 5 2 5 2" xfId="13184" xr:uid="{ECC91ACE-FE52-493E-8678-31D2F3DBA0D2}"/>
    <cellStyle name="Style 80 5 2 5 2 2" xfId="31985" xr:uid="{EF40BB79-C13A-49F8-9636-C23ABF98564D}"/>
    <cellStyle name="Style 80 5 2 6" xfId="6900" xr:uid="{A91B56AD-493E-4290-A00C-A12722BB9300}"/>
    <cellStyle name="Style 80 5 2 6 2" xfId="13185" xr:uid="{4CA1402C-5C59-4189-862B-28B061225713}"/>
    <cellStyle name="Style 80 5 2 6 2 2" xfId="31986" xr:uid="{7D14E24A-5AA5-477C-A3B3-768E8920D322}"/>
    <cellStyle name="Style 80 5 2 7" xfId="6885" xr:uid="{7E520E6E-3E99-4BC6-8940-F72B85E892FD}"/>
    <cellStyle name="Style 80 5 2 7 2" xfId="13186" xr:uid="{914DDB7E-3508-4A40-BA05-3FD7584ED826}"/>
    <cellStyle name="Style 80 5 2 7 2 2" xfId="31987" xr:uid="{78140B83-CCB3-419B-97CE-86B8CBDCCBCE}"/>
    <cellStyle name="Style 80 5 2 8" xfId="13187" xr:uid="{465B8786-B150-4F33-95DF-249087E0D38E}"/>
    <cellStyle name="Style 80 5 2 8 2" xfId="13188" xr:uid="{6FB78657-C06D-440B-B30D-9B2694B04DB3}"/>
    <cellStyle name="Style 80 5 2 8 2 2" xfId="31988" xr:uid="{56F13F9F-9D2C-4EDD-9C64-126EA44AD1A3}"/>
    <cellStyle name="Style 80 5 2 8 3" xfId="28036" xr:uid="{8DF9381F-01D5-4B02-B229-81001683D918}"/>
    <cellStyle name="Style 80 5 2 9" xfId="13189" xr:uid="{91C2837E-3650-45F6-BD36-9E835E403747}"/>
    <cellStyle name="Style 80 5 2 9 2" xfId="31989" xr:uid="{A0D5FB69-D1E5-4CAD-BECC-39F058556338}"/>
    <cellStyle name="Style 80 5 3" xfId="3415" xr:uid="{C618E7A1-560A-4797-B9F0-7A4A5A2A9852}"/>
    <cellStyle name="Style 80 5 3 10" xfId="13190" xr:uid="{A54455FC-EDE1-435E-A1AA-07DDAC1D64EB}"/>
    <cellStyle name="Style 80 5 3 10 2" xfId="31990" xr:uid="{BB56493A-BDF8-4DFE-8210-7B299EA66747}"/>
    <cellStyle name="Style 80 5 3 11" xfId="13191" xr:uid="{CFB7178E-7387-4422-9413-6E698304B246}"/>
    <cellStyle name="Style 80 5 3 11 2" xfId="31991" xr:uid="{4F259F68-ECC8-4E1B-89E9-CA61E79D7A23}"/>
    <cellStyle name="Style 80 5 3 12" xfId="24010" xr:uid="{B4BBD00E-2EFB-4E8B-A0DF-ED65D58FC1F3}"/>
    <cellStyle name="Style 80 5 3 2" xfId="6902" xr:uid="{DCA9CB5B-283D-415A-A836-CA65F7F92CF0}"/>
    <cellStyle name="Style 80 5 3 2 2" xfId="13192" xr:uid="{E369AA63-1146-4D47-90EC-B78943844C44}"/>
    <cellStyle name="Style 80 5 3 2 2 2" xfId="31992" xr:uid="{801E16F4-9E84-41A3-81F2-85D95F483D54}"/>
    <cellStyle name="Style 80 5 3 3" xfId="6901" xr:uid="{ED43EF45-5AB1-4498-968A-F56FF42D3928}"/>
    <cellStyle name="Style 80 5 3 3 2" xfId="13193" xr:uid="{8ED7FFD8-1859-4EA4-810F-9109C3AB3693}"/>
    <cellStyle name="Style 80 5 3 3 2 2" xfId="31993" xr:uid="{757D46D0-6D0A-4E4B-938B-B6D87FCF7301}"/>
    <cellStyle name="Style 80 5 3 4" xfId="13194" xr:uid="{8CDB26E7-3256-4C81-8051-95FA85EC7B8D}"/>
    <cellStyle name="Style 80 5 3 4 2" xfId="13195" xr:uid="{0657908B-F426-43C0-8FDC-0775F598D000}"/>
    <cellStyle name="Style 80 5 3 4 2 2" xfId="31994" xr:uid="{595AA884-ADDF-485D-BFE8-B1515D2171C3}"/>
    <cellStyle name="Style 80 5 3 4 3" xfId="28042" xr:uid="{73416C48-70A5-43B4-9C96-E81AC0CDC970}"/>
    <cellStyle name="Style 80 5 3 5" xfId="13196" xr:uid="{50FAD1D8-43F1-4A79-AF1E-B4AFC6AB7DCE}"/>
    <cellStyle name="Style 80 5 3 5 2" xfId="31995" xr:uid="{518AA8CE-6914-41EF-9A1C-690D2AF36363}"/>
    <cellStyle name="Style 80 5 3 6" xfId="13197" xr:uid="{72991866-A76D-4A9B-B26E-9C28B9D50C7E}"/>
    <cellStyle name="Style 80 5 3 6 2" xfId="31996" xr:uid="{A3855A54-D30D-4531-9E7F-059F785DB2C3}"/>
    <cellStyle name="Style 80 5 3 7" xfId="13198" xr:uid="{213CF1D1-FE37-4149-B950-AE1711E21678}"/>
    <cellStyle name="Style 80 5 3 7 2" xfId="31997" xr:uid="{F305C685-35D5-4C32-BD8E-CA308F650849}"/>
    <cellStyle name="Style 80 5 3 8" xfId="13199" xr:uid="{3C37BB21-612F-45C9-B815-5A40859C1807}"/>
    <cellStyle name="Style 80 5 3 8 2" xfId="31998" xr:uid="{37F22231-F096-4816-ACBD-4D8E7B8CC7FE}"/>
    <cellStyle name="Style 80 5 3 9" xfId="13200" xr:uid="{79026D44-A771-4839-BBF9-9D9C20B94C54}"/>
    <cellStyle name="Style 80 5 3 9 2" xfId="31999" xr:uid="{0088125F-CAE1-4BC4-9731-67113B91267E}"/>
    <cellStyle name="Style 80 5 4" xfId="6903" xr:uid="{7757B6E8-4527-415B-AE55-E8AE6414463E}"/>
    <cellStyle name="Style 80 5 4 2" xfId="6904" xr:uid="{349FF1D2-1410-42BE-905D-A72FC96562C0}"/>
    <cellStyle name="Style 80 5 4 2 2" xfId="13201" xr:uid="{30056104-EDF0-4782-9E9E-69A64802286F}"/>
    <cellStyle name="Style 80 5 4 2 2 2" xfId="32000" xr:uid="{04F64DB6-4B09-4C14-B154-91D39654E00C}"/>
    <cellStyle name="Style 80 5 4 3" xfId="6905" xr:uid="{73C9E941-70E9-4383-AF25-F0A3B6CFAD00}"/>
    <cellStyle name="Style 80 5 4 3 2" xfId="13202" xr:uid="{660C29BD-DA54-4A5F-ABB8-9ED4E4D8B7F1}"/>
    <cellStyle name="Style 80 5 4 3 2 2" xfId="32001" xr:uid="{FE1FC015-B817-4167-B972-9FE67EDE0FD6}"/>
    <cellStyle name="Style 80 5 4 4" xfId="13203" xr:uid="{58EBB5F3-5876-4A6C-954F-4A0BC5B6A427}"/>
    <cellStyle name="Style 80 5 4 4 2" xfId="32002" xr:uid="{31CE597B-73EF-4207-808B-4EA32C3B4AA6}"/>
    <cellStyle name="Style 80 5 4 5" xfId="24011" xr:uid="{E48C3060-106E-4BD7-94A0-45047F857D9D}"/>
    <cellStyle name="Style 80 5 5" xfId="6906" xr:uid="{FFF75917-8A4C-48D4-9C56-93CC1E3C7258}"/>
    <cellStyle name="Style 80 5 5 2" xfId="13204" xr:uid="{FC21E0C0-6968-41BB-B68E-3F57979E3ECB}"/>
    <cellStyle name="Style 80 5 5 2 2" xfId="32003" xr:uid="{0256E518-8115-4702-B54A-2442CE6CE988}"/>
    <cellStyle name="Style 80 5 6" xfId="6884" xr:uid="{352EADA0-94ED-47B7-A0FD-E4EF38C34F0C}"/>
    <cellStyle name="Style 80 5 6 2" xfId="13205" xr:uid="{A583D509-4006-4C4B-B541-3E38AC01F54F}"/>
    <cellStyle name="Style 80 5 6 2 2" xfId="32004" xr:uid="{D4287956-C0AF-4A06-B1EF-3B92CE4D8166}"/>
    <cellStyle name="Style 80 5 7" xfId="4439" xr:uid="{87BD69E2-D964-4992-96C5-39ECD0FB69D5}"/>
    <cellStyle name="Style 80 5 7 2" xfId="13206" xr:uid="{D9B4B17D-42D8-4034-825A-E9BDBC171557}"/>
    <cellStyle name="Style 80 5 7 2 2" xfId="32005" xr:uid="{72691411-89EE-4A9E-AD0C-78CAEB45C1E1}"/>
    <cellStyle name="Style 80 5 7 3" xfId="26700" xr:uid="{C8471E05-B2B8-4DAE-A817-5EB8E0A98E5C}"/>
    <cellStyle name="Style 80 5 8" xfId="13207" xr:uid="{CA53900A-FD03-4EE2-B028-51D4D954767A}"/>
    <cellStyle name="Style 80 5 8 2" xfId="13208" xr:uid="{3401ADB5-09F7-4F91-B7C6-AE6FE39AFE8E}"/>
    <cellStyle name="Style 80 5 8 2 2" xfId="32006" xr:uid="{7A954488-A867-4666-9906-98045B236EF0}"/>
    <cellStyle name="Style 80 5 8 3" xfId="28035" xr:uid="{99BF5E28-CA44-48BE-AFEA-1A4F7D9C611B}"/>
    <cellStyle name="Style 80 5 9" xfId="13209" xr:uid="{31D86E06-BC56-4827-8385-6D8E16C7F540}"/>
    <cellStyle name="Style 80 5 9 2" xfId="32007" xr:uid="{8AACEC1F-941F-4B51-91F7-02D77E3B606F}"/>
    <cellStyle name="Style 80 6" xfId="3416" xr:uid="{6D21B010-8151-472E-8184-08ACF80120B9}"/>
    <cellStyle name="Style 80 6 10" xfId="13210" xr:uid="{009D064D-1585-4FE7-B54F-F8A030CF1F01}"/>
    <cellStyle name="Style 80 6 10 2" xfId="32008" xr:uid="{9741C98E-AD03-4FC7-B506-A9D4E27BB79D}"/>
    <cellStyle name="Style 80 6 11" xfId="13211" xr:uid="{246AA20F-38BB-4FC3-B05E-3F1EC1C9EB71}"/>
    <cellStyle name="Style 80 6 11 2" xfId="32009" xr:uid="{7BD00749-EF8B-431E-8D03-ADE5C25E52E8}"/>
    <cellStyle name="Style 80 6 12" xfId="13212" xr:uid="{79F0B612-B5FF-4417-A223-7C897BD27106}"/>
    <cellStyle name="Style 80 6 12 2" xfId="32010" xr:uid="{4A12E8B8-6937-4948-AE13-6324BF13146F}"/>
    <cellStyle name="Style 80 6 13" xfId="13213" xr:uid="{AE360EB9-6A2C-4B51-B7BB-BACC4761414E}"/>
    <cellStyle name="Style 80 6 13 2" xfId="32011" xr:uid="{77BBB821-13CA-45EF-91FF-63EBE345135B}"/>
    <cellStyle name="Style 80 6 14" xfId="13214" xr:uid="{97E027F8-C81A-461B-B572-F62DCA88552E}"/>
    <cellStyle name="Style 80 6 14 2" xfId="32012" xr:uid="{342730F2-8FD0-447B-A7AD-E31DD70AE106}"/>
    <cellStyle name="Style 80 6 15" xfId="13215" xr:uid="{C26FB42E-BD48-4F30-A921-1BBD7366D8F2}"/>
    <cellStyle name="Style 80 6 15 2" xfId="32013" xr:uid="{3E7C5047-1939-4B86-9F12-D72EDBC1E226}"/>
    <cellStyle name="Style 80 6 16" xfId="24012" xr:uid="{6440809F-09A6-40F9-86C8-C8D85D13CE95}"/>
    <cellStyle name="Style 80 6 2" xfId="3417" xr:uid="{D6B57E9B-CD0D-4E14-9287-867BBEC54D30}"/>
    <cellStyle name="Style 80 6 2 10" xfId="13216" xr:uid="{E7F60381-516C-4EC0-984C-A1B99EFEF327}"/>
    <cellStyle name="Style 80 6 2 10 2" xfId="32014" xr:uid="{AA00184B-04C3-4BCB-A528-8064EB325305}"/>
    <cellStyle name="Style 80 6 2 11" xfId="13217" xr:uid="{3C1DF1DD-9DC0-4D4D-940D-18CC172BC3A8}"/>
    <cellStyle name="Style 80 6 2 11 2" xfId="32015" xr:uid="{9D1C7972-BB4D-4341-83D8-C63ADB2EE51A}"/>
    <cellStyle name="Style 80 6 2 12" xfId="24013" xr:uid="{2DE44379-FAD4-4DFB-B126-4057A9CC22E9}"/>
    <cellStyle name="Style 80 6 2 2" xfId="6909" xr:uid="{1354A13C-5BBF-4A43-8FB4-3E90386758AF}"/>
    <cellStyle name="Style 80 6 2 2 2" xfId="13218" xr:uid="{A4938B6A-AC2A-4146-9FF3-5E9CD54AAB5C}"/>
    <cellStyle name="Style 80 6 2 2 2 2" xfId="32016" xr:uid="{6FD04725-8259-4B1F-89FF-DA2343E6C787}"/>
    <cellStyle name="Style 80 6 2 3" xfId="6908" xr:uid="{9F1F6838-1854-4971-9CCA-ED27A67E85ED}"/>
    <cellStyle name="Style 80 6 2 3 2" xfId="13219" xr:uid="{97FE31D5-D9BD-4FF0-B97E-6460B2E92FE3}"/>
    <cellStyle name="Style 80 6 2 3 2 2" xfId="32017" xr:uid="{C7097AC9-25AF-4083-AE46-1C25917C3D9B}"/>
    <cellStyle name="Style 80 6 2 4" xfId="13220" xr:uid="{CC1D8550-E5D7-4C68-B4DF-425C20D82364}"/>
    <cellStyle name="Style 80 6 2 4 2" xfId="13221" xr:uid="{9DF768E1-8731-408B-B595-4238BFD53DEA}"/>
    <cellStyle name="Style 80 6 2 4 2 2" xfId="32018" xr:uid="{82437DF3-50EC-43D0-B4B0-C20630D680FE}"/>
    <cellStyle name="Style 80 6 2 4 3" xfId="28044" xr:uid="{E5DE7355-2908-4394-97CF-EBF12D98EA45}"/>
    <cellStyle name="Style 80 6 2 5" xfId="13222" xr:uid="{6F6BD7FE-1D7F-4FFA-A9B9-A78841FDE013}"/>
    <cellStyle name="Style 80 6 2 5 2" xfId="32019" xr:uid="{602646D7-15C4-4AEA-BD2B-48E4B4D2A72C}"/>
    <cellStyle name="Style 80 6 2 6" xfId="13223" xr:uid="{3CED02DE-0C7D-401D-AB8D-A25F06DA0437}"/>
    <cellStyle name="Style 80 6 2 6 2" xfId="32020" xr:uid="{280A5878-3874-4223-9B67-18727A750C47}"/>
    <cellStyle name="Style 80 6 2 7" xfId="13224" xr:uid="{89D1A077-BC0E-4604-99B2-0E34169E16A5}"/>
    <cellStyle name="Style 80 6 2 7 2" xfId="32021" xr:uid="{1018F3C2-7126-449B-B0CA-EFD9749FDC2C}"/>
    <cellStyle name="Style 80 6 2 8" xfId="13225" xr:uid="{62F56897-B53A-46FF-A8FA-FFB25AFDAD70}"/>
    <cellStyle name="Style 80 6 2 8 2" xfId="32022" xr:uid="{4A626F80-9331-49F5-B821-AF7226BC9F53}"/>
    <cellStyle name="Style 80 6 2 9" xfId="13226" xr:uid="{60A58F67-E270-4AF6-AC00-22058480906D}"/>
    <cellStyle name="Style 80 6 2 9 2" xfId="32023" xr:uid="{41B98F65-F5ED-4AB5-9BBB-FB17277BDF50}"/>
    <cellStyle name="Style 80 6 3" xfId="3418" xr:uid="{2D7EA4B4-A103-4671-AB91-F976A04E1519}"/>
    <cellStyle name="Style 80 6 3 10" xfId="13227" xr:uid="{7BFCA7D4-AA40-497B-AE2F-F085EDFA2CC6}"/>
    <cellStyle name="Style 80 6 3 10 2" xfId="32024" xr:uid="{1DA21B47-0432-476F-A831-14E616FE9D83}"/>
    <cellStyle name="Style 80 6 3 11" xfId="13228" xr:uid="{2702973E-20BA-4FF4-AD8C-41AE34ADA9B0}"/>
    <cellStyle name="Style 80 6 3 11 2" xfId="32025" xr:uid="{C02AEDEC-0A97-4E66-9513-498ED6E877ED}"/>
    <cellStyle name="Style 80 6 3 12" xfId="13229" xr:uid="{037F8E73-B992-48BE-9775-BAD6798F1505}"/>
    <cellStyle name="Style 80 6 3 12 2" xfId="32026" xr:uid="{BB1D2EEA-365A-4C85-9D3B-1A6865E96DF6}"/>
    <cellStyle name="Style 80 6 3 13" xfId="13230" xr:uid="{1A92DCE4-4C21-429D-ADD3-F9686658785F}"/>
    <cellStyle name="Style 80 6 3 13 2" xfId="32027" xr:uid="{6DC346B9-6EAB-4C5D-B5A7-10071B60AC2B}"/>
    <cellStyle name="Style 80 6 3 14" xfId="24014" xr:uid="{7A476D07-711D-4B7C-9056-2DA3AE65B74A}"/>
    <cellStyle name="Style 80 6 3 2" xfId="3419" xr:uid="{0CE20CF0-FA9A-4232-A822-9F3CB7A93193}"/>
    <cellStyle name="Style 80 6 3 2 10" xfId="13231" xr:uid="{FBB9052A-19E2-4C86-BAB3-98D1D8913ED9}"/>
    <cellStyle name="Style 80 6 3 2 10 2" xfId="32028" xr:uid="{79BA07E0-F468-4610-B4DB-BA60C4AFF3CD}"/>
    <cellStyle name="Style 80 6 3 2 11" xfId="13232" xr:uid="{CD2FD073-C9A7-465A-95AB-DF7C699D596C}"/>
    <cellStyle name="Style 80 6 3 2 11 2" xfId="32029" xr:uid="{2B305D08-BC15-4881-AE17-23634101B08E}"/>
    <cellStyle name="Style 80 6 3 2 12" xfId="24015" xr:uid="{006405F4-CD7C-4AC7-9E20-DFFADAFCED99}"/>
    <cellStyle name="Style 80 6 3 2 2" xfId="6912" xr:uid="{FD216779-7825-41A2-97D3-5D0FC73BE140}"/>
    <cellStyle name="Style 80 6 3 2 2 2" xfId="13233" xr:uid="{32518A00-764A-4297-891A-E6CA2377A62B}"/>
    <cellStyle name="Style 80 6 3 2 2 2 2" xfId="32030" xr:uid="{C7209B71-B54E-4006-9209-C0D1795E37F5}"/>
    <cellStyle name="Style 80 6 3 2 3" xfId="6911" xr:uid="{B3D68B53-E7D0-4734-9815-BB209097C498}"/>
    <cellStyle name="Style 80 6 3 2 3 2" xfId="13234" xr:uid="{CDC971A0-D509-491C-ABFD-52A507E7F9EB}"/>
    <cellStyle name="Style 80 6 3 2 3 2 2" xfId="32031" xr:uid="{23D879A4-9E1B-44C2-A318-880C649A994B}"/>
    <cellStyle name="Style 80 6 3 2 4" xfId="13235" xr:uid="{306CE41A-8837-4774-AE57-800EC22CE6E3}"/>
    <cellStyle name="Style 80 6 3 2 4 2" xfId="13236" xr:uid="{C25BACEB-B242-4FB8-A867-2E99BC1126B7}"/>
    <cellStyle name="Style 80 6 3 2 4 2 2" xfId="32032" xr:uid="{ECF91CBB-0BA1-472F-8826-47A022A10ECE}"/>
    <cellStyle name="Style 80 6 3 2 4 3" xfId="28046" xr:uid="{AF144CE7-0B06-4A80-B848-D467D28BA210}"/>
    <cellStyle name="Style 80 6 3 2 5" xfId="13237" xr:uid="{AAC5807F-9249-4EA5-8D15-BAE4B2D17B3F}"/>
    <cellStyle name="Style 80 6 3 2 5 2" xfId="32033" xr:uid="{7EA1512D-4C66-471C-BC7E-6A70E1C1CD1C}"/>
    <cellStyle name="Style 80 6 3 2 6" xfId="13238" xr:uid="{05C17F6C-EDE2-4CDB-9E82-525E59A52A2F}"/>
    <cellStyle name="Style 80 6 3 2 6 2" xfId="32034" xr:uid="{455B920B-89B8-4BC9-812B-93DDF8556CC4}"/>
    <cellStyle name="Style 80 6 3 2 7" xfId="13239" xr:uid="{3AD00D3C-0990-4240-A07E-28EE01730EAE}"/>
    <cellStyle name="Style 80 6 3 2 7 2" xfId="32035" xr:uid="{D8B7A345-EF99-48A8-B6D4-87CEBADCE9F0}"/>
    <cellStyle name="Style 80 6 3 2 8" xfId="13240" xr:uid="{1C421338-066F-4F06-95E6-A2F3830E45D7}"/>
    <cellStyle name="Style 80 6 3 2 8 2" xfId="32036" xr:uid="{E815E6FD-B1B9-4551-8F5C-822DAF780A1B}"/>
    <cellStyle name="Style 80 6 3 2 9" xfId="13241" xr:uid="{17954E46-6A30-4777-A2E2-03680136A430}"/>
    <cellStyle name="Style 80 6 3 2 9 2" xfId="32037" xr:uid="{CB3BAF32-F95D-4520-8350-EE26F50D1F18}"/>
    <cellStyle name="Style 80 6 3 3" xfId="6913" xr:uid="{30F3700A-03FE-46F6-A7A4-9B63C91710C0}"/>
    <cellStyle name="Style 80 6 3 3 2" xfId="6914" xr:uid="{A4AB8BF2-19D6-4A97-9E9E-39CA7CBD1173}"/>
    <cellStyle name="Style 80 6 3 3 2 2" xfId="13242" xr:uid="{BEAC7E73-D7AF-4B61-8899-BC9527FC2089}"/>
    <cellStyle name="Style 80 6 3 3 2 2 2" xfId="32038" xr:uid="{0840AFD6-300E-4FE3-A145-4CE60BFAB90A}"/>
    <cellStyle name="Style 80 6 3 3 3" xfId="13243" xr:uid="{BF032B90-4BCC-4356-B52B-BCAC7B150729}"/>
    <cellStyle name="Style 80 6 3 3 3 2" xfId="32039" xr:uid="{BD0C4710-9D80-43D6-9B2C-9AE986FD5F94}"/>
    <cellStyle name="Style 80 6 3 3 4" xfId="13244" xr:uid="{BD4EE4CF-4EA6-4998-A75D-F26E52846D3E}"/>
    <cellStyle name="Style 80 6 3 3 4 2" xfId="32040" xr:uid="{534FEBBD-92C6-4A3B-997C-98A53740B178}"/>
    <cellStyle name="Style 80 6 3 3 5" xfId="24016" xr:uid="{B56D5269-628F-4D9C-8D3F-14A65F100CEE}"/>
    <cellStyle name="Style 80 6 3 4" xfId="6915" xr:uid="{8CCCE39F-B11B-4904-ADD8-B7BC70EB5D84}"/>
    <cellStyle name="Style 80 6 3 4 2" xfId="13245" xr:uid="{6DB71FE2-CDDB-4D69-B975-F09FC7D90307}"/>
    <cellStyle name="Style 80 6 3 4 2 2" xfId="32041" xr:uid="{2E5BC1BB-878A-4192-9EFB-AEE63ED4C757}"/>
    <cellStyle name="Style 80 6 3 5" xfId="6916" xr:uid="{779856A8-9074-4EDC-9449-CD2E45726A29}"/>
    <cellStyle name="Style 80 6 3 5 2" xfId="13246" xr:uid="{A6FA92D6-5550-4AC4-A66B-D057657CCB08}"/>
    <cellStyle name="Style 80 6 3 5 2 2" xfId="32042" xr:uid="{C2043BC2-BFD7-431C-8DAA-71BF42585C40}"/>
    <cellStyle name="Style 80 6 3 6" xfId="6910" xr:uid="{8A7CD136-9DCF-4963-9D11-1FD058E6600F}"/>
    <cellStyle name="Style 80 6 3 6 2" xfId="13247" xr:uid="{D9945258-0887-4D1A-8013-06FAAAA1E868}"/>
    <cellStyle name="Style 80 6 3 6 2 2" xfId="32043" xr:uid="{7CAB89D1-1D12-4BD2-8B57-3BFE49302D5C}"/>
    <cellStyle name="Style 80 6 3 7" xfId="13248" xr:uid="{0E22A820-6BCE-40F9-8178-CFE6A7A8C214}"/>
    <cellStyle name="Style 80 6 3 7 2" xfId="13249" xr:uid="{716D9635-CC98-4304-8C84-35ACBC166403}"/>
    <cellStyle name="Style 80 6 3 7 2 2" xfId="32044" xr:uid="{0D620E9F-714D-474B-9BFD-648C1F3A6DF5}"/>
    <cellStyle name="Style 80 6 3 7 3" xfId="28045" xr:uid="{24F89603-E2AF-4598-AD43-544F6314CE0C}"/>
    <cellStyle name="Style 80 6 3 8" xfId="13250" xr:uid="{30EF381F-9A7D-4446-A4EA-93D084E558BA}"/>
    <cellStyle name="Style 80 6 3 8 2" xfId="32045" xr:uid="{294F77BC-77F5-4D1F-852A-4CDB462B895E}"/>
    <cellStyle name="Style 80 6 3 9" xfId="13251" xr:uid="{C7BDFA5A-D6AF-47C1-A4E5-DED4D927C456}"/>
    <cellStyle name="Style 80 6 3 9 2" xfId="32046" xr:uid="{ACEBE182-8F54-4F97-9D57-2934A23387FE}"/>
    <cellStyle name="Style 80 6 4" xfId="3420" xr:uid="{29967C65-106D-4DA4-B146-4BEA94CBAC0C}"/>
    <cellStyle name="Style 80 6 4 10" xfId="13252" xr:uid="{EFA9CE52-5448-4624-A11C-FDDF84BB0043}"/>
    <cellStyle name="Style 80 6 4 10 2" xfId="32047" xr:uid="{CDA6E6F3-A4FE-42D4-83E4-5EC6C4645B69}"/>
    <cellStyle name="Style 80 6 4 11" xfId="13253" xr:uid="{F7FF9306-FFF0-42BC-8B3A-BC70A5020602}"/>
    <cellStyle name="Style 80 6 4 11 2" xfId="32048" xr:uid="{A9C76079-17C6-4324-A2EB-AD911BA9DD88}"/>
    <cellStyle name="Style 80 6 4 12" xfId="13254" xr:uid="{BB7A4494-FF28-438A-AA30-856ED969187D}"/>
    <cellStyle name="Style 80 6 4 12 2" xfId="32049" xr:uid="{BA1D2213-5DE9-4B53-A37C-EF5D72580CB2}"/>
    <cellStyle name="Style 80 6 4 13" xfId="24017" xr:uid="{F3DA542F-4AE3-4837-BA0F-4F09131281D4}"/>
    <cellStyle name="Style 80 6 4 2" xfId="3421" xr:uid="{B70A03DE-DC9B-4945-909B-BA780CA0E0FB}"/>
    <cellStyle name="Style 80 6 4 2 10" xfId="13255" xr:uid="{25536DF1-93FD-434F-8D2C-D1F0F7F822D5}"/>
    <cellStyle name="Style 80 6 4 2 10 2" xfId="32050" xr:uid="{296BFFA4-FDBA-4987-BA9D-860F925E98A1}"/>
    <cellStyle name="Style 80 6 4 2 11" xfId="13256" xr:uid="{9EE41406-D0C5-4262-94AA-7A46894498B9}"/>
    <cellStyle name="Style 80 6 4 2 11 2" xfId="32051" xr:uid="{ABB6EAA2-312A-48A4-9FA1-74543D69E798}"/>
    <cellStyle name="Style 80 6 4 2 12" xfId="24018" xr:uid="{0709A7BC-648F-4EB2-985B-AC77A5ED384E}"/>
    <cellStyle name="Style 80 6 4 2 2" xfId="6919" xr:uid="{56EAD5AF-439D-4D89-9287-2B05F8E927C7}"/>
    <cellStyle name="Style 80 6 4 2 2 2" xfId="13257" xr:uid="{2B859478-7C95-43C1-AF06-B01D876987B4}"/>
    <cellStyle name="Style 80 6 4 2 2 2 2" xfId="32052" xr:uid="{47B1A559-E7F8-4327-BBCD-5C9F51DFA697}"/>
    <cellStyle name="Style 80 6 4 2 3" xfId="6918" xr:uid="{86600DB7-EF05-4E32-A06C-7730B2EB59F7}"/>
    <cellStyle name="Style 80 6 4 2 3 2" xfId="13258" xr:uid="{C744085F-3EB7-4B04-9AC6-CBC7AD1FC4E8}"/>
    <cellStyle name="Style 80 6 4 2 3 2 2" xfId="32053" xr:uid="{2EB743EC-5F77-48F8-9A23-E77A1D01D6AC}"/>
    <cellStyle name="Style 80 6 4 2 4" xfId="13259" xr:uid="{4D526289-F3A1-473C-9B7E-759DAF6E72E4}"/>
    <cellStyle name="Style 80 6 4 2 4 2" xfId="13260" xr:uid="{57E8DE26-E356-471E-B1C1-7A290D267CDB}"/>
    <cellStyle name="Style 80 6 4 2 4 2 2" xfId="32054" xr:uid="{FD91717D-4261-4A85-B5DE-897EA5037040}"/>
    <cellStyle name="Style 80 6 4 2 4 3" xfId="28048" xr:uid="{1EAD8F25-D10E-4E36-9FA3-14E077D718B5}"/>
    <cellStyle name="Style 80 6 4 2 5" xfId="13261" xr:uid="{C91001A1-F6C1-4801-88FD-CE3FBB105650}"/>
    <cellStyle name="Style 80 6 4 2 5 2" xfId="32055" xr:uid="{2F04DB29-63C0-4867-B539-1DB6A7FFE5B4}"/>
    <cellStyle name="Style 80 6 4 2 6" xfId="13262" xr:uid="{92DBC5FB-8E46-449B-828B-03F0B1F3329F}"/>
    <cellStyle name="Style 80 6 4 2 6 2" xfId="32056" xr:uid="{7C6362E7-EC3A-4ED8-BDBA-A93996F0146E}"/>
    <cellStyle name="Style 80 6 4 2 7" xfId="13263" xr:uid="{796FB24A-42CF-481E-A4D5-EF9D710F0E15}"/>
    <cellStyle name="Style 80 6 4 2 7 2" xfId="32057" xr:uid="{5213A640-0CD4-42D6-A1FA-F341F2388170}"/>
    <cellStyle name="Style 80 6 4 2 8" xfId="13264" xr:uid="{11CDEB1B-9C25-4790-ADB1-B74AA8281F60}"/>
    <cellStyle name="Style 80 6 4 2 8 2" xfId="32058" xr:uid="{7BA4553B-659B-411C-9FDC-1569FC5C2948}"/>
    <cellStyle name="Style 80 6 4 2 9" xfId="13265" xr:uid="{6EDD13FF-79A6-4960-8EBD-6C8423BEE8AC}"/>
    <cellStyle name="Style 80 6 4 2 9 2" xfId="32059" xr:uid="{134E90C0-B95F-47EB-B680-416690929438}"/>
    <cellStyle name="Style 80 6 4 3" xfId="6920" xr:uid="{144B1E94-FCA2-4671-A03B-49C3255358F5}"/>
    <cellStyle name="Style 80 6 4 3 2" xfId="13266" xr:uid="{2793BF51-6DDF-4E6D-8CEE-780912BE55FB}"/>
    <cellStyle name="Style 80 6 4 3 2 2" xfId="32060" xr:uid="{802C1BFE-E0DB-4D69-A812-A5FE156A22C9}"/>
    <cellStyle name="Style 80 6 4 4" xfId="6917" xr:uid="{9EBB6598-5B9A-4EE9-A7D9-2E393D7184DE}"/>
    <cellStyle name="Style 80 6 4 4 2" xfId="13267" xr:uid="{4BF69C33-1515-42BB-8B5E-61C4F56540E2}"/>
    <cellStyle name="Style 80 6 4 4 2 2" xfId="32061" xr:uid="{CE04F45D-65A4-4580-AA72-B97FCD29A74B}"/>
    <cellStyle name="Style 80 6 4 5" xfId="13268" xr:uid="{BF65FA5B-735E-4BEC-A711-18C1315809DB}"/>
    <cellStyle name="Style 80 6 4 5 2" xfId="13269" xr:uid="{4C747522-6319-4897-8946-F4F7A1DAB768}"/>
    <cellStyle name="Style 80 6 4 5 2 2" xfId="32062" xr:uid="{6107DEBA-F256-4D43-99DB-96D76F198780}"/>
    <cellStyle name="Style 80 6 4 5 3" xfId="28047" xr:uid="{6E1599B2-CA2F-4991-B025-C5990FBF92C6}"/>
    <cellStyle name="Style 80 6 4 6" xfId="13270" xr:uid="{608744AF-B48A-4FA7-9140-664174FEBA47}"/>
    <cellStyle name="Style 80 6 4 6 2" xfId="32063" xr:uid="{4048C6A9-5EE8-469D-A02D-9BF173940AF2}"/>
    <cellStyle name="Style 80 6 4 7" xfId="13271" xr:uid="{10CF8EF6-BFCF-4192-967A-A83C16320797}"/>
    <cellStyle name="Style 80 6 4 7 2" xfId="32064" xr:uid="{03B45E7A-5CBD-45E2-9726-A306F4E3334A}"/>
    <cellStyle name="Style 80 6 4 8" xfId="13272" xr:uid="{F2EACFD8-0C08-408C-9375-BE40FE06FE55}"/>
    <cellStyle name="Style 80 6 4 8 2" xfId="32065" xr:uid="{C7424E09-9C65-4172-BC2A-A04C1CE75B9B}"/>
    <cellStyle name="Style 80 6 4 9" xfId="13273" xr:uid="{20D8F4F3-AF72-43E3-8BBE-4A3538EB351A}"/>
    <cellStyle name="Style 80 6 4 9 2" xfId="32066" xr:uid="{2865938C-9CAB-4037-828D-BE2E54AEC91F}"/>
    <cellStyle name="Style 80 6 5" xfId="6921" xr:uid="{42B8488A-FF33-4A89-876F-07CEF91848BD}"/>
    <cellStyle name="Style 80 6 5 2" xfId="13274" xr:uid="{11395B3A-506B-434E-99AB-D2789569C822}"/>
    <cellStyle name="Style 80 6 5 2 2" xfId="32067" xr:uid="{0111ADAD-7C62-43E2-8B2D-3A715BB723F5}"/>
    <cellStyle name="Style 80 6 5 3" xfId="13275" xr:uid="{7DF3AAB9-B578-4E25-9FBF-872CDF5769DF}"/>
    <cellStyle name="Style 80 6 5 3 2" xfId="32068" xr:uid="{634CB364-7F6A-479E-981B-3161E3C4815C}"/>
    <cellStyle name="Style 80 6 5 4" xfId="13276" xr:uid="{0A87DFA5-AE2B-4597-8738-8B2B306B7E0C}"/>
    <cellStyle name="Style 80 6 5 4 2" xfId="32069" xr:uid="{E1DAF4FA-0D85-4B94-9D30-E733656DAE9F}"/>
    <cellStyle name="Style 80 6 6" xfId="6922" xr:uid="{A692347D-1528-40F1-90B0-96C495B90E9B}"/>
    <cellStyle name="Style 80 6 6 2" xfId="13277" xr:uid="{3DED3495-1437-498C-8D29-3CBE74BA82E3}"/>
    <cellStyle name="Style 80 6 6 2 2" xfId="32070" xr:uid="{7134F0BE-CD76-48EE-B076-C5447535F981}"/>
    <cellStyle name="Style 80 6 7" xfId="6907" xr:uid="{717D630F-AF9F-47E8-ABE3-B73D7F571713}"/>
    <cellStyle name="Style 80 6 7 2" xfId="13278" xr:uid="{F445F755-F90A-4134-8109-78E09B286C52}"/>
    <cellStyle name="Style 80 6 7 2 2" xfId="32071" xr:uid="{140DAAF9-E1CE-439A-85FA-0387B0E3B1D4}"/>
    <cellStyle name="Style 80 6 8" xfId="13279" xr:uid="{AB279C80-1735-4138-AAAF-DD19F2D503D5}"/>
    <cellStyle name="Style 80 6 8 2" xfId="13280" xr:uid="{877A3978-C27A-47BD-8070-C6BAB0ED8BC9}"/>
    <cellStyle name="Style 80 6 8 2 2" xfId="32072" xr:uid="{519A0848-E6EA-4F1C-A3C6-DFA78AD006AA}"/>
    <cellStyle name="Style 80 6 8 3" xfId="28043" xr:uid="{0C052663-3E68-4B74-B988-65B39871C566}"/>
    <cellStyle name="Style 80 6 9" xfId="13281" xr:uid="{C28F2052-9980-44AA-B2B8-CFD1CAE5D05C}"/>
    <cellStyle name="Style 80 6 9 2" xfId="32073" xr:uid="{0625061A-4E79-4AAC-9780-70660A65F98A}"/>
    <cellStyle name="Style 80 7" xfId="3422" xr:uid="{154402CF-62D5-4904-A5C0-26294D61D64D}"/>
    <cellStyle name="Style 80 7 10" xfId="13282" xr:uid="{338B1525-41EA-4DDC-A130-FC1F466FCC8F}"/>
    <cellStyle name="Style 80 7 10 2" xfId="32074" xr:uid="{382B9537-EE12-48FB-B842-A6D737FC5C3A}"/>
    <cellStyle name="Style 80 7 11" xfId="13283" xr:uid="{F815B2D5-BF81-453A-86B8-6DE9EE9E6713}"/>
    <cellStyle name="Style 80 7 11 2" xfId="32075" xr:uid="{9AC2E6F4-1AD8-43E8-8D76-35F289363548}"/>
    <cellStyle name="Style 80 7 12" xfId="13284" xr:uid="{13F5B9CD-036D-47AC-A69B-2ACDDB94532A}"/>
    <cellStyle name="Style 80 7 12 2" xfId="32076" xr:uid="{7DEC8112-25BF-4C9F-AB0E-82040B0D9030}"/>
    <cellStyle name="Style 80 7 13" xfId="13285" xr:uid="{0B8B9873-5BF1-4A30-9610-F8ECDA928D1E}"/>
    <cellStyle name="Style 80 7 13 2" xfId="32077" xr:uid="{5780180A-6A24-44C3-BDB1-D25CE0D8F1ED}"/>
    <cellStyle name="Style 80 7 14" xfId="24019" xr:uid="{1F88BB0A-CEEF-43F3-9CCE-B1404C7620FF}"/>
    <cellStyle name="Style 80 7 2" xfId="3423" xr:uid="{02193301-341B-41C8-B987-8B751F52A966}"/>
    <cellStyle name="Style 80 7 2 10" xfId="13286" xr:uid="{D76EB81F-1CAB-4399-BB42-2890759ED39B}"/>
    <cellStyle name="Style 80 7 2 10 2" xfId="32078" xr:uid="{A8073945-B2B9-4EC4-8746-BD7379CDF3EB}"/>
    <cellStyle name="Style 80 7 2 11" xfId="13287" xr:uid="{9BCF7091-3017-46CA-8335-2B1140699FFD}"/>
    <cellStyle name="Style 80 7 2 11 2" xfId="32079" xr:uid="{6972797F-A17E-45AD-A156-580404886372}"/>
    <cellStyle name="Style 80 7 2 12" xfId="24020" xr:uid="{DA514C19-BD22-436A-BB9F-EB264D9DD6AA}"/>
    <cellStyle name="Style 80 7 2 2" xfId="6925" xr:uid="{DD4A211A-70D3-4459-9D04-669863531708}"/>
    <cellStyle name="Style 80 7 2 2 2" xfId="13288" xr:uid="{1B1EE06E-F955-454A-9ABD-6FABAB085933}"/>
    <cellStyle name="Style 80 7 2 2 2 2" xfId="32080" xr:uid="{5F293188-D38E-4CF4-94D0-EB2C5AB505ED}"/>
    <cellStyle name="Style 80 7 2 3" xfId="6924" xr:uid="{1EA1BEBF-76D2-430B-968D-869EB2C6A734}"/>
    <cellStyle name="Style 80 7 2 3 2" xfId="13289" xr:uid="{EC1C80B5-BC84-4D35-8BBB-361F012E3FE3}"/>
    <cellStyle name="Style 80 7 2 3 2 2" xfId="32081" xr:uid="{FB6501D9-B15E-411B-B90F-D931019AA88A}"/>
    <cellStyle name="Style 80 7 2 4" xfId="13290" xr:uid="{2D8541B1-9E96-4049-B6EA-3E70C96FCF1E}"/>
    <cellStyle name="Style 80 7 2 4 2" xfId="13291" xr:uid="{0D54BE30-0024-4F25-9234-D8E4F6C26E6C}"/>
    <cellStyle name="Style 80 7 2 4 2 2" xfId="32082" xr:uid="{D8894C31-E428-43E6-B09E-7D66366B0C60}"/>
    <cellStyle name="Style 80 7 2 4 3" xfId="28050" xr:uid="{4FA3CA67-E9B1-46DA-A20A-10BC4847A0E7}"/>
    <cellStyle name="Style 80 7 2 5" xfId="13292" xr:uid="{93F579B9-17AC-4148-A653-22E4EE4AB09F}"/>
    <cellStyle name="Style 80 7 2 5 2" xfId="32083" xr:uid="{33A1D343-713E-4601-836C-7C7BAB80CF94}"/>
    <cellStyle name="Style 80 7 2 6" xfId="13293" xr:uid="{AC562FD1-5D5F-4BD4-AF07-5EC5BDC236AD}"/>
    <cellStyle name="Style 80 7 2 6 2" xfId="32084" xr:uid="{CEA624A5-4815-487F-9C60-CF8041A26A0F}"/>
    <cellStyle name="Style 80 7 2 7" xfId="13294" xr:uid="{931F4375-2E3F-4DFE-A315-D4850E1BBA05}"/>
    <cellStyle name="Style 80 7 2 7 2" xfId="32085" xr:uid="{91F05014-9ED0-4AD3-BCF9-DE8D1CD5F3DF}"/>
    <cellStyle name="Style 80 7 2 8" xfId="13295" xr:uid="{D2703801-C672-4198-9335-56398926F3AF}"/>
    <cellStyle name="Style 80 7 2 8 2" xfId="32086" xr:uid="{87FEC55D-31AB-4CB9-98FA-63ECA3350702}"/>
    <cellStyle name="Style 80 7 2 9" xfId="13296" xr:uid="{76EF0B35-FCCA-4BC5-9AB0-225DE023CFF9}"/>
    <cellStyle name="Style 80 7 2 9 2" xfId="32087" xr:uid="{5B5E41E9-9957-4965-85DC-C27D53FA7C35}"/>
    <cellStyle name="Style 80 7 3" xfId="6926" xr:uid="{E416205A-3A5B-48DB-882B-4C25D63FC03D}"/>
    <cellStyle name="Style 80 7 3 2" xfId="6927" xr:uid="{F5B677CA-DFCB-4851-BAE3-C7ACB0CD839D}"/>
    <cellStyle name="Style 80 7 3 2 2" xfId="13297" xr:uid="{3FA82DD9-1A7B-48B9-B780-5F82E18E86D3}"/>
    <cellStyle name="Style 80 7 3 2 2 2" xfId="32088" xr:uid="{F1F04146-67D4-42AA-8280-E8EAB35B0C94}"/>
    <cellStyle name="Style 80 7 3 3" xfId="13298" xr:uid="{7FF0AFE9-E514-4BBE-BB9F-27C8E92F9FFC}"/>
    <cellStyle name="Style 80 7 3 3 2" xfId="32089" xr:uid="{26DC649D-884A-4DB1-99C3-AFDBE91B8754}"/>
    <cellStyle name="Style 80 7 3 4" xfId="13299" xr:uid="{B4A43C48-452A-42EA-BC8E-C1208DB62336}"/>
    <cellStyle name="Style 80 7 3 4 2" xfId="32090" xr:uid="{A38160BC-DA37-4070-A2E5-44A146977E5D}"/>
    <cellStyle name="Style 80 7 3 5" xfId="24021" xr:uid="{56CCEDBD-97F6-4F7C-810F-602CC6B15584}"/>
    <cellStyle name="Style 80 7 4" xfId="6928" xr:uid="{0A5E3F9A-CD8A-4FD3-A7EA-09023D8AB3E9}"/>
    <cellStyle name="Style 80 7 4 2" xfId="13300" xr:uid="{DD37FCA4-4DC3-41AF-A80A-F91223A56FE2}"/>
    <cellStyle name="Style 80 7 4 2 2" xfId="32091" xr:uid="{B220ABB0-7D7F-45B2-85F2-C877360017BA}"/>
    <cellStyle name="Style 80 7 5" xfId="6929" xr:uid="{51C8F95F-8603-40DB-BCC3-AAB9A9D803EA}"/>
    <cellStyle name="Style 80 7 5 2" xfId="13301" xr:uid="{AB23C380-0B60-4BEF-B095-5B970C3181AC}"/>
    <cellStyle name="Style 80 7 5 2 2" xfId="32092" xr:uid="{AFDF96B6-EF24-4C9C-89B1-A753FDC9BB9C}"/>
    <cellStyle name="Style 80 7 6" xfId="6923" xr:uid="{74B2BBDC-9400-477B-8D8D-A59670A1429F}"/>
    <cellStyle name="Style 80 7 6 2" xfId="13302" xr:uid="{E0C11A23-8DD3-466B-AFD7-72E26C17F1C9}"/>
    <cellStyle name="Style 80 7 6 2 2" xfId="32093" xr:uid="{9A65ACA6-1EF3-42C4-A1F0-67160BA9FDB7}"/>
    <cellStyle name="Style 80 7 7" xfId="13303" xr:uid="{A67F9325-811D-4A86-A9C2-3214D38FC46F}"/>
    <cellStyle name="Style 80 7 7 2" xfId="13304" xr:uid="{F3D19461-6E3A-4828-9C27-11A466BFB3DD}"/>
    <cellStyle name="Style 80 7 7 2 2" xfId="32094" xr:uid="{E6735F1C-6FBB-4E63-92F4-DE9FD0BADC66}"/>
    <cellStyle name="Style 80 7 7 3" xfId="28049" xr:uid="{59704232-A326-49F0-B63A-486492CB328E}"/>
    <cellStyle name="Style 80 7 8" xfId="13305" xr:uid="{7DED5556-1EB7-4FCF-875E-8F316B677C1A}"/>
    <cellStyle name="Style 80 7 8 2" xfId="32095" xr:uid="{91E6B0D5-3E40-4F9A-BFF4-D2BE35D75584}"/>
    <cellStyle name="Style 80 7 9" xfId="13306" xr:uid="{CE716B0D-E34E-47D5-8FD9-27A97F4A1DE9}"/>
    <cellStyle name="Style 80 7 9 2" xfId="32096" xr:uid="{93BAF0BA-0625-4E54-A525-839ABC9FBFC6}"/>
    <cellStyle name="Style 80 8" xfId="3424" xr:uid="{193FBC5B-036C-40E4-B0E9-01297A2FBDEF}"/>
    <cellStyle name="Style 80 8 10" xfId="13307" xr:uid="{03C9E3E9-2DD0-4029-A5E9-4F528367959B}"/>
    <cellStyle name="Style 80 8 10 2" xfId="32097" xr:uid="{4AE48E1B-AEDC-4584-9588-DB52772E3625}"/>
    <cellStyle name="Style 80 8 11" xfId="13308" xr:uid="{79733979-77F4-4A7E-9897-E4570CA85D11}"/>
    <cellStyle name="Style 80 8 11 2" xfId="32098" xr:uid="{41CA2F2F-B462-4726-811F-502CEC19BF08}"/>
    <cellStyle name="Style 80 8 12" xfId="13309" xr:uid="{2C0D1513-9E2A-4B6E-867B-189C5A56EB64}"/>
    <cellStyle name="Style 80 8 12 2" xfId="32099" xr:uid="{84F71971-5C0F-4584-BD3D-3786B0607DDC}"/>
    <cellStyle name="Style 80 8 13" xfId="24022" xr:uid="{DF5A0C57-EB6D-4382-B6CB-BCA2445CB9EE}"/>
    <cellStyle name="Style 80 8 2" xfId="3425" xr:uid="{E8315563-FCE9-406E-90F9-05707F568826}"/>
    <cellStyle name="Style 80 8 2 10" xfId="13310" xr:uid="{09277699-13F9-4CA4-90EE-0B69D9DAF206}"/>
    <cellStyle name="Style 80 8 2 10 2" xfId="32100" xr:uid="{BC515C5F-7847-453A-92DC-DABFC7333AC5}"/>
    <cellStyle name="Style 80 8 2 11" xfId="13311" xr:uid="{914302C7-1300-4BFF-AE1A-DC4C480F2717}"/>
    <cellStyle name="Style 80 8 2 11 2" xfId="32101" xr:uid="{4C9EB419-E500-411A-A1CB-443B5D6C40F5}"/>
    <cellStyle name="Style 80 8 2 12" xfId="24023" xr:uid="{403B6A74-2FF9-45B6-A179-DD92313CF29B}"/>
    <cellStyle name="Style 80 8 2 2" xfId="6932" xr:uid="{51AD2ED5-4C12-4F54-87E1-FADBD2686AFC}"/>
    <cellStyle name="Style 80 8 2 2 2" xfId="13312" xr:uid="{EDF5238C-29A6-47BD-AFBE-0CBAD67335EA}"/>
    <cellStyle name="Style 80 8 2 2 2 2" xfId="32102" xr:uid="{1A5486A2-B006-4DFB-BAB0-12D772BE4940}"/>
    <cellStyle name="Style 80 8 2 3" xfId="6931" xr:uid="{61FE02D2-519C-438B-8891-10DF92264C4B}"/>
    <cellStyle name="Style 80 8 2 3 2" xfId="13313" xr:uid="{7CF4E502-8803-4D06-8F28-07C908668540}"/>
    <cellStyle name="Style 80 8 2 3 2 2" xfId="32103" xr:uid="{47D842B6-F3BC-4E90-BFD2-0694105C9B26}"/>
    <cellStyle name="Style 80 8 2 4" xfId="13314" xr:uid="{0E92041F-1CF0-4EB0-90BD-1830C47D21AA}"/>
    <cellStyle name="Style 80 8 2 4 2" xfId="13315" xr:uid="{90A2766D-394B-45C0-8C7C-C8209B798EFA}"/>
    <cellStyle name="Style 80 8 2 4 2 2" xfId="32104" xr:uid="{EE3A3066-5322-4915-955D-25F158848D65}"/>
    <cellStyle name="Style 80 8 2 4 3" xfId="28052" xr:uid="{8F44DB8B-ED0C-4DC7-A1CD-E920024D1955}"/>
    <cellStyle name="Style 80 8 2 5" xfId="13316" xr:uid="{95546F75-E50B-4995-A11F-D72610EE4342}"/>
    <cellStyle name="Style 80 8 2 5 2" xfId="32105" xr:uid="{0DE5C034-F5B4-4565-89CE-7FBD5068DBEA}"/>
    <cellStyle name="Style 80 8 2 6" xfId="13317" xr:uid="{7EDCB222-7FF7-4710-8223-BB4567EA16C7}"/>
    <cellStyle name="Style 80 8 2 6 2" xfId="32106" xr:uid="{663B1878-CB83-4FCA-9D2C-3D8E7AC28CAB}"/>
    <cellStyle name="Style 80 8 2 7" xfId="13318" xr:uid="{FB4D0B2D-0A89-436B-94AF-74808A61B7BD}"/>
    <cellStyle name="Style 80 8 2 7 2" xfId="32107" xr:uid="{69828459-9FC7-4FC4-BDD2-C288CF389B0E}"/>
    <cellStyle name="Style 80 8 2 8" xfId="13319" xr:uid="{C2327902-77F1-47D2-B71B-5CD54F3747B4}"/>
    <cellStyle name="Style 80 8 2 8 2" xfId="32108" xr:uid="{6D01B173-8A85-4F02-815A-B6804D9DDAF0}"/>
    <cellStyle name="Style 80 8 2 9" xfId="13320" xr:uid="{208D74F5-98EA-4AFF-A7C8-1BCCF5077BC1}"/>
    <cellStyle name="Style 80 8 2 9 2" xfId="32109" xr:uid="{24933D14-BBC3-4EB2-AA53-E2E53525845C}"/>
    <cellStyle name="Style 80 8 3" xfId="6933" xr:uid="{5903C7BF-890F-4BD7-B4EB-2AD7EE9AD675}"/>
    <cellStyle name="Style 80 8 3 2" xfId="6934" xr:uid="{DBF9598E-E479-4361-ABBF-277A2676A977}"/>
    <cellStyle name="Style 80 8 3 3" xfId="13321" xr:uid="{01CC302E-7442-4EF9-8153-284E6D9EC39C}"/>
    <cellStyle name="Style 80 8 3 3 2" xfId="32110" xr:uid="{63F887EE-E6B6-424F-9147-61D64F42762C}"/>
    <cellStyle name="Style 80 8 3 4" xfId="24024" xr:uid="{34C58B6A-993E-449C-B002-C5CB828844B7}"/>
    <cellStyle name="Style 80 8 4" xfId="6935" xr:uid="{59293721-38C7-442F-A52E-DB4608B0DE89}"/>
    <cellStyle name="Style 80 8 4 2" xfId="13322" xr:uid="{CF03A018-2980-4D01-BEE3-640E27760980}"/>
    <cellStyle name="Style 80 8 4 2 2" xfId="32111" xr:uid="{E1BBD261-3985-4BEC-A5BD-6556DADB92FF}"/>
    <cellStyle name="Style 80 8 5" xfId="6936" xr:uid="{610C7F33-3BEE-4815-8F31-968195043D47}"/>
    <cellStyle name="Style 80 8 5 2" xfId="13323" xr:uid="{00146155-C192-4D04-8A38-7FBD5E68A35F}"/>
    <cellStyle name="Style 80 8 5 2 2" xfId="32112" xr:uid="{63370E93-AF24-49D4-A932-06477C5356B3}"/>
    <cellStyle name="Style 80 8 6" xfId="6930" xr:uid="{E7AE678F-31B8-4FFA-924B-78D3D779B1B0}"/>
    <cellStyle name="Style 80 8 6 2" xfId="13324" xr:uid="{C49FF974-77A7-4216-9224-7EB251218BE0}"/>
    <cellStyle name="Style 80 8 6 2 2" xfId="32113" xr:uid="{210C3090-221A-43CC-BAC8-11A842FD5E56}"/>
    <cellStyle name="Style 80 8 7" xfId="13325" xr:uid="{8C86022E-41C2-4C63-B545-8D7FBAD7453F}"/>
    <cellStyle name="Style 80 8 7 2" xfId="13326" xr:uid="{A28ED8E0-316D-4104-A975-6303FF37B9DA}"/>
    <cellStyle name="Style 80 8 7 2 2" xfId="32114" xr:uid="{FC17E18A-BCA4-4262-A20C-9DC934C4F01D}"/>
    <cellStyle name="Style 80 8 7 3" xfId="28051" xr:uid="{EFA67A16-E61E-475D-81DD-1036844324DF}"/>
    <cellStyle name="Style 80 8 8" xfId="13327" xr:uid="{632FEF9D-1C42-442E-9E55-94C9EAAE7348}"/>
    <cellStyle name="Style 80 8 8 2" xfId="32115" xr:uid="{8ACEDD15-F901-46F7-BE20-7CC2710AD1C1}"/>
    <cellStyle name="Style 80 8 9" xfId="13328" xr:uid="{9BC7178D-470F-46E7-9D80-FA42BA8B9BEC}"/>
    <cellStyle name="Style 80 8 9 2" xfId="32116" xr:uid="{112F4DF1-B83F-4304-9549-8EC2E1ED8F87}"/>
    <cellStyle name="Style 80 9" xfId="3426" xr:uid="{F72A211A-1897-404A-AB39-5CF9F78F28FD}"/>
    <cellStyle name="Style 80 9 10" xfId="13329" xr:uid="{6AB29F9D-B5AC-4BE7-AD1F-859E5BAE618C}"/>
    <cellStyle name="Style 80 9 10 2" xfId="32117" xr:uid="{D23B0868-6E9C-4A9E-8717-4EBE59AE896C}"/>
    <cellStyle name="Style 80 9 11" xfId="13330" xr:uid="{5DEC8DD0-05EA-472F-9AAE-0C48EEC767DD}"/>
    <cellStyle name="Style 80 9 11 2" xfId="32118" xr:uid="{755222FA-06E3-47B8-A583-55442A7E0437}"/>
    <cellStyle name="Style 80 9 12" xfId="13331" xr:uid="{320C6F1D-AB7D-4CCD-887F-2671DEA526D9}"/>
    <cellStyle name="Style 80 9 12 2" xfId="32119" xr:uid="{E2F293D5-C791-4520-A59F-039584F20677}"/>
    <cellStyle name="Style 80 9 13" xfId="24025" xr:uid="{CE845267-1312-4FF6-8EDC-CF2775762501}"/>
    <cellStyle name="Style 80 9 2" xfId="3427" xr:uid="{D89CD2D6-06A8-49D9-A6C3-6521F7B5D477}"/>
    <cellStyle name="Style 80 9 2 10" xfId="13332" xr:uid="{7BBE136E-C9DE-42BD-AB45-0601EEDC6D71}"/>
    <cellStyle name="Style 80 9 2 10 2" xfId="32120" xr:uid="{C2E330AE-F0C6-4347-8A4D-F4042415933B}"/>
    <cellStyle name="Style 80 9 2 2" xfId="6938" xr:uid="{DBE43307-3D25-46CE-9134-46913CB1D887}"/>
    <cellStyle name="Style 80 9 2 2 2" xfId="13333" xr:uid="{B135C19C-1C84-4255-A252-100FEC74B98C}"/>
    <cellStyle name="Style 80 9 2 2 2 2" xfId="32121" xr:uid="{1D897080-B079-4784-A871-96322BAF15A6}"/>
    <cellStyle name="Style 80 9 2 3" xfId="13334" xr:uid="{7CC554DD-A262-4A74-8192-763550507603}"/>
    <cellStyle name="Style 80 9 2 3 2" xfId="13335" xr:uid="{DBD3FAC0-667D-4573-98B7-469C8A2290CA}"/>
    <cellStyle name="Style 80 9 2 3 2 2" xfId="32122" xr:uid="{9E92EA76-7C76-4509-BC79-33610FC3BAC2}"/>
    <cellStyle name="Style 80 9 2 3 3" xfId="28054" xr:uid="{43664584-6C0E-4A00-A30D-48E30902DC21}"/>
    <cellStyle name="Style 80 9 2 4" xfId="13336" xr:uid="{09A11112-81ED-41B4-94C5-E36092292EE6}"/>
    <cellStyle name="Style 80 9 2 4 2" xfId="32123" xr:uid="{529AC11B-DB69-4562-A14E-50588EFC2D47}"/>
    <cellStyle name="Style 80 9 2 5" xfId="13337" xr:uid="{30851AD1-CB40-4004-A6B1-E4BB89B05FE0}"/>
    <cellStyle name="Style 80 9 2 5 2" xfId="32124" xr:uid="{B6326936-AE18-448B-9DB4-D535A0F4789D}"/>
    <cellStyle name="Style 80 9 2 6" xfId="13338" xr:uid="{AA8338E5-05CD-4C95-8E33-4F4C587E6A00}"/>
    <cellStyle name="Style 80 9 2 6 2" xfId="32125" xr:uid="{43A4045B-AB63-4C89-95F7-7AEA009B1AF6}"/>
    <cellStyle name="Style 80 9 2 7" xfId="13339" xr:uid="{33BB26B9-7944-4A58-AAB0-9DF3235EB582}"/>
    <cellStyle name="Style 80 9 2 7 2" xfId="32126" xr:uid="{B84B13CB-C2C7-4A99-A758-0F04BAAB265A}"/>
    <cellStyle name="Style 80 9 2 8" xfId="13340" xr:uid="{028D9CF5-B1F8-45BF-A0EC-111EE13D822D}"/>
    <cellStyle name="Style 80 9 2 8 2" xfId="32127" xr:uid="{21575F5A-35A1-4A45-A064-916EE843C7C0}"/>
    <cellStyle name="Style 80 9 2 9" xfId="13341" xr:uid="{4F96BED3-EBC5-40FA-B8FC-CF36746C206E}"/>
    <cellStyle name="Style 80 9 2 9 2" xfId="32128" xr:uid="{5E5C5A25-ED54-4984-85BE-0A82760D019C}"/>
    <cellStyle name="Style 80 9 3" xfId="4205" xr:uid="{703A4101-6011-419E-BDF1-D3B1C68279B1}"/>
    <cellStyle name="Style 80 9 3 2" xfId="6939" xr:uid="{FE5FD3C4-1989-4DC3-A1CC-574C14996D5F}"/>
    <cellStyle name="Style 80 9 3 2 2" xfId="28338" xr:uid="{DA982C89-9239-48E5-95F5-22793FF41A9A}"/>
    <cellStyle name="Style 80 9 3 3" xfId="13342" xr:uid="{9BAE4C01-E032-4877-9A59-8D2BA4FE29E0}"/>
    <cellStyle name="Style 80 9 3 3 2" xfId="32129" xr:uid="{5A3E485A-9134-4233-98F5-B8666906A95E}"/>
    <cellStyle name="Style 80 9 4" xfId="6937" xr:uid="{63C36866-6216-4896-9420-FF08B250501E}"/>
    <cellStyle name="Style 80 9 4 2" xfId="13343" xr:uid="{8DEC385E-63B6-4EC0-94A5-513D83C9E459}"/>
    <cellStyle name="Style 80 9 4 2 2" xfId="32130" xr:uid="{CA2638DA-6D84-4C5A-B6E5-4C65BB438DF2}"/>
    <cellStyle name="Style 80 9 5" xfId="13344" xr:uid="{D6F270EE-B379-4BAF-8C84-8DA88C6F7402}"/>
    <cellStyle name="Style 80 9 5 2" xfId="13345" xr:uid="{37481077-7C8E-4AB0-89A1-BAB657705C36}"/>
    <cellStyle name="Style 80 9 5 2 2" xfId="32131" xr:uid="{E79D64B7-4606-4D5D-A346-4833058A7BE2}"/>
    <cellStyle name="Style 80 9 5 3" xfId="28053" xr:uid="{02F5CEE6-8684-498F-AB7D-609AE632B314}"/>
    <cellStyle name="Style 80 9 6" xfId="13346" xr:uid="{B601F1E6-33D4-435D-B164-DF5C1E0F2F41}"/>
    <cellStyle name="Style 80 9 6 2" xfId="32132" xr:uid="{02D515D9-F5DE-4683-856F-F89BF711D645}"/>
    <cellStyle name="Style 80 9 7" xfId="13347" xr:uid="{42387D53-F393-4271-B025-F1FA7FE28A3D}"/>
    <cellStyle name="Style 80 9 7 2" xfId="32133" xr:uid="{588A81B9-CA24-4B5F-B4B2-190A43C7517C}"/>
    <cellStyle name="Style 80 9 8" xfId="13348" xr:uid="{6CDD6591-ABAB-4D24-A2FC-E06399D5CAA6}"/>
    <cellStyle name="Style 80 9 8 2" xfId="32134" xr:uid="{EFD134E1-19C4-4448-99D4-C1223143AD5E}"/>
    <cellStyle name="Style 80 9 9" xfId="13349" xr:uid="{18289EF2-D0BC-4291-B9BD-94EA14BB9DDE}"/>
    <cellStyle name="Style 80 9 9 2" xfId="32135" xr:uid="{16A8545F-9E08-4739-B52F-15053C72685B}"/>
    <cellStyle name="Style 80_ADDON" xfId="25809" xr:uid="{B2AE9671-2B86-400C-BD79-88713AC26C17}"/>
    <cellStyle name="Style 81" xfId="3428" xr:uid="{3C65677B-8F15-42D2-BA99-F3DF0B3CDDE5}"/>
    <cellStyle name="Style 81 10" xfId="3429" xr:uid="{B3EF5123-EF79-4639-924F-EA8E040557F0}"/>
    <cellStyle name="Style 81 10 10" xfId="13350" xr:uid="{BE33B4E8-C6EA-4DC8-B3CB-15ABF0C6C5BB}"/>
    <cellStyle name="Style 81 10 10 2" xfId="32136" xr:uid="{33E32989-093E-4CCA-A41F-F93E68E74A08}"/>
    <cellStyle name="Style 81 10 11" xfId="13351" xr:uid="{24A63E23-4379-48A6-9F6B-B71A15F459A6}"/>
    <cellStyle name="Style 81 10 11 2" xfId="32137" xr:uid="{F5954FA4-55E8-41FB-9C54-F8404044FAD7}"/>
    <cellStyle name="Style 81 10 12" xfId="13352" xr:uid="{F265E2BC-A219-49BB-BC6D-F11E30FE0A66}"/>
    <cellStyle name="Style 81 10 12 2" xfId="32138" xr:uid="{702959A9-5404-445C-B730-097023FE1B5F}"/>
    <cellStyle name="Style 81 10 13" xfId="24027" xr:uid="{C5DA4BCC-8927-4169-8DCE-79106A9C3FC5}"/>
    <cellStyle name="Style 81 10 2" xfId="3430" xr:uid="{90A8AE4C-4332-4B74-B175-98D21B7749FF}"/>
    <cellStyle name="Style 81 10 2 10" xfId="13353" xr:uid="{66852BAF-FC81-4FDE-AC6E-88BE8FE53E0A}"/>
    <cellStyle name="Style 81 10 2 10 2" xfId="32139" xr:uid="{F1B202FC-CF3A-44DA-AFC5-B40472D82B6B}"/>
    <cellStyle name="Style 81 10 2 2" xfId="6942" xr:uid="{244B9308-F6BC-4DA4-B312-24AF855403F1}"/>
    <cellStyle name="Style 81 10 2 2 2" xfId="13354" xr:uid="{BBD372CA-E335-4136-B865-69D326D4E233}"/>
    <cellStyle name="Style 81 10 2 2 2 2" xfId="32140" xr:uid="{E835D5A7-B739-4A5F-A786-C8828237D695}"/>
    <cellStyle name="Style 81 10 2 3" xfId="13355" xr:uid="{AECFD355-26B2-4467-90F5-2A9BACCAEFA6}"/>
    <cellStyle name="Style 81 10 2 3 2" xfId="13356" xr:uid="{96691386-D572-4C70-AE38-03A8692BF7B5}"/>
    <cellStyle name="Style 81 10 2 3 2 2" xfId="32141" xr:uid="{9B00FFA9-43F0-4974-BD59-4EDA1ACA32FB}"/>
    <cellStyle name="Style 81 10 2 3 3" xfId="28056" xr:uid="{597F545D-615A-486B-A4A3-BCDE8BD26F3B}"/>
    <cellStyle name="Style 81 10 2 4" xfId="13357" xr:uid="{541C0EEF-BB3C-40CF-A106-F403A08DFFF2}"/>
    <cellStyle name="Style 81 10 2 4 2" xfId="32142" xr:uid="{B1FCDA95-FB36-4FB4-B715-204BE2F2CBBA}"/>
    <cellStyle name="Style 81 10 2 5" xfId="13358" xr:uid="{3803C797-476F-482A-80E5-FEF09C39B31F}"/>
    <cellStyle name="Style 81 10 2 5 2" xfId="32143" xr:uid="{09D38ED7-FE99-4E1C-97DF-AB6A59530BF3}"/>
    <cellStyle name="Style 81 10 2 6" xfId="13359" xr:uid="{0C3DB7A9-8702-4BDA-8191-259470345548}"/>
    <cellStyle name="Style 81 10 2 6 2" xfId="32144" xr:uid="{A84E40FB-EDA0-496C-AB30-7074AB35D1FE}"/>
    <cellStyle name="Style 81 10 2 7" xfId="13360" xr:uid="{E3B4C3A0-8518-40F9-A32E-4AA26399FA3A}"/>
    <cellStyle name="Style 81 10 2 7 2" xfId="32145" xr:uid="{79F20648-EF8C-4CB0-83BD-3D327ACCDCEA}"/>
    <cellStyle name="Style 81 10 2 8" xfId="13361" xr:uid="{47A550E5-E218-4278-9DE1-5D15D1816FDD}"/>
    <cellStyle name="Style 81 10 2 8 2" xfId="32146" xr:uid="{9AA549EF-4B52-4245-A494-BB05E79025F1}"/>
    <cellStyle name="Style 81 10 2 9" xfId="13362" xr:uid="{044FBB4E-32F3-42E4-8198-B8C56E571946}"/>
    <cellStyle name="Style 81 10 2 9 2" xfId="32147" xr:uid="{1D31466C-597E-411F-8EF6-0CB54D67D5D6}"/>
    <cellStyle name="Style 81 10 3" xfId="4206" xr:uid="{E569450B-503E-4B34-B070-03233555B387}"/>
    <cellStyle name="Style 81 10 3 2" xfId="6943" xr:uid="{1B372254-7777-49F4-8207-61FB653F6D40}"/>
    <cellStyle name="Style 81 10 3 2 2" xfId="28339" xr:uid="{844C4180-8230-4CFD-AE13-9C5DC77849B1}"/>
    <cellStyle name="Style 81 10 3 3" xfId="13363" xr:uid="{E1462521-7E25-4835-AFCE-76C8DEBCAB66}"/>
    <cellStyle name="Style 81 10 3 3 2" xfId="32148" xr:uid="{4AC45FE5-2C7A-4D21-B42B-C7A5F71980E4}"/>
    <cellStyle name="Style 81 10 4" xfId="6941" xr:uid="{12613B3F-309B-40E7-91E4-825D74B8DB81}"/>
    <cellStyle name="Style 81 10 4 2" xfId="13364" xr:uid="{782A7DBD-54C7-4B00-9ED2-CFFD77B181D1}"/>
    <cellStyle name="Style 81 10 4 2 2" xfId="32149" xr:uid="{A7D5B591-928D-4DFB-985C-958CF7A1DD53}"/>
    <cellStyle name="Style 81 10 5" xfId="13365" xr:uid="{7356655A-FD33-4B55-A2C1-94E214C3FCD1}"/>
    <cellStyle name="Style 81 10 5 2" xfId="13366" xr:uid="{0923309A-0765-448A-9F89-E173B1535039}"/>
    <cellStyle name="Style 81 10 5 2 2" xfId="32150" xr:uid="{41BBE0BB-FD5A-405C-98AE-8FCF5460ACD6}"/>
    <cellStyle name="Style 81 10 5 3" xfId="28055" xr:uid="{B3A6F590-12DA-4C1E-B167-DD645D9996F8}"/>
    <cellStyle name="Style 81 10 6" xfId="13367" xr:uid="{12D49443-F784-4F50-8BEC-78E27CCE331E}"/>
    <cellStyle name="Style 81 10 6 2" xfId="32151" xr:uid="{A6858358-1C0D-4C8C-8B0E-18796BA00244}"/>
    <cellStyle name="Style 81 10 7" xfId="13368" xr:uid="{7B1A753C-0D58-4800-A5E0-7D1EF15BFE95}"/>
    <cellStyle name="Style 81 10 7 2" xfId="32152" xr:uid="{51F23E86-1F04-45BE-94BD-26272E98640D}"/>
    <cellStyle name="Style 81 10 8" xfId="13369" xr:uid="{C1D236CA-017E-4B20-B412-B0321B8C1AFC}"/>
    <cellStyle name="Style 81 10 8 2" xfId="32153" xr:uid="{E1B7F58B-BE5A-4190-9D8D-1350C9CB41EB}"/>
    <cellStyle name="Style 81 10 9" xfId="13370" xr:uid="{7ED55474-AB52-4A79-BC13-EEAE11EAAE46}"/>
    <cellStyle name="Style 81 10 9 2" xfId="32154" xr:uid="{0A49FA74-29D3-438E-9599-ABFB4C232591}"/>
    <cellStyle name="Style 81 11" xfId="3431" xr:uid="{07F888F5-49F0-45A6-8703-B0B65182430A}"/>
    <cellStyle name="Style 81 11 10" xfId="13371" xr:uid="{24F87806-3147-4316-8C27-A8095703FCDF}"/>
    <cellStyle name="Style 81 11 10 2" xfId="32155" xr:uid="{DCE15E44-B67F-42AC-9E39-0566F52C07FD}"/>
    <cellStyle name="Style 81 11 11" xfId="13372" xr:uid="{B647B4E1-4B42-475D-8D80-79A2BF3AE7B9}"/>
    <cellStyle name="Style 81 11 11 2" xfId="32156" xr:uid="{ABC6CD50-FB45-479D-867B-39A7BB03C57E}"/>
    <cellStyle name="Style 81 11 12" xfId="13373" xr:uid="{31FDAEA0-0C24-4B30-AA6E-67614FD8470C}"/>
    <cellStyle name="Style 81 11 12 2" xfId="32157" xr:uid="{689D0312-6D95-4EFC-BC14-72B1612C3A1A}"/>
    <cellStyle name="Style 81 11 13" xfId="24028" xr:uid="{EB0886DC-B6CB-4A38-BCC7-899349E96BC1}"/>
    <cellStyle name="Style 81 11 2" xfId="3432" xr:uid="{C2815313-09D3-41D2-9763-75FCECCDD604}"/>
    <cellStyle name="Style 81 11 2 10" xfId="13374" xr:uid="{44BC6D96-B4A3-4013-ACF1-99AC980EBFE2}"/>
    <cellStyle name="Style 81 11 2 10 2" xfId="32158" xr:uid="{D3D53430-7D97-4024-A7D1-ACE7D8AD8182}"/>
    <cellStyle name="Style 81 11 2 2" xfId="6945" xr:uid="{B159D642-7F82-41BC-8B30-E28549270E64}"/>
    <cellStyle name="Style 81 11 2 2 2" xfId="13375" xr:uid="{52B19C1F-3D70-4973-8AEC-305F20BE2876}"/>
    <cellStyle name="Style 81 11 2 2 2 2" xfId="32159" xr:uid="{1D5B618A-C066-4468-AE64-852C147CDBB6}"/>
    <cellStyle name="Style 81 11 2 3" xfId="13376" xr:uid="{AB7C810D-1B2F-402B-BE45-DA5ECDF4A46A}"/>
    <cellStyle name="Style 81 11 2 3 2" xfId="13377" xr:uid="{E67F615F-E142-4942-9188-FD5875FD286D}"/>
    <cellStyle name="Style 81 11 2 3 2 2" xfId="32160" xr:uid="{CED67609-23EC-49A9-8620-6EE57E331355}"/>
    <cellStyle name="Style 81 11 2 3 3" xfId="28058" xr:uid="{DFCB4289-A64D-4AE3-9351-89E955B6E678}"/>
    <cellStyle name="Style 81 11 2 4" xfId="13378" xr:uid="{0FEA31F4-6276-45E8-8B48-3E1FBAFD6226}"/>
    <cellStyle name="Style 81 11 2 4 2" xfId="32161" xr:uid="{98D925BB-9892-4F14-8B0C-FFEDF84274B1}"/>
    <cellStyle name="Style 81 11 2 5" xfId="13379" xr:uid="{20E7978A-2DC5-42CD-88B2-C5D775BF9CA4}"/>
    <cellStyle name="Style 81 11 2 5 2" xfId="32162" xr:uid="{2393DFD7-2E91-4EBC-A211-7E3280521EC6}"/>
    <cellStyle name="Style 81 11 2 6" xfId="13380" xr:uid="{14B0FA62-8EED-4DF3-9596-78679E11A5E1}"/>
    <cellStyle name="Style 81 11 2 6 2" xfId="32163" xr:uid="{74FFEEBA-6D8E-403D-A39F-FCA2253836C4}"/>
    <cellStyle name="Style 81 11 2 7" xfId="13381" xr:uid="{65DDCD3D-FA9C-49DD-9F87-20C1575458AB}"/>
    <cellStyle name="Style 81 11 2 7 2" xfId="32164" xr:uid="{4C9DFC41-1045-4C0C-A390-C041F7E9C74A}"/>
    <cellStyle name="Style 81 11 2 8" xfId="13382" xr:uid="{D20AE7BF-5D4A-47FF-AFFF-2D5CB3B57E17}"/>
    <cellStyle name="Style 81 11 2 8 2" xfId="32165" xr:uid="{1A5069C1-EDE3-4875-837F-50B20918112E}"/>
    <cellStyle name="Style 81 11 2 9" xfId="13383" xr:uid="{A88F85A4-641F-4501-AF90-62BB63D75D9A}"/>
    <cellStyle name="Style 81 11 2 9 2" xfId="32166" xr:uid="{4A5511F5-AE6E-45B4-BE18-F6CBE5D73BD5}"/>
    <cellStyle name="Style 81 11 3" xfId="6946" xr:uid="{39FA1EB4-3016-47CE-B9E5-5B4ED3863D31}"/>
    <cellStyle name="Style 81 11 3 2" xfId="13384" xr:uid="{20609D9F-543D-4FFF-AD58-B572D938A6B8}"/>
    <cellStyle name="Style 81 11 3 2 2" xfId="32167" xr:uid="{AD620716-6ADE-4E20-82EF-4B47E150E538}"/>
    <cellStyle name="Style 81 11 4" xfId="6944" xr:uid="{DD5C80C3-35BA-40C1-8821-E342BE1F5808}"/>
    <cellStyle name="Style 81 11 4 2" xfId="13385" xr:uid="{D6974939-6B4D-47D2-917E-C3F73777E8AA}"/>
    <cellStyle name="Style 81 11 4 2 2" xfId="32168" xr:uid="{76107AEC-447B-4BB7-BB7E-33FAA8806450}"/>
    <cellStyle name="Style 81 11 5" xfId="13386" xr:uid="{30B6F7FB-92E7-443B-BBE2-E738B6128A7D}"/>
    <cellStyle name="Style 81 11 5 2" xfId="13387" xr:uid="{70E04BB7-9582-4759-A3A6-082045080F10}"/>
    <cellStyle name="Style 81 11 5 2 2" xfId="32169" xr:uid="{346C531F-5898-46CB-80BF-C1B38011B4BE}"/>
    <cellStyle name="Style 81 11 5 3" xfId="28057" xr:uid="{DE09BF93-2524-480C-A304-4C66D4272F6C}"/>
    <cellStyle name="Style 81 11 6" xfId="13388" xr:uid="{6717534D-F94C-4709-A71E-9E812CD902F6}"/>
    <cellStyle name="Style 81 11 6 2" xfId="32170" xr:uid="{37FAB3CC-622F-425D-A923-6242A5D04125}"/>
    <cellStyle name="Style 81 11 7" xfId="13389" xr:uid="{6093B355-0A36-469A-8534-303B64AF3934}"/>
    <cellStyle name="Style 81 11 7 2" xfId="32171" xr:uid="{D557F0A4-CA21-4D81-BC74-065938150B36}"/>
    <cellStyle name="Style 81 11 8" xfId="13390" xr:uid="{DF2E1974-EB61-48D7-82D7-CE350BBAF91F}"/>
    <cellStyle name="Style 81 11 8 2" xfId="32172" xr:uid="{AFCA2B39-1002-446D-891D-031DBE378DAF}"/>
    <cellStyle name="Style 81 11 9" xfId="13391" xr:uid="{FA9A3331-897C-4EE8-9F17-EF9E19030CC8}"/>
    <cellStyle name="Style 81 11 9 2" xfId="32173" xr:uid="{FEDB1C36-DCA6-4269-8332-453D13467676}"/>
    <cellStyle name="Style 81 12" xfId="3433" xr:uid="{9F2BF0CF-CCD0-49CC-B322-9B5DF17F5393}"/>
    <cellStyle name="Style 81 12 10" xfId="13392" xr:uid="{9BE05611-B01A-40E3-A8D2-889097005506}"/>
    <cellStyle name="Style 81 12 10 2" xfId="32174" xr:uid="{56F7CACC-600E-4FAB-9DEF-AD14F54D7424}"/>
    <cellStyle name="Style 81 12 11" xfId="13393" xr:uid="{A8AAE613-EB99-4CBB-AA9C-733A3E3CBBC9}"/>
    <cellStyle name="Style 81 12 11 2" xfId="32175" xr:uid="{2EAF6357-4C10-4BBA-9F5E-EA1C61BFD18C}"/>
    <cellStyle name="Style 81 12 12" xfId="13394" xr:uid="{D36F5612-C518-4738-930D-90FA7D3118CB}"/>
    <cellStyle name="Style 81 12 12 2" xfId="32176" xr:uid="{BC2BF388-81F3-4FAA-B5D9-DED473535CB0}"/>
    <cellStyle name="Style 81 12 13" xfId="13395" xr:uid="{8BE30332-5C8D-4627-B381-92B5983D3D00}"/>
    <cellStyle name="Style 81 12 13 2" xfId="32177" xr:uid="{A354552A-3AFD-4C11-874A-E0038932189B}"/>
    <cellStyle name="Style 81 12 2" xfId="6947" xr:uid="{1F7242F8-E7EF-424A-B947-0DFCE99352A0}"/>
    <cellStyle name="Style 81 12 2 2" xfId="13396" xr:uid="{583DFA98-1539-460D-B61B-4305FF894969}"/>
    <cellStyle name="Style 81 12 2 2 2" xfId="32178" xr:uid="{E01F9251-6606-4A35-99A5-DA04D3CBBF5D}"/>
    <cellStyle name="Style 81 12 2 3" xfId="13397" xr:uid="{C3413B3E-EC9A-4AFF-B2FE-2DE7542FBB92}"/>
    <cellStyle name="Style 81 12 2 3 2" xfId="32179" xr:uid="{9B2FD743-9AD7-4998-81F4-13868C37DAA5}"/>
    <cellStyle name="Style 81 12 2 4" xfId="13398" xr:uid="{EDD87208-9719-403D-B6D3-85CCF3AE76E9}"/>
    <cellStyle name="Style 81 12 2 4 2" xfId="32180" xr:uid="{701D5F1D-A8C1-48A2-BF1F-9E4B66CB6325}"/>
    <cellStyle name="Style 81 12 2 5" xfId="13399" xr:uid="{64E3F34C-32A4-4B82-8B5B-0816C6A87D90}"/>
    <cellStyle name="Style 81 12 2 5 2" xfId="32181" xr:uid="{22547722-3855-4EA6-90E9-87F893372809}"/>
    <cellStyle name="Style 81 12 2 6" xfId="13400" xr:uid="{9FF571CA-C85C-4768-9679-32C05BC7DBB5}"/>
    <cellStyle name="Style 81 12 2 6 2" xfId="32182" xr:uid="{E480FD89-CDA6-46A2-A070-27D82A70C63B}"/>
    <cellStyle name="Style 81 12 2 7" xfId="13401" xr:uid="{D21C36A3-A697-45A7-B7A4-809CDEE33740}"/>
    <cellStyle name="Style 81 12 2 7 2" xfId="32183" xr:uid="{C0D3A390-A462-4865-B513-6400B7A77D75}"/>
    <cellStyle name="Style 81 12 2 8" xfId="13402" xr:uid="{D9AF6B10-545A-46DD-A01E-AC1DE749F6C3}"/>
    <cellStyle name="Style 81 12 2 8 2" xfId="32184" xr:uid="{982D82C8-9C03-4F87-A3D3-5210DD19D98D}"/>
    <cellStyle name="Style 81 12 2 9" xfId="13403" xr:uid="{66D728A1-7AAD-415A-8F0E-B7EFFDBABE0F}"/>
    <cellStyle name="Style 81 12 2 9 2" xfId="32185" xr:uid="{11D04366-3745-42D2-9FAD-FF221DC5CDCC}"/>
    <cellStyle name="Style 81 12 3" xfId="13404" xr:uid="{DD35B39D-F340-4071-9525-40882E8C376A}"/>
    <cellStyle name="Style 81 12 3 10" xfId="28059" xr:uid="{F8B5694D-FF1A-4FA6-A049-9B4F725BDC44}"/>
    <cellStyle name="Style 81 12 3 2" xfId="13405" xr:uid="{3C65C6F5-01C8-4AB8-B65E-D185CA12ECF6}"/>
    <cellStyle name="Style 81 12 3 2 2" xfId="32186" xr:uid="{3CC1230A-627F-4016-A9CF-B15BEEE96DEE}"/>
    <cellStyle name="Style 81 12 3 3" xfId="13406" xr:uid="{8F4446D8-EAF5-40CB-9D11-7A723C6089A5}"/>
    <cellStyle name="Style 81 12 3 3 2" xfId="32187" xr:uid="{EA1F21E6-2005-4EF8-AD56-5B5B0A2CAAF7}"/>
    <cellStyle name="Style 81 12 3 4" xfId="13407" xr:uid="{EF56F621-B304-4C3B-AADE-D1D50BF84048}"/>
    <cellStyle name="Style 81 12 3 4 2" xfId="32188" xr:uid="{EC143D5C-2A03-44B6-BACB-A3AE0A8F02F1}"/>
    <cellStyle name="Style 81 12 3 5" xfId="13408" xr:uid="{BFD8F891-067B-4FBE-9951-7071278DCE81}"/>
    <cellStyle name="Style 81 12 3 5 2" xfId="32189" xr:uid="{0726B762-7588-49C3-A2C9-5EAAD145F779}"/>
    <cellStyle name="Style 81 12 3 6" xfId="13409" xr:uid="{A69239D7-6574-451D-8B7B-679DC1AE0D2F}"/>
    <cellStyle name="Style 81 12 3 6 2" xfId="32190" xr:uid="{D7D2C48B-2116-4D01-AD9A-41043D155DF0}"/>
    <cellStyle name="Style 81 12 3 7" xfId="13410" xr:uid="{9386E96F-B190-4FA0-A5C9-44ED420D0854}"/>
    <cellStyle name="Style 81 12 3 7 2" xfId="32191" xr:uid="{60C74E1D-F363-4557-833C-2DF4B315CFAD}"/>
    <cellStyle name="Style 81 12 3 8" xfId="13411" xr:uid="{D210AC09-0B75-4EDB-B496-F3FB84A3A7A7}"/>
    <cellStyle name="Style 81 12 3 8 2" xfId="32192" xr:uid="{D129EFDA-9503-4F1A-9994-7C5E33E2A145}"/>
    <cellStyle name="Style 81 12 3 9" xfId="13412" xr:uid="{C92F2901-AD2E-4808-92FC-A0128D312F13}"/>
    <cellStyle name="Style 81 12 3 9 2" xfId="32193" xr:uid="{9DA07D83-74EB-4FCA-B7EC-E44EF4AB7C45}"/>
    <cellStyle name="Style 81 12 4" xfId="13413" xr:uid="{ADB95C98-6006-4F86-9DF4-4C16749653D3}"/>
    <cellStyle name="Style 81 12 4 2" xfId="13414" xr:uid="{E225058D-B3B5-4AA5-92CA-552E817A4310}"/>
    <cellStyle name="Style 81 12 4 2 2" xfId="32195" xr:uid="{8979B03D-4089-4039-B40F-B052CD0AADE0}"/>
    <cellStyle name="Style 81 12 4 3" xfId="13415" xr:uid="{814BA9E0-03C5-42F6-B15B-0C14BA70C3E8}"/>
    <cellStyle name="Style 81 12 4 3 2" xfId="32196" xr:uid="{2844AC4D-E90C-4193-BD13-9B5E0ADDA8CD}"/>
    <cellStyle name="Style 81 12 4 4" xfId="13416" xr:uid="{376B2EF2-0DF0-46FB-9A72-E598DE38BD05}"/>
    <cellStyle name="Style 81 12 4 4 2" xfId="32197" xr:uid="{F9A186C8-354C-4AC1-B638-8B1D407E7E64}"/>
    <cellStyle name="Style 81 12 4 5" xfId="13417" xr:uid="{2CCF54DA-95E1-4FA1-80A4-0331D8000514}"/>
    <cellStyle name="Style 81 12 4 5 2" xfId="32198" xr:uid="{DA8B9EDF-706C-449F-A563-E48F312CE2F6}"/>
    <cellStyle name="Style 81 12 4 6" xfId="13418" xr:uid="{8F93EA47-954E-498C-A3C8-0175AD26528F}"/>
    <cellStyle name="Style 81 12 4 6 2" xfId="32199" xr:uid="{75AE4793-3964-4AF9-88FE-A8715A29FB43}"/>
    <cellStyle name="Style 81 12 4 7" xfId="32194" xr:uid="{3A569A72-0CAA-4918-9985-0A0A6CC43392}"/>
    <cellStyle name="Style 81 12 5" xfId="13419" xr:uid="{0DFD291E-558F-4D4F-BF48-CB07B402FD8B}"/>
    <cellStyle name="Style 81 12 5 2" xfId="32200" xr:uid="{12A42B1B-166F-4C39-8343-EA6700510A6F}"/>
    <cellStyle name="Style 81 12 6" xfId="13420" xr:uid="{34BBFD6B-F747-4F99-BCC8-FE36FFC55FB2}"/>
    <cellStyle name="Style 81 12 6 2" xfId="32201" xr:uid="{F3C9E3C5-147A-4B5C-B598-5C81090AB44B}"/>
    <cellStyle name="Style 81 12 7" xfId="13421" xr:uid="{06779478-EE3A-4840-B203-D818E2A1B685}"/>
    <cellStyle name="Style 81 12 7 2" xfId="32202" xr:uid="{626DF2DF-C0BA-47C7-BD53-6D7BE4C663F5}"/>
    <cellStyle name="Style 81 12 8" xfId="13422" xr:uid="{644C645D-DD54-4AE6-ADBE-542AE1D36827}"/>
    <cellStyle name="Style 81 12 8 2" xfId="32203" xr:uid="{80633B6E-3843-49C6-8E08-BEB0522DF80F}"/>
    <cellStyle name="Style 81 12 9" xfId="13423" xr:uid="{01626695-4CAD-4AF3-9E1E-347E85DC0693}"/>
    <cellStyle name="Style 81 12 9 2" xfId="32204" xr:uid="{839DFC2D-7806-4540-931B-865B78DBBC71}"/>
    <cellStyle name="Style 81 13" xfId="6948" xr:uid="{E034F234-ADAA-4A07-A857-D6C294C6E57E}"/>
    <cellStyle name="Style 81 13 2" xfId="13424" xr:uid="{B1C4E076-078F-4BA2-B950-ED8749A000E1}"/>
    <cellStyle name="Style 81 13 2 2" xfId="32205" xr:uid="{09D68CED-9DF4-4E92-8A30-BE4E18463C7F}"/>
    <cellStyle name="Style 81 13 3" xfId="13425" xr:uid="{86CAD695-8646-483D-847A-0AA5C3154217}"/>
    <cellStyle name="Style 81 13 3 2" xfId="32206" xr:uid="{F6DD4A55-9687-41FC-B604-271CCE48D64A}"/>
    <cellStyle name="Style 81 13 4" xfId="13426" xr:uid="{FAFCBC7B-0085-4BEB-BF4C-0E6922A9DC0C}"/>
    <cellStyle name="Style 81 13 4 2" xfId="32207" xr:uid="{497F14AB-D72B-4D20-863C-F33FA5B47A04}"/>
    <cellStyle name="Style 81 13 5" xfId="13427" xr:uid="{A377EED3-B61F-4109-A375-84A7DE129EBF}"/>
    <cellStyle name="Style 81 13 5 2" xfId="32208" xr:uid="{87EB7141-927A-4090-BCFD-BA2FC08FD6F8}"/>
    <cellStyle name="Style 81 13 6" xfId="13428" xr:uid="{AE56EE68-5366-4A0C-A94A-FA121B7D3EFE}"/>
    <cellStyle name="Style 81 13 6 2" xfId="32209" xr:uid="{51176F7E-D296-49EC-9050-461476A35264}"/>
    <cellStyle name="Style 81 13 7" xfId="13429" xr:uid="{997F25DC-9CE8-4F48-8210-76564D0616C5}"/>
    <cellStyle name="Style 81 13 7 2" xfId="32210" xr:uid="{DA3AC91D-DBAF-4A14-815A-3B486C8CCCC9}"/>
    <cellStyle name="Style 81 13 8" xfId="13430" xr:uid="{E206C8A2-E4E9-4A19-B176-7B8BD8A63F22}"/>
    <cellStyle name="Style 81 13 8 2" xfId="32211" xr:uid="{493A4F04-FC59-4600-98E1-87012F4E6EC5}"/>
    <cellStyle name="Style 81 13 9" xfId="13431" xr:uid="{9C8C7CC3-8025-40AE-A762-DA11DD0656AA}"/>
    <cellStyle name="Style 81 13 9 2" xfId="32212" xr:uid="{0A7FA5E2-D3B2-4011-BE9D-D42CADDD5624}"/>
    <cellStyle name="Style 81 14" xfId="6940" xr:uid="{5878EACC-D1C8-4C3F-98E6-20EE0ED0AF8A}"/>
    <cellStyle name="Style 81 14 2" xfId="13432" xr:uid="{9B5C6AC4-9627-4FC6-83D8-8480FAC9E969}"/>
    <cellStyle name="Style 81 14 2 2" xfId="32213" xr:uid="{E7E7F093-2067-458D-8647-D3DDA328D91B}"/>
    <cellStyle name="Style 81 14 3" xfId="13433" xr:uid="{B10B892C-5ECA-44AD-8C68-D817D7B78564}"/>
    <cellStyle name="Style 81 14 3 2" xfId="32214" xr:uid="{86A1ECF3-3A95-419D-9926-01EA59A8845B}"/>
    <cellStyle name="Style 81 14 4" xfId="13434" xr:uid="{E8C4203E-23E7-4F50-862D-F95CFAFB6834}"/>
    <cellStyle name="Style 81 14 4 2" xfId="32215" xr:uid="{1DF663FE-3F2B-41B7-A737-B9498F0C9ACD}"/>
    <cellStyle name="Style 81 14 5" xfId="13435" xr:uid="{895B294D-DB93-4B5E-AB8A-F4EE16D441AB}"/>
    <cellStyle name="Style 81 14 5 2" xfId="32216" xr:uid="{FDEB0AD7-78B9-4D98-988A-E54DE081C891}"/>
    <cellStyle name="Style 81 14 6" xfId="13436" xr:uid="{CE42AE72-821D-4167-916F-802A24811EDA}"/>
    <cellStyle name="Style 81 14 6 2" xfId="32217" xr:uid="{17F01309-8F62-4442-B392-9FA35D87E949}"/>
    <cellStyle name="Style 81 14 7" xfId="13437" xr:uid="{A4DB4560-8656-47E4-A25B-2F93F0542ADD}"/>
    <cellStyle name="Style 81 14 7 2" xfId="32218" xr:uid="{4259A5CA-0C57-4C00-BD27-200419CA66F1}"/>
    <cellStyle name="Style 81 14 8" xfId="13438" xr:uid="{F3DA1875-E2E3-4091-B4D4-47B73AEBA757}"/>
    <cellStyle name="Style 81 14 8 2" xfId="32219" xr:uid="{6131DE6A-A4F9-4205-B3FE-19558D956259}"/>
    <cellStyle name="Style 81 14 9" xfId="13439" xr:uid="{59B350D8-CB58-4354-892F-6F11D966F20B}"/>
    <cellStyle name="Style 81 14 9 2" xfId="32220" xr:uid="{02A763B4-B092-44B7-A7D4-36077509ED99}"/>
    <cellStyle name="Style 81 15" xfId="13440" xr:uid="{3654A33D-006F-461D-A116-46EFA56E7D0C}"/>
    <cellStyle name="Style 81 15 2" xfId="13441" xr:uid="{7DDF981A-8995-4300-A2E6-200F1DB3789F}"/>
    <cellStyle name="Style 81 15 2 2" xfId="32221" xr:uid="{BC8E9072-1E35-494C-B526-E53F268E7B74}"/>
    <cellStyle name="Style 81 15 3" xfId="13442" xr:uid="{A5E66D66-4552-49C6-9630-2608EFB61199}"/>
    <cellStyle name="Style 81 15 3 2" xfId="32222" xr:uid="{3D3B95D8-4D15-45D5-B63A-000114621FF4}"/>
    <cellStyle name="Style 81 15 4" xfId="13443" xr:uid="{04F6591A-E09B-48EA-B478-84AC3DA835F2}"/>
    <cellStyle name="Style 81 15 4 2" xfId="32223" xr:uid="{D66A7178-7F54-4FD5-88EA-4BFB1EE4F57A}"/>
    <cellStyle name="Style 81 15 5" xfId="13444" xr:uid="{15E96161-2EE6-4D43-A2F1-6B9D2040D1DB}"/>
    <cellStyle name="Style 81 15 5 2" xfId="32224" xr:uid="{FE6F0B4E-E087-49EA-9DC9-245D425FF882}"/>
    <cellStyle name="Style 81 15 6" xfId="13445" xr:uid="{A7C6F286-41B9-41DF-9406-E12F8CB8BA5C}"/>
    <cellStyle name="Style 81 15 6 2" xfId="32225" xr:uid="{549177A5-E2A2-4032-B8CE-D829C380EC4A}"/>
    <cellStyle name="Style 81 15 7" xfId="13446" xr:uid="{0E772C63-A0FB-4BD2-83DE-9849883CF760}"/>
    <cellStyle name="Style 81 15 7 2" xfId="32226" xr:uid="{E2D41F33-D629-49AA-A089-17582F093AF4}"/>
    <cellStyle name="Style 81 15 8" xfId="26701" xr:uid="{09CEDB96-F92D-433E-B3C7-A3F360111209}"/>
    <cellStyle name="Style 81 16" xfId="13447" xr:uid="{6D9A3422-A09B-4A65-8DC9-222E2A778EC0}"/>
    <cellStyle name="Style 81 16 2" xfId="32227" xr:uid="{647399A4-8EA4-4160-A4CB-D43C0DC4B043}"/>
    <cellStyle name="Style 81 17" xfId="13448" xr:uid="{CE236876-A077-48A6-B414-90D0D6B080C5}"/>
    <cellStyle name="Style 81 17 2" xfId="32228" xr:uid="{355BF31B-367B-4D33-85F1-0D77F18C1AB5}"/>
    <cellStyle name="Style 81 18" xfId="13449" xr:uid="{7653BC84-217F-4BC3-9FA2-1E3F2012E1D2}"/>
    <cellStyle name="Style 81 18 2" xfId="32229" xr:uid="{35BDC999-88D7-47FD-8647-EE7DF49ED59D}"/>
    <cellStyle name="Style 81 19" xfId="13450" xr:uid="{51242D32-C236-41D2-B492-C45A3525E33E}"/>
    <cellStyle name="Style 81 19 2" xfId="32230" xr:uid="{980B3BB7-9AD4-41F5-B99F-ADA0AD9B3B86}"/>
    <cellStyle name="Style 81 2" xfId="3434" xr:uid="{47F115E5-AD51-411D-9FBF-F8BB9400982E}"/>
    <cellStyle name="Style 81 2 10" xfId="13451" xr:uid="{4C7C6735-A536-44A5-A717-22AD036EF059}"/>
    <cellStyle name="Style 81 2 10 2" xfId="32231" xr:uid="{A7395DB7-A14E-415B-A3CB-85005DF5B0C6}"/>
    <cellStyle name="Style 81 2 11" xfId="13452" xr:uid="{6E875398-BED2-4865-B0D0-4951BFF94BF6}"/>
    <cellStyle name="Style 81 2 11 2" xfId="32232" xr:uid="{7146E9DD-8AD5-4F4E-867A-7DBFB3054F97}"/>
    <cellStyle name="Style 81 2 12" xfId="24029" xr:uid="{558144BC-F279-4588-A4B0-F6D69B93A67F}"/>
    <cellStyle name="Style 81 2 2" xfId="6950" xr:uid="{60059A83-13B2-4122-A3B7-216987469E0D}"/>
    <cellStyle name="Style 81 2 2 2" xfId="13453" xr:uid="{210544D0-4E32-43E9-9C50-1DD9E77D78A3}"/>
    <cellStyle name="Style 81 2 2 2 2" xfId="32233" xr:uid="{0A3A32EA-0C0D-4C7B-BEF4-57D6B5505751}"/>
    <cellStyle name="Style 81 2 3" xfId="6949" xr:uid="{98B79E39-98B6-4564-9512-63ACA1D34E5D}"/>
    <cellStyle name="Style 81 2 3 2" xfId="13454" xr:uid="{5A491CD3-B33A-4BBD-838A-894CEAFE3452}"/>
    <cellStyle name="Style 81 2 3 2 2" xfId="32234" xr:uid="{8471D84C-1861-48B7-858B-7E121D67D8B6}"/>
    <cellStyle name="Style 81 2 4" xfId="4440" xr:uid="{70068900-D614-45E8-AA1E-87F1F890F376}"/>
    <cellStyle name="Style 81 2 4 2" xfId="13455" xr:uid="{3147D249-E4F1-4EBC-B789-7559FD66407A}"/>
    <cellStyle name="Style 81 2 4 2 2" xfId="32235" xr:uid="{9E6746ED-893F-4360-B4C2-0E030325DE4F}"/>
    <cellStyle name="Style 81 2 4 3" xfId="26702" xr:uid="{842B42F3-A46E-4852-8FDC-D56A19141D0A}"/>
    <cellStyle name="Style 81 2 5" xfId="13456" xr:uid="{D3F2EBF7-A154-4ACD-ADFE-39E084253667}"/>
    <cellStyle name="Style 81 2 5 2" xfId="32236" xr:uid="{EB13AABB-B1A9-443B-A3C2-E3B7EC4ED07F}"/>
    <cellStyle name="Style 81 2 6" xfId="13457" xr:uid="{C4156F08-B99C-4652-8586-6FAE69F18CEB}"/>
    <cellStyle name="Style 81 2 6 2" xfId="32237" xr:uid="{8263B7D7-2BA9-442B-8636-58AF21EC6ABE}"/>
    <cellStyle name="Style 81 2 7" xfId="13458" xr:uid="{2426CDE1-1675-4167-AC23-096B384268BE}"/>
    <cellStyle name="Style 81 2 7 2" xfId="32238" xr:uid="{3B59C787-8966-4673-B0D8-F1ED0F6D8AD6}"/>
    <cellStyle name="Style 81 2 8" xfId="13459" xr:uid="{2E885748-6425-4237-88FD-1B0447DBEA53}"/>
    <cellStyle name="Style 81 2 8 2" xfId="32239" xr:uid="{89CA3103-6771-43C1-90B5-397457C67194}"/>
    <cellStyle name="Style 81 2 9" xfId="13460" xr:uid="{B06A7E17-214C-4819-B5E7-10B0D6A31798}"/>
    <cellStyle name="Style 81 2 9 2" xfId="32240" xr:uid="{8B2A7586-57A1-4D5D-9005-762D345CDB71}"/>
    <cellStyle name="Style 81 20" xfId="13461" xr:uid="{FF99634F-D86E-4A38-8864-1F138F4F29E8}"/>
    <cellStyle name="Style 81 20 2" xfId="32241" xr:uid="{B9D3506A-10B3-427D-9714-EFC460247DEF}"/>
    <cellStyle name="Style 81 21" xfId="13462" xr:uid="{BEECD296-3AC4-4914-B08E-10075C7A0BE6}"/>
    <cellStyle name="Style 81 21 2" xfId="32242" xr:uid="{3A4B9B80-7080-4F7A-909A-35BF9BDEF4C3}"/>
    <cellStyle name="Style 81 22" xfId="13463" xr:uid="{E3967141-EB10-4473-97C7-289635B1522F}"/>
    <cellStyle name="Style 81 22 2" xfId="32243" xr:uid="{2CF1BA5B-2DCE-43E0-9AF1-CF59F24D9474}"/>
    <cellStyle name="Style 81 23" xfId="13464" xr:uid="{D9F96CC2-0B6D-4A1F-8202-8A1140E53452}"/>
    <cellStyle name="Style 81 23 2" xfId="32244" xr:uid="{E80FCE5C-1412-40A0-B0E7-C3E233DFEAF9}"/>
    <cellStyle name="Style 81 24" xfId="13465" xr:uid="{1787BF86-3EDD-47D7-8299-5A3D88DA0940}"/>
    <cellStyle name="Style 81 24 2" xfId="32245" xr:uid="{EBE008E2-19C1-4C3E-B0DB-1BC19442E222}"/>
    <cellStyle name="Style 81 25" xfId="24026" xr:uid="{7E6495BA-2508-4C80-AC8A-939C66E2BE64}"/>
    <cellStyle name="Style 81 3" xfId="3435" xr:uid="{2BCD9E71-4AC4-4419-BF25-D4DB94B7C405}"/>
    <cellStyle name="Style 81 3 10" xfId="13466" xr:uid="{F760E85C-0987-426B-9641-14FF43152720}"/>
    <cellStyle name="Style 81 3 10 2" xfId="32246" xr:uid="{2AA90E3D-E9AF-4D3A-8055-43CF40568638}"/>
    <cellStyle name="Style 81 3 11" xfId="13467" xr:uid="{5AE83D0C-D8BE-4BDC-A2D9-736AB9FF068D}"/>
    <cellStyle name="Style 81 3 11 2" xfId="32247" xr:uid="{AD8A7336-6411-4234-B0E0-4DA239089420}"/>
    <cellStyle name="Style 81 3 12" xfId="13468" xr:uid="{5645C0E3-44FF-4F92-9ECF-BC1E70DE857E}"/>
    <cellStyle name="Style 81 3 12 2" xfId="32248" xr:uid="{E563D04E-A1AA-40A9-87A6-C45B10FF7F36}"/>
    <cellStyle name="Style 81 3 13" xfId="13469" xr:uid="{CA36B8E8-0339-497E-97A0-6326E02D1F86}"/>
    <cellStyle name="Style 81 3 13 2" xfId="32249" xr:uid="{EF9F3C31-EE20-4D4F-BD7B-CF5CDD7BD768}"/>
    <cellStyle name="Style 81 3 14" xfId="13470" xr:uid="{5A9E1E76-AC7C-4B82-A3CF-DE59DD4B9BB1}"/>
    <cellStyle name="Style 81 3 14 2" xfId="32250" xr:uid="{0815E1BD-B3A3-4E80-AE27-134620D7BB41}"/>
    <cellStyle name="Style 81 3 15" xfId="13471" xr:uid="{B04E1DD8-4225-47B1-996F-F843767DBC88}"/>
    <cellStyle name="Style 81 3 15 2" xfId="32251" xr:uid="{39D2CF3B-3132-4E3C-AB75-E0AE049BAB7D}"/>
    <cellStyle name="Style 81 3 16" xfId="24030" xr:uid="{9287135F-423A-465B-BFB1-0D25517FB6C3}"/>
    <cellStyle name="Style 81 3 2" xfId="3436" xr:uid="{F2AF5DC1-BD5A-48A1-ABCC-BE637DDC48DD}"/>
    <cellStyle name="Style 81 3 2 10" xfId="13472" xr:uid="{7E24930B-0C0F-478B-9CE3-2EF2227433E6}"/>
    <cellStyle name="Style 81 3 2 10 2" xfId="32252" xr:uid="{D18C208E-3F3D-488D-96B0-242405B9786B}"/>
    <cellStyle name="Style 81 3 2 11" xfId="13473" xr:uid="{DA00655D-A508-4CAA-9C50-1DCA3BBDB548}"/>
    <cellStyle name="Style 81 3 2 11 2" xfId="32253" xr:uid="{0F261049-EB13-494E-ABA9-53570C7FA9E1}"/>
    <cellStyle name="Style 81 3 2 12" xfId="13474" xr:uid="{F11B1E22-ED76-4BBC-B681-ACB11B65B542}"/>
    <cellStyle name="Style 81 3 2 12 2" xfId="32254" xr:uid="{5D8857A2-9077-4A34-AE9A-0C3AE92DB0E3}"/>
    <cellStyle name="Style 81 3 2 13" xfId="24031" xr:uid="{68DC7060-CEB9-4085-BE4B-ABA77E0150E9}"/>
    <cellStyle name="Style 81 3 2 2" xfId="3437" xr:uid="{1FD0A631-97E9-48DB-A3DB-38F30F877B21}"/>
    <cellStyle name="Style 81 3 2 2 10" xfId="13475" xr:uid="{634D6EE0-64AA-452F-92C2-8235365A04D2}"/>
    <cellStyle name="Style 81 3 2 2 10 2" xfId="32255" xr:uid="{6526A022-0711-4C75-9EA1-F98E1F34B981}"/>
    <cellStyle name="Style 81 3 2 2 11" xfId="13476" xr:uid="{DF0BBB59-5D47-4E35-967C-B4EDFF146BEB}"/>
    <cellStyle name="Style 81 3 2 2 11 2" xfId="32256" xr:uid="{E6C07280-A1FE-4017-8D15-BF1CBA10A44D}"/>
    <cellStyle name="Style 81 3 2 2 12" xfId="24032" xr:uid="{874B5AD1-2C5A-41C2-8CE3-CCE1A1ABD8B0}"/>
    <cellStyle name="Style 81 3 2 2 2" xfId="6954" xr:uid="{66AC84E6-26E2-4E53-B7F7-EA79CA2591DB}"/>
    <cellStyle name="Style 81 3 2 2 2 2" xfId="13477" xr:uid="{8BD4CDF8-9C2D-4E19-A256-DAE2C57E680D}"/>
    <cellStyle name="Style 81 3 2 2 2 2 2" xfId="32257" xr:uid="{5D8A7CA3-362D-445A-AE9C-B251F6488300}"/>
    <cellStyle name="Style 81 3 2 2 3" xfId="6953" xr:uid="{4660CA62-EA76-4910-9873-6F8DBC4B2036}"/>
    <cellStyle name="Style 81 3 2 2 3 2" xfId="13478" xr:uid="{D9CD5B7B-CEC5-43C4-AFEA-09738125AA3B}"/>
    <cellStyle name="Style 81 3 2 2 3 2 2" xfId="32258" xr:uid="{B5DD737B-7908-484F-9DFB-F508C4371126}"/>
    <cellStyle name="Style 81 3 2 2 4" xfId="13479" xr:uid="{8CBA0044-29C9-4B00-8513-719069C01320}"/>
    <cellStyle name="Style 81 3 2 2 4 2" xfId="13480" xr:uid="{D5FD9638-C2F7-4500-A17E-12C946F161E3}"/>
    <cellStyle name="Style 81 3 2 2 4 2 2" xfId="32259" xr:uid="{45A35AD8-A1DD-4839-8359-C04C00FBA8B3}"/>
    <cellStyle name="Style 81 3 2 2 4 3" xfId="28060" xr:uid="{13D2018B-26CF-429C-AC9D-03874FDEA0DD}"/>
    <cellStyle name="Style 81 3 2 2 5" xfId="13481" xr:uid="{DFAFBE78-F1E1-421D-ACAA-8DC240BC7015}"/>
    <cellStyle name="Style 81 3 2 2 5 2" xfId="32260" xr:uid="{A40CB60D-93D7-4432-AAA5-D1A6CEA350EB}"/>
    <cellStyle name="Style 81 3 2 2 6" xfId="13482" xr:uid="{DC862F42-96E4-4EA6-A71F-A44318480C46}"/>
    <cellStyle name="Style 81 3 2 2 6 2" xfId="32261" xr:uid="{F9D6D41C-94EF-4800-A968-C1B769A10A54}"/>
    <cellStyle name="Style 81 3 2 2 7" xfId="13483" xr:uid="{B46B0C54-D5B6-4399-9F6A-0C013CBBCD4E}"/>
    <cellStyle name="Style 81 3 2 2 7 2" xfId="32262" xr:uid="{39256929-1A38-4A0A-B2C9-26F430FC6A5A}"/>
    <cellStyle name="Style 81 3 2 2 8" xfId="13484" xr:uid="{E613A3D8-9DAD-48D2-82EF-55DFA8A3319C}"/>
    <cellStyle name="Style 81 3 2 2 8 2" xfId="32263" xr:uid="{C83B3D07-AE72-4395-A0D5-159376314AD2}"/>
    <cellStyle name="Style 81 3 2 2 9" xfId="13485" xr:uid="{BFD57AE3-D0B5-4B5C-A199-91692191DC59}"/>
    <cellStyle name="Style 81 3 2 2 9 2" xfId="32264" xr:uid="{4AB51D40-E556-49C2-8D64-E674F8AD6A03}"/>
    <cellStyle name="Style 81 3 2 3" xfId="6955" xr:uid="{705F10B1-A153-4B8D-9D86-833E4CE74812}"/>
    <cellStyle name="Style 81 3 2 3 2" xfId="13486" xr:uid="{F0173460-A182-466B-B1FC-93FDB11BE02D}"/>
    <cellStyle name="Style 81 3 2 3 2 2" xfId="32265" xr:uid="{8ABD5C40-9869-4704-AB7E-E18DCF945C4C}"/>
    <cellStyle name="Style 81 3 2 4" xfId="6952" xr:uid="{424103E5-AABA-479A-AE81-304C99EFCF0C}"/>
    <cellStyle name="Style 81 3 2 4 2" xfId="13487" xr:uid="{ED38378B-8DF1-48AA-8901-8AF85D4BA323}"/>
    <cellStyle name="Style 81 3 2 4 2 2" xfId="32266" xr:uid="{8AF44E24-C141-44A3-BC8E-72345E091A66}"/>
    <cellStyle name="Style 81 3 2 5" xfId="4442" xr:uid="{B8811C4B-8A86-40D2-9AFD-D1281D8C764B}"/>
    <cellStyle name="Style 81 3 2 5 2" xfId="13488" xr:uid="{3AF0DB9F-368B-4182-B62A-C6B20E42386A}"/>
    <cellStyle name="Style 81 3 2 5 2 2" xfId="32267" xr:uid="{06A0B9EE-CEAF-4F73-97DF-15AD97B6302D}"/>
    <cellStyle name="Style 81 3 2 5 3" xfId="26704" xr:uid="{4450FACF-88CE-47CF-BF6F-AD97A57A9027}"/>
    <cellStyle name="Style 81 3 2 6" xfId="13489" xr:uid="{E7A96F80-21C2-4112-A463-6C2CE8C43851}"/>
    <cellStyle name="Style 81 3 2 6 2" xfId="32268" xr:uid="{21781D17-CF47-45F9-9BE0-4BC05E5AA3AC}"/>
    <cellStyle name="Style 81 3 2 7" xfId="13490" xr:uid="{6FD8B17B-C3CA-4558-825D-6E87E8FD6B41}"/>
    <cellStyle name="Style 81 3 2 7 2" xfId="32269" xr:uid="{E7F71466-1203-4227-BD2A-040C868A026A}"/>
    <cellStyle name="Style 81 3 2 8" xfId="13491" xr:uid="{3E4C9A34-18C6-4C9C-B09E-ECD95706AD53}"/>
    <cellStyle name="Style 81 3 2 8 2" xfId="32270" xr:uid="{0DF8B696-F051-45A1-A8FA-3B0FFBAE3692}"/>
    <cellStyle name="Style 81 3 2 9" xfId="13492" xr:uid="{3D54CBCA-4905-4AB4-A55A-7AD27519F167}"/>
    <cellStyle name="Style 81 3 2 9 2" xfId="32271" xr:uid="{90556AA4-3E6F-4D99-BBFC-67B83620F210}"/>
    <cellStyle name="Style 81 3 3" xfId="3438" xr:uid="{2ABDFDC3-D417-41E6-85DE-3F37B39FD89F}"/>
    <cellStyle name="Style 81 3 3 10" xfId="13493" xr:uid="{6AD1F705-4629-4005-83A5-E0A20EFFCEF5}"/>
    <cellStyle name="Style 81 3 3 10 2" xfId="32272" xr:uid="{276DE8E9-80C0-43BB-AD7C-F053006D7B22}"/>
    <cellStyle name="Style 81 3 3 11" xfId="13494" xr:uid="{6FBEBFEB-09BD-4122-AC81-D9E1FE8ACD4E}"/>
    <cellStyle name="Style 81 3 3 11 2" xfId="32273" xr:uid="{618360C3-1F14-4EED-81C3-4E5CE0DF7013}"/>
    <cellStyle name="Style 81 3 3 12" xfId="13495" xr:uid="{E05791EB-F3AE-41F4-8815-4DFE9A0F2A99}"/>
    <cellStyle name="Style 81 3 3 12 2" xfId="32274" xr:uid="{5FF62D9B-AEFB-4B23-94BE-73291E2BDBD1}"/>
    <cellStyle name="Style 81 3 3 13" xfId="13496" xr:uid="{DC8B98EA-3F88-4D6D-BDB8-219480E7187A}"/>
    <cellStyle name="Style 81 3 3 13 2" xfId="32275" xr:uid="{3D2D56A5-04E9-4FB8-B51F-EF317CC304E7}"/>
    <cellStyle name="Style 81 3 3 14" xfId="13497" xr:uid="{220EB32E-CEDD-4A0A-8718-9A11C6393A92}"/>
    <cellStyle name="Style 81 3 3 14 2" xfId="32276" xr:uid="{6A385CF5-B3FD-42CA-94CF-078AADAB4254}"/>
    <cellStyle name="Style 81 3 3 15" xfId="13498" xr:uid="{A4F65295-A228-45BD-8695-E198C62F71AC}"/>
    <cellStyle name="Style 81 3 3 15 2" xfId="32277" xr:uid="{B211B33F-2FA3-4FE4-A719-24EC28A60930}"/>
    <cellStyle name="Style 81 3 3 16" xfId="24033" xr:uid="{941551E8-8A30-4ED8-9DE9-4AF86984F37E}"/>
    <cellStyle name="Style 81 3 3 2" xfId="3439" xr:uid="{9F2FC313-AFF7-4164-8C84-A589F739E158}"/>
    <cellStyle name="Style 81 3 3 2 10" xfId="13499" xr:uid="{947325E8-67D7-4FFD-9242-E987FB403E0E}"/>
    <cellStyle name="Style 81 3 3 2 10 2" xfId="32278" xr:uid="{F6C65221-9DAD-44E9-9D78-F04ECA620BD4}"/>
    <cellStyle name="Style 81 3 3 2 11" xfId="13500" xr:uid="{90C70C57-910C-425F-97A1-1E8E447DBB9D}"/>
    <cellStyle name="Style 81 3 3 2 11 2" xfId="32279" xr:uid="{8822A507-2609-41A2-8B98-99D07C2BA47D}"/>
    <cellStyle name="Style 81 3 3 2 12" xfId="24034" xr:uid="{912D62FC-5C42-4068-B822-8FFE023B83CA}"/>
    <cellStyle name="Style 81 3 3 2 2" xfId="6958" xr:uid="{8F272494-6739-4406-8409-E680205FCB24}"/>
    <cellStyle name="Style 81 3 3 2 2 2" xfId="13501" xr:uid="{047AFDB9-4C0B-4D4B-82FF-BA187447DF36}"/>
    <cellStyle name="Style 81 3 3 2 2 2 2" xfId="32280" xr:uid="{2BA5C44C-D08E-4266-9EDD-F52FF98B8672}"/>
    <cellStyle name="Style 81 3 3 2 3" xfId="6957" xr:uid="{69E8C43B-D6B3-4CE5-BC5A-79067C3EA37E}"/>
    <cellStyle name="Style 81 3 3 2 3 2" xfId="13502" xr:uid="{4A7F9D2E-FFD5-409B-A579-627BC408DB0B}"/>
    <cellStyle name="Style 81 3 3 2 3 2 2" xfId="32281" xr:uid="{1E408EFB-0B9C-450B-8B0F-7186FE009EA5}"/>
    <cellStyle name="Style 81 3 3 2 4" xfId="13503" xr:uid="{CC971CD6-D84A-4BDF-A411-084896A29D08}"/>
    <cellStyle name="Style 81 3 3 2 4 2" xfId="13504" xr:uid="{83936C7E-ABF8-4B2B-8D01-99C60AD2E509}"/>
    <cellStyle name="Style 81 3 3 2 4 2 2" xfId="32282" xr:uid="{290D04C8-6FDC-47CA-9A0E-F4BD6176F125}"/>
    <cellStyle name="Style 81 3 3 2 4 3" xfId="28062" xr:uid="{27D97A93-96FD-4ABD-AD9B-0ABFB22642E1}"/>
    <cellStyle name="Style 81 3 3 2 5" xfId="13505" xr:uid="{578514E1-1CDE-4D29-90F3-3D005C6B30C5}"/>
    <cellStyle name="Style 81 3 3 2 5 2" xfId="32283" xr:uid="{86B19664-873C-4A30-93BA-3BA44665D361}"/>
    <cellStyle name="Style 81 3 3 2 6" xfId="13506" xr:uid="{1DD66E8F-FB01-4350-987A-ECE7BD316E4A}"/>
    <cellStyle name="Style 81 3 3 2 6 2" xfId="32284" xr:uid="{D043CE53-5D75-4BB0-A2F7-31966FE8417D}"/>
    <cellStyle name="Style 81 3 3 2 7" xfId="13507" xr:uid="{1FC95F00-9B6B-48BE-BE87-76AFB99A54CE}"/>
    <cellStyle name="Style 81 3 3 2 7 2" xfId="32285" xr:uid="{CB9A1D01-39F2-45E2-85A5-D804981CF498}"/>
    <cellStyle name="Style 81 3 3 2 8" xfId="13508" xr:uid="{57B77866-2AFE-40DC-9691-CFC985BCE51B}"/>
    <cellStyle name="Style 81 3 3 2 8 2" xfId="32286" xr:uid="{AF3EE1DB-4549-4DA3-8CCB-882E1CEAB82B}"/>
    <cellStyle name="Style 81 3 3 2 9" xfId="13509" xr:uid="{28548955-00F8-426E-88B1-DAC9686BF4F0}"/>
    <cellStyle name="Style 81 3 3 2 9 2" xfId="32287" xr:uid="{8BCF5E18-F50C-4846-85D2-87AE0B12C22D}"/>
    <cellStyle name="Style 81 3 3 3" xfId="3440" xr:uid="{C027176F-2571-48A1-8BCF-A69C6737E063}"/>
    <cellStyle name="Style 81 3 3 3 10" xfId="13510" xr:uid="{B2A11282-4120-42A0-A59B-8D2A34E1E3E7}"/>
    <cellStyle name="Style 81 3 3 3 10 2" xfId="32288" xr:uid="{5761513D-C1EC-463A-B7E0-BF8B401CA5AA}"/>
    <cellStyle name="Style 81 3 3 3 11" xfId="13511" xr:uid="{C0A809BB-6FE7-4BB0-BCAD-8B2A4C454236}"/>
    <cellStyle name="Style 81 3 3 3 11 2" xfId="32289" xr:uid="{B8E30201-2E25-4AC0-9067-6906F5D555BB}"/>
    <cellStyle name="Style 81 3 3 3 12" xfId="13512" xr:uid="{E2B77C52-88C5-4388-87F5-6202EA5338BF}"/>
    <cellStyle name="Style 81 3 3 3 12 2" xfId="32290" xr:uid="{D626B4D3-5935-47B3-A0A4-6E065A857607}"/>
    <cellStyle name="Style 81 3 3 3 13" xfId="13513" xr:uid="{6E5DC826-3A7D-4CF4-A284-B0FD29AB297B}"/>
    <cellStyle name="Style 81 3 3 3 13 2" xfId="32291" xr:uid="{E50E6121-A2B8-462E-BDF2-FDA7F7851ED3}"/>
    <cellStyle name="Style 81 3 3 3 14" xfId="24035" xr:uid="{EEEF8E7B-0D67-4177-A567-0051A8CC9D42}"/>
    <cellStyle name="Style 81 3 3 3 2" xfId="3441" xr:uid="{2B8BF859-0D1D-4F54-B0C5-7AEC3B4CE412}"/>
    <cellStyle name="Style 81 3 3 3 2 10" xfId="13514" xr:uid="{0C953294-E0D5-448A-B958-F32D58BF50BC}"/>
    <cellStyle name="Style 81 3 3 3 2 10 2" xfId="32292" xr:uid="{FDC0E364-7896-468E-A375-06ECCAE9ABEE}"/>
    <cellStyle name="Style 81 3 3 3 2 11" xfId="13515" xr:uid="{0555C052-6070-45A9-8A72-A524E9FE4E30}"/>
    <cellStyle name="Style 81 3 3 3 2 11 2" xfId="32293" xr:uid="{6E0F7C94-81C0-4817-84DD-36730A1A8D44}"/>
    <cellStyle name="Style 81 3 3 3 2 12" xfId="24036" xr:uid="{989C6CFB-5F88-4BA6-B964-30DFC5EC4A85}"/>
    <cellStyle name="Style 81 3 3 3 2 2" xfId="6961" xr:uid="{06CD3C3D-E693-4ED7-8B32-562A792D8FBF}"/>
    <cellStyle name="Style 81 3 3 3 2 2 2" xfId="13516" xr:uid="{AA0AACF6-B839-4EA4-8FE9-2FC22EC73E71}"/>
    <cellStyle name="Style 81 3 3 3 2 2 2 2" xfId="32294" xr:uid="{F8575E16-B768-4E5B-87DD-58F71FA6C0CD}"/>
    <cellStyle name="Style 81 3 3 3 2 3" xfId="6960" xr:uid="{E9A1265D-D4B7-4FD5-AEA4-7C8E29C25B1C}"/>
    <cellStyle name="Style 81 3 3 3 2 3 2" xfId="13517" xr:uid="{A3BC6F1E-ECDF-455C-9639-ADD8194CA5FD}"/>
    <cellStyle name="Style 81 3 3 3 2 3 2 2" xfId="32295" xr:uid="{77209D87-EA18-4751-9210-3E65584AD2F3}"/>
    <cellStyle name="Style 81 3 3 3 2 4" xfId="13518" xr:uid="{A9332CB5-1500-44D6-B804-916F57A08AEF}"/>
    <cellStyle name="Style 81 3 3 3 2 4 2" xfId="13519" xr:uid="{B224BE10-E63C-4AFE-A12F-3C460265CC1A}"/>
    <cellStyle name="Style 81 3 3 3 2 4 2 2" xfId="32296" xr:uid="{1ECEA2C7-434C-4E68-B25C-5EB80AF83BF5}"/>
    <cellStyle name="Style 81 3 3 3 2 4 3" xfId="28064" xr:uid="{F67B854C-1D29-461B-9C63-777B97C56AA2}"/>
    <cellStyle name="Style 81 3 3 3 2 5" xfId="13520" xr:uid="{5DB04C6A-4120-464E-A971-9CC514A3384D}"/>
    <cellStyle name="Style 81 3 3 3 2 5 2" xfId="32297" xr:uid="{A92053EB-4971-49DD-90D8-4CA1275CCB4A}"/>
    <cellStyle name="Style 81 3 3 3 2 6" xfId="13521" xr:uid="{8D0B36AF-1765-49F5-8171-FDD9021D257A}"/>
    <cellStyle name="Style 81 3 3 3 2 6 2" xfId="32298" xr:uid="{4C416629-E188-4683-8F62-D1A70AC11E60}"/>
    <cellStyle name="Style 81 3 3 3 2 7" xfId="13522" xr:uid="{D2927145-4F24-4953-9BAA-F3CB3059BAA5}"/>
    <cellStyle name="Style 81 3 3 3 2 7 2" xfId="32299" xr:uid="{C6535631-B263-470A-BB73-143F6E02FB68}"/>
    <cellStyle name="Style 81 3 3 3 2 8" xfId="13523" xr:uid="{C8F64E24-B98C-4D0D-9707-B414346CB202}"/>
    <cellStyle name="Style 81 3 3 3 2 8 2" xfId="32300" xr:uid="{42E9FC62-0B00-4AB1-9864-291D69BB73A4}"/>
    <cellStyle name="Style 81 3 3 3 2 9" xfId="13524" xr:uid="{81434D27-7725-4D88-A726-A5DFB362A9B8}"/>
    <cellStyle name="Style 81 3 3 3 2 9 2" xfId="32301" xr:uid="{4FFA9659-55E8-42C9-89CF-D073CDA19E82}"/>
    <cellStyle name="Style 81 3 3 3 3" xfId="6962" xr:uid="{85332C0D-6254-4431-B566-C97A20D0AA22}"/>
    <cellStyle name="Style 81 3 3 3 3 2" xfId="6963" xr:uid="{C2CF6E18-2BAA-4A21-8102-7F0685C1D452}"/>
    <cellStyle name="Style 81 3 3 3 3 2 2" xfId="13525" xr:uid="{AFE9F456-BF66-42CD-B48A-134E47F023B4}"/>
    <cellStyle name="Style 81 3 3 3 3 2 2 2" xfId="32302" xr:uid="{28B537A1-367E-455A-AD4F-6ED0D7B3E395}"/>
    <cellStyle name="Style 81 3 3 3 3 3" xfId="13526" xr:uid="{8F34B661-E403-47B1-8AB5-FD3D0DE55661}"/>
    <cellStyle name="Style 81 3 3 3 3 3 2" xfId="32303" xr:uid="{AA41C26A-685E-49E7-9E8A-36A40FBDF5BB}"/>
    <cellStyle name="Style 81 3 3 3 3 4" xfId="13527" xr:uid="{7B38D817-17E3-4511-98E2-2EF9EF6AE581}"/>
    <cellStyle name="Style 81 3 3 3 3 4 2" xfId="32304" xr:uid="{BA0FE597-4DC3-4BA3-9542-788FD4271027}"/>
    <cellStyle name="Style 81 3 3 3 3 5" xfId="24037" xr:uid="{7F348B7F-5477-4F42-A28F-CBD2622F1FDC}"/>
    <cellStyle name="Style 81 3 3 3 4" xfId="6964" xr:uid="{A83FF645-5AC8-472D-B728-20324BFF1F27}"/>
    <cellStyle name="Style 81 3 3 3 4 2" xfId="13528" xr:uid="{7F14BB4B-61EF-427C-9F89-AA3D60160CCA}"/>
    <cellStyle name="Style 81 3 3 3 4 2 2" xfId="32305" xr:uid="{B169CB36-1064-4A5C-8973-C7244BC64D3D}"/>
    <cellStyle name="Style 81 3 3 3 5" xfId="6965" xr:uid="{E4169A84-870B-4D2B-9D99-F889D64AB294}"/>
    <cellStyle name="Style 81 3 3 3 5 2" xfId="13529" xr:uid="{FBD499AC-F839-4C99-9F01-F63A03B078CA}"/>
    <cellStyle name="Style 81 3 3 3 5 2 2" xfId="32306" xr:uid="{A36FA4EC-4CF8-4506-9BF2-79443CB3606F}"/>
    <cellStyle name="Style 81 3 3 3 6" xfId="6959" xr:uid="{03C4F659-6CF1-46F4-AD8E-77172EE523FA}"/>
    <cellStyle name="Style 81 3 3 3 6 2" xfId="13530" xr:uid="{1C2DD3B7-9069-4A92-9572-9290B4E79581}"/>
    <cellStyle name="Style 81 3 3 3 6 2 2" xfId="32307" xr:uid="{7F754F97-022D-43EC-959E-E184BB65D497}"/>
    <cellStyle name="Style 81 3 3 3 7" xfId="13531" xr:uid="{48222D1C-1A7D-4E83-80BE-C39D92F63130}"/>
    <cellStyle name="Style 81 3 3 3 7 2" xfId="13532" xr:uid="{D673876F-EA86-4BBE-B918-0B73E549ED80}"/>
    <cellStyle name="Style 81 3 3 3 7 2 2" xfId="32308" xr:uid="{1A607D33-E119-4779-BC8E-C7D1A3FE8473}"/>
    <cellStyle name="Style 81 3 3 3 7 3" xfId="28063" xr:uid="{96EADEA7-63C8-4EC5-B956-4239C038C124}"/>
    <cellStyle name="Style 81 3 3 3 8" xfId="13533" xr:uid="{3EFFCB7F-8BE5-4DDE-A868-9091E119AC5C}"/>
    <cellStyle name="Style 81 3 3 3 8 2" xfId="32309" xr:uid="{BD8A4BB5-AAF6-4A40-AAB6-A10EBC7B220F}"/>
    <cellStyle name="Style 81 3 3 3 9" xfId="13534" xr:uid="{9141E899-6199-446E-97F0-D7ECD47A5A15}"/>
    <cellStyle name="Style 81 3 3 3 9 2" xfId="32310" xr:uid="{8A3F822E-A5BD-4006-A545-477B1E949BE3}"/>
    <cellStyle name="Style 81 3 3 4" xfId="3442" xr:uid="{F1A4E971-4731-4644-8E1A-94FA6735B8AB}"/>
    <cellStyle name="Style 81 3 3 4 10" xfId="13535" xr:uid="{312842C5-7A59-4926-AB38-8B7C2937333D}"/>
    <cellStyle name="Style 81 3 3 4 10 2" xfId="32311" xr:uid="{C6832541-3BF1-4F6A-84D3-AEB24181E550}"/>
    <cellStyle name="Style 81 3 3 4 11" xfId="13536" xr:uid="{7420B789-363F-489C-99FC-98F05071466A}"/>
    <cellStyle name="Style 81 3 3 4 11 2" xfId="32312" xr:uid="{0C50ABD2-B884-4C96-969D-3B9FF77FC6F2}"/>
    <cellStyle name="Style 81 3 3 4 12" xfId="13537" xr:uid="{F0A96F0E-9685-4644-AB1B-CBA2BD43136A}"/>
    <cellStyle name="Style 81 3 3 4 12 2" xfId="32313" xr:uid="{BE74F0F3-8140-40E1-87F0-ED2F1E82CBA0}"/>
    <cellStyle name="Style 81 3 3 4 13" xfId="24038" xr:uid="{FB91380F-29A6-4B15-B081-446E6A27B8DA}"/>
    <cellStyle name="Style 81 3 3 4 2" xfId="3443" xr:uid="{8E2D56A3-F0FB-4ACF-BE65-C53C313F6213}"/>
    <cellStyle name="Style 81 3 3 4 2 10" xfId="13538" xr:uid="{3B733422-C17B-4947-AD9B-9105173CDFD7}"/>
    <cellStyle name="Style 81 3 3 4 2 10 2" xfId="32314" xr:uid="{87ED8F23-AAC1-4D7D-A7D1-407283828200}"/>
    <cellStyle name="Style 81 3 3 4 2 11" xfId="13539" xr:uid="{AB8BC607-D63D-4475-8B33-F75DF6A05462}"/>
    <cellStyle name="Style 81 3 3 4 2 11 2" xfId="32315" xr:uid="{24883FFB-1378-483B-B02B-BB6355CA7CA0}"/>
    <cellStyle name="Style 81 3 3 4 2 12" xfId="24039" xr:uid="{03F0F608-FEC8-4718-B04F-396D21D95AAB}"/>
    <cellStyle name="Style 81 3 3 4 2 2" xfId="6968" xr:uid="{6296DC6D-5E33-408C-BB4A-8F9B4D4F4C2B}"/>
    <cellStyle name="Style 81 3 3 4 2 2 2" xfId="13540" xr:uid="{2FDE94CD-05F9-4033-BC4F-A39BFD5E1C37}"/>
    <cellStyle name="Style 81 3 3 4 2 2 2 2" xfId="32316" xr:uid="{FB7647B7-F303-4E18-8B36-38E7F77BE843}"/>
    <cellStyle name="Style 81 3 3 4 2 3" xfId="6967" xr:uid="{FE2A41A7-70B6-4280-9A83-D76D6733112F}"/>
    <cellStyle name="Style 81 3 3 4 2 3 2" xfId="13541" xr:uid="{78E50350-D58F-40DD-9B02-071C4B636B64}"/>
    <cellStyle name="Style 81 3 3 4 2 3 2 2" xfId="32317" xr:uid="{0AD19229-DBD4-4B6C-B193-8B44392C87E3}"/>
    <cellStyle name="Style 81 3 3 4 2 4" xfId="13542" xr:uid="{B64FDC44-8D51-40B4-A298-6D86E2A79925}"/>
    <cellStyle name="Style 81 3 3 4 2 4 2" xfId="13543" xr:uid="{6099CE64-5442-435C-AC4E-49FAA77AE6D9}"/>
    <cellStyle name="Style 81 3 3 4 2 4 2 2" xfId="32318" xr:uid="{314A514B-462A-455F-B4B8-3FA64A9802AF}"/>
    <cellStyle name="Style 81 3 3 4 2 4 3" xfId="28066" xr:uid="{10EE46E5-4559-4F11-B713-6CDD53F317BE}"/>
    <cellStyle name="Style 81 3 3 4 2 5" xfId="13544" xr:uid="{2E4F91AA-F415-4411-A385-A98A05A6C203}"/>
    <cellStyle name="Style 81 3 3 4 2 5 2" xfId="32319" xr:uid="{C42DD1AC-C029-448B-BE27-2370F2A68894}"/>
    <cellStyle name="Style 81 3 3 4 2 6" xfId="13545" xr:uid="{586E09B4-D347-48B7-A133-CB45BC32C36C}"/>
    <cellStyle name="Style 81 3 3 4 2 6 2" xfId="32320" xr:uid="{636B102E-7901-47EA-B0A4-BCAED7DFF79F}"/>
    <cellStyle name="Style 81 3 3 4 2 7" xfId="13546" xr:uid="{03BE11C2-6455-4390-B9E8-C932B4EA3C61}"/>
    <cellStyle name="Style 81 3 3 4 2 7 2" xfId="32321" xr:uid="{DAFE5B7F-AEC5-456B-8A6F-6349CD3F0F43}"/>
    <cellStyle name="Style 81 3 3 4 2 8" xfId="13547" xr:uid="{1DE1FF14-3F08-44EC-B4A7-D914CAA5321F}"/>
    <cellStyle name="Style 81 3 3 4 2 8 2" xfId="32322" xr:uid="{26EC25FF-0C60-44E8-8C14-445C20C8DFCC}"/>
    <cellStyle name="Style 81 3 3 4 2 9" xfId="13548" xr:uid="{E9A33F08-DC28-4F83-8E80-7D2D7AD30A77}"/>
    <cellStyle name="Style 81 3 3 4 2 9 2" xfId="32323" xr:uid="{65EEE337-EDD7-4A14-AB8C-3322F45F22C7}"/>
    <cellStyle name="Style 81 3 3 4 3" xfId="6969" xr:uid="{4AD8AAF0-6CC8-412C-A5D8-9232EC125B1E}"/>
    <cellStyle name="Style 81 3 3 4 3 2" xfId="13549" xr:uid="{5A319F43-55B7-49F2-ABC3-B656FFCC0AEB}"/>
    <cellStyle name="Style 81 3 3 4 3 2 2" xfId="32324" xr:uid="{D872D4EF-B943-40EF-98C4-5387B5E4EE08}"/>
    <cellStyle name="Style 81 3 3 4 4" xfId="6966" xr:uid="{860DC6F5-C5F3-4682-980B-03F054E97E98}"/>
    <cellStyle name="Style 81 3 3 4 4 2" xfId="13550" xr:uid="{E2F568FC-9913-4A0A-9FFE-DD86452F1D16}"/>
    <cellStyle name="Style 81 3 3 4 4 2 2" xfId="32325" xr:uid="{47BD7249-5361-4C40-844F-9FF3BC6D4424}"/>
    <cellStyle name="Style 81 3 3 4 5" xfId="13551" xr:uid="{64C01E1F-AAFF-4B0F-8457-94BA3AD941BC}"/>
    <cellStyle name="Style 81 3 3 4 5 2" xfId="13552" xr:uid="{9C4D99F8-0F09-4336-B518-708FF58BC8A8}"/>
    <cellStyle name="Style 81 3 3 4 5 2 2" xfId="32326" xr:uid="{F784800F-F751-4A0E-9EE5-A0B4212F2A7F}"/>
    <cellStyle name="Style 81 3 3 4 5 3" xfId="28065" xr:uid="{5A290899-4533-4C24-A281-6D923434534D}"/>
    <cellStyle name="Style 81 3 3 4 6" xfId="13553" xr:uid="{741C5D88-CAD1-4F21-A9D2-62F7DB1DABA9}"/>
    <cellStyle name="Style 81 3 3 4 6 2" xfId="32327" xr:uid="{102801D8-7380-4B07-B6E8-94E19A028ED6}"/>
    <cellStyle name="Style 81 3 3 4 7" xfId="13554" xr:uid="{8D817F94-01A5-4822-8A71-430266443E6B}"/>
    <cellStyle name="Style 81 3 3 4 7 2" xfId="32328" xr:uid="{E66DE27B-3EE0-46FD-9E9B-ECD7C95E780E}"/>
    <cellStyle name="Style 81 3 3 4 8" xfId="13555" xr:uid="{F9A9558E-AE9B-4616-879D-AB5A49288C91}"/>
    <cellStyle name="Style 81 3 3 4 8 2" xfId="32329" xr:uid="{AC2E80C5-6FC5-4183-B794-11F1E85E53F6}"/>
    <cellStyle name="Style 81 3 3 4 9" xfId="13556" xr:uid="{8A90D065-1FE3-4D5E-AC7F-6B975D549B01}"/>
    <cellStyle name="Style 81 3 3 4 9 2" xfId="32330" xr:uid="{05C4D4E3-0D2A-4206-ACA2-BEF13E599966}"/>
    <cellStyle name="Style 81 3 3 5" xfId="6970" xr:uid="{86686328-BC98-43D6-A4A5-86D3621BF6CA}"/>
    <cellStyle name="Style 81 3 3 5 2" xfId="13557" xr:uid="{BE312DEB-23B0-4125-BB7C-607A631B2A29}"/>
    <cellStyle name="Style 81 3 3 5 2 2" xfId="32331" xr:uid="{A26EF4A4-4C87-461A-A049-968E876B2D90}"/>
    <cellStyle name="Style 81 3 3 5 3" xfId="13558" xr:uid="{4213BB75-56E2-4073-9C1A-EE6B6A5BAA76}"/>
    <cellStyle name="Style 81 3 3 5 3 2" xfId="32332" xr:uid="{EB147749-3B29-48DC-B128-7FE0F3781183}"/>
    <cellStyle name="Style 81 3 3 5 4" xfId="13559" xr:uid="{65545706-55E4-4400-8612-0DE402F03B2F}"/>
    <cellStyle name="Style 81 3 3 5 4 2" xfId="32333" xr:uid="{2D614DC8-D494-40D2-BB84-9A4DF75627A7}"/>
    <cellStyle name="Style 81 3 3 6" xfId="6971" xr:uid="{89A95796-E113-4977-96DC-AFE809DC06A1}"/>
    <cellStyle name="Style 81 3 3 6 2" xfId="13560" xr:uid="{88A8C31B-B096-47AB-AF8C-136C83AC9AB5}"/>
    <cellStyle name="Style 81 3 3 6 2 2" xfId="32334" xr:uid="{1AD6D51E-1FC7-4B89-AA3C-6E1D8058E640}"/>
    <cellStyle name="Style 81 3 3 7" xfId="6956" xr:uid="{AF2AD6D1-021C-4FE5-BF5E-24424060A2C2}"/>
    <cellStyle name="Style 81 3 3 7 2" xfId="13561" xr:uid="{D230A809-6552-4089-8D8B-CBD59C5B9DEC}"/>
    <cellStyle name="Style 81 3 3 7 2 2" xfId="32335" xr:uid="{1D2487DC-EAFE-4A9E-8DA2-8D822935D650}"/>
    <cellStyle name="Style 81 3 3 8" xfId="13562" xr:uid="{8EF3EE47-2BE4-40AE-8277-4A069A64714F}"/>
    <cellStyle name="Style 81 3 3 8 2" xfId="13563" xr:uid="{7B674043-3B8B-468C-B643-D1EC4C45442A}"/>
    <cellStyle name="Style 81 3 3 8 2 2" xfId="32336" xr:uid="{46E6E58C-93D1-4498-8E46-C623557485EA}"/>
    <cellStyle name="Style 81 3 3 8 3" xfId="28061" xr:uid="{AD68A8B0-E7D5-4ABE-B9FE-DA5F438AA31D}"/>
    <cellStyle name="Style 81 3 3 9" xfId="13564" xr:uid="{26309685-1BF0-460A-BB78-8CC4445FA617}"/>
    <cellStyle name="Style 81 3 3 9 2" xfId="32337" xr:uid="{86B0D7DC-D3D9-49E6-8DCC-4C3EACC1A406}"/>
    <cellStyle name="Style 81 3 4" xfId="3444" xr:uid="{EFE1B833-4E8B-49F9-BC1A-7D0B2AFE88E7}"/>
    <cellStyle name="Style 81 3 4 10" xfId="13565" xr:uid="{8EC7E206-7241-41A1-8715-58F060FB03BA}"/>
    <cellStyle name="Style 81 3 4 10 2" xfId="32338" xr:uid="{B6E85461-B628-45F2-A0F8-CE0660C7B38F}"/>
    <cellStyle name="Style 81 3 4 11" xfId="13566" xr:uid="{96D89696-4DCA-4D8E-83CB-2DE53CE09426}"/>
    <cellStyle name="Style 81 3 4 11 2" xfId="32339" xr:uid="{CA08A97B-E8FA-4673-9F71-B3B53C98AD2E}"/>
    <cellStyle name="Style 81 3 4 12" xfId="24040" xr:uid="{5151A50E-8E6B-4706-8EC6-0BE258CCAA10}"/>
    <cellStyle name="Style 81 3 4 2" xfId="6973" xr:uid="{A8DFD929-A9D3-4BE7-832B-A889AC33BC53}"/>
    <cellStyle name="Style 81 3 4 2 2" xfId="6974" xr:uid="{AB85D0A9-6F5B-4418-AD49-6808967F7E46}"/>
    <cellStyle name="Style 81 3 4 2 3" xfId="13567" xr:uid="{9106C05D-FED5-4327-A585-381AF2E0EDE2}"/>
    <cellStyle name="Style 81 3 4 2 3 2" xfId="32340" xr:uid="{D8BB41AE-6B9E-4031-B581-F035BA921835}"/>
    <cellStyle name="Style 81 3 4 2 4" xfId="24041" xr:uid="{77E536FF-8C5D-4EE6-91C8-B7BF4FF1665F}"/>
    <cellStyle name="Style 81 3 4 3" xfId="6975" xr:uid="{7455DAA1-B2A6-4394-ABE4-C7B7A86A2F0D}"/>
    <cellStyle name="Style 81 3 4 3 2" xfId="13568" xr:uid="{B7833F22-52AA-44CE-8668-529CCE1EF603}"/>
    <cellStyle name="Style 81 3 4 3 2 2" xfId="32341" xr:uid="{4D206186-6483-48F5-B94E-56C8285B559B}"/>
    <cellStyle name="Style 81 3 4 4" xfId="6976" xr:uid="{7FC3078C-55EF-4CA2-A55E-BF666B656F3A}"/>
    <cellStyle name="Style 81 3 4 4 2" xfId="13569" xr:uid="{9F5692E0-CD74-4585-A88A-B7112545D1E3}"/>
    <cellStyle name="Style 81 3 4 4 2 2" xfId="32342" xr:uid="{077A20D2-BDF2-4A81-AF2C-8F2FB78F9DD9}"/>
    <cellStyle name="Style 81 3 4 5" xfId="6972" xr:uid="{14249580-6EAD-454F-9E47-0D6EF53E803C}"/>
    <cellStyle name="Style 81 3 4 5 2" xfId="13570" xr:uid="{1C686C58-AF13-49D3-8C0C-E4B732134932}"/>
    <cellStyle name="Style 81 3 4 5 2 2" xfId="32343" xr:uid="{A5649204-E2BC-486D-AAB5-344A333AA9E6}"/>
    <cellStyle name="Style 81 3 4 6" xfId="13571" xr:uid="{3C5A8588-A46F-4887-9C08-9643D01A2858}"/>
    <cellStyle name="Style 81 3 4 6 2" xfId="13572" xr:uid="{BDACD9D4-288F-4F28-98C1-A34E62C900FF}"/>
    <cellStyle name="Style 81 3 4 6 2 2" xfId="32344" xr:uid="{59972553-9BF5-4BDD-9622-2E44F51CEAA6}"/>
    <cellStyle name="Style 81 3 4 6 3" xfId="28067" xr:uid="{3F022057-BF77-4E2B-A813-43136BE7F34F}"/>
    <cellStyle name="Style 81 3 4 7" xfId="13573" xr:uid="{8C2E0664-C63F-4F67-BA7E-2BAD0322E682}"/>
    <cellStyle name="Style 81 3 4 7 2" xfId="32345" xr:uid="{E3945966-32FD-45C7-A35A-86985C94457F}"/>
    <cellStyle name="Style 81 3 4 8" xfId="13574" xr:uid="{0C4A28D1-2A0B-4952-946C-87D4DEFDE5E9}"/>
    <cellStyle name="Style 81 3 4 8 2" xfId="32346" xr:uid="{0FD617BF-B705-4BD5-8065-308CFBD8E8E6}"/>
    <cellStyle name="Style 81 3 4 9" xfId="13575" xr:uid="{C4B8E382-E0FA-459E-83A9-E8D850B7F4E5}"/>
    <cellStyle name="Style 81 3 4 9 2" xfId="32347" xr:uid="{9089DBC7-B4FF-4155-959A-9281B0BFB3EB}"/>
    <cellStyle name="Style 81 3 5" xfId="6977" xr:uid="{F0653CF8-9D54-4EB2-98ED-A327C439FCEB}"/>
    <cellStyle name="Style 81 3 5 2" xfId="6978" xr:uid="{C9DE96E9-5E73-42BF-A9A6-AFC7F4C1B14F}"/>
    <cellStyle name="Style 81 3 5 3" xfId="13576" xr:uid="{7E83B7C2-E1A5-47DD-917F-45F085673653}"/>
    <cellStyle name="Style 81 3 5 4" xfId="13577" xr:uid="{CC5458F6-90A5-4058-8722-D701B96D4468}"/>
    <cellStyle name="Style 81 3 5 4 2" xfId="32348" xr:uid="{358CEDC5-11FD-4EB9-850D-6D7467FB9BFF}"/>
    <cellStyle name="Style 81 3 5 5" xfId="24042" xr:uid="{B9CC2990-C1A7-433C-82D9-4AD493B75F64}"/>
    <cellStyle name="Style 81 3 6" xfId="6979" xr:uid="{813CC79B-EED5-429A-9310-34F1E13CF21F}"/>
    <cellStyle name="Style 81 3 6 2" xfId="13578" xr:uid="{C2EBCD2A-C5D5-4135-8E79-1090DB3A1188}"/>
    <cellStyle name="Style 81 3 6 2 2" xfId="32349" xr:uid="{F5DC834F-24CB-4AAB-8A5F-EA04316C1719}"/>
    <cellStyle name="Style 81 3 7" xfId="6951" xr:uid="{6322A571-819D-4F08-A27A-AD1F841FCEB5}"/>
    <cellStyle name="Style 81 3 7 2" xfId="13579" xr:uid="{0E404824-213F-4AB1-9EBC-609A923E5731}"/>
    <cellStyle name="Style 81 3 7 2 2" xfId="32350" xr:uid="{D0BB85C3-2FCE-4C19-A8D1-F2D80BE72E8B}"/>
    <cellStyle name="Style 81 3 8" xfId="4441" xr:uid="{308CF01E-D83A-4BCE-9132-F22092FB40B2}"/>
    <cellStyle name="Style 81 3 8 2" xfId="13580" xr:uid="{FE950069-5CB3-4F0C-B17F-AC8072F4B456}"/>
    <cellStyle name="Style 81 3 8 2 2" xfId="32351" xr:uid="{DAAAA94A-7790-404F-ACD7-C9FF774191B5}"/>
    <cellStyle name="Style 81 3 8 3" xfId="26703" xr:uid="{27266F6F-09D1-489C-BA84-A9BFE00959EA}"/>
    <cellStyle name="Style 81 3 9" xfId="13581" xr:uid="{481D4A57-CB90-46F0-9410-0D98D0358614}"/>
    <cellStyle name="Style 81 3 9 2" xfId="32352" xr:uid="{751E4C5A-214B-4AD1-A2CC-07AA592C329D}"/>
    <cellStyle name="Style 81 4" xfId="3445" xr:uid="{CBF260F0-5FA7-4D98-80B6-84E5021F4B83}"/>
    <cellStyle name="Style 81 4 10" xfId="13582" xr:uid="{E08C4441-5A10-4DE4-941D-996DB92C8DA4}"/>
    <cellStyle name="Style 81 4 10 2" xfId="32353" xr:uid="{88397CFC-D5C9-4190-9415-2FA4DFD147C4}"/>
    <cellStyle name="Style 81 4 11" xfId="13583" xr:uid="{578E4808-7B42-4871-8E5E-D4A0D92CA4F3}"/>
    <cellStyle name="Style 81 4 11 2" xfId="32354" xr:uid="{FE8EB64A-0BAA-46A4-8AC3-C69E68F324B5}"/>
    <cellStyle name="Style 81 4 12" xfId="13584" xr:uid="{C5A52465-9CB6-4707-BB4D-509FB7493B6F}"/>
    <cellStyle name="Style 81 4 12 2" xfId="32355" xr:uid="{AE010943-CE41-4998-90E4-30E55AE7E587}"/>
    <cellStyle name="Style 81 4 13" xfId="13585" xr:uid="{B2CC9237-B7F3-44EB-8659-9E4AD73B0301}"/>
    <cellStyle name="Style 81 4 13 2" xfId="32356" xr:uid="{412843A4-D55D-4AD8-B118-3A2E4774E775}"/>
    <cellStyle name="Style 81 4 14" xfId="13586" xr:uid="{989EB411-E8EB-48C3-8C53-B6ECC7296227}"/>
    <cellStyle name="Style 81 4 14 2" xfId="32357" xr:uid="{619BC08C-5F12-461F-8963-CB19CFBFFE89}"/>
    <cellStyle name="Style 81 4 15" xfId="24043" xr:uid="{166F99FE-4713-4B68-BA8B-BC5132C0A692}"/>
    <cellStyle name="Style 81 4 2" xfId="3446" xr:uid="{3B3F0063-E651-4A75-8637-C40595D57222}"/>
    <cellStyle name="Style 81 4 2 10" xfId="13587" xr:uid="{BE6A0E8D-645D-47A5-9E18-1EAFE8F1853D}"/>
    <cellStyle name="Style 81 4 2 10 2" xfId="32358" xr:uid="{FE26B883-D83C-4545-B5C6-96B4602261F2}"/>
    <cellStyle name="Style 81 4 2 11" xfId="13588" xr:uid="{1D43D9CD-48B8-4476-B97D-C8A47C408684}"/>
    <cellStyle name="Style 81 4 2 11 2" xfId="32359" xr:uid="{D08DC198-88F8-44C9-BB9C-689DF49F523D}"/>
    <cellStyle name="Style 81 4 2 12" xfId="13589" xr:uid="{0C744E86-594B-4886-83C4-4E741E8910B3}"/>
    <cellStyle name="Style 81 4 2 12 2" xfId="32360" xr:uid="{DDBE415C-340D-44EC-A9A3-01ECF73C4F74}"/>
    <cellStyle name="Style 81 4 2 13" xfId="13590" xr:uid="{5DFE8E45-73FC-4896-B604-7813F4F89AC9}"/>
    <cellStyle name="Style 81 4 2 13 2" xfId="32361" xr:uid="{FD0B62D7-972C-43B4-950C-0B26ECA600F8}"/>
    <cellStyle name="Style 81 4 2 14" xfId="13591" xr:uid="{49E8B489-7D4C-4F32-BB20-3F0C9F7BF13B}"/>
    <cellStyle name="Style 81 4 2 14 2" xfId="32362" xr:uid="{CF5654B0-049E-4A28-A27F-8E18709CE116}"/>
    <cellStyle name="Style 81 4 2 15" xfId="13592" xr:uid="{B8114867-B3E0-48DE-BECE-A08A9BD37BA2}"/>
    <cellStyle name="Style 81 4 2 15 2" xfId="32363" xr:uid="{64F845BB-70D6-4519-B845-80530E0A18D4}"/>
    <cellStyle name="Style 81 4 2 16" xfId="24044" xr:uid="{32A9B11C-1BF4-431C-8EF6-312B910630CA}"/>
    <cellStyle name="Style 81 4 2 2" xfId="3447" xr:uid="{BD568B16-8E58-4E97-948C-AA2C00B08B92}"/>
    <cellStyle name="Style 81 4 2 2 10" xfId="13593" xr:uid="{AEC662CC-58EC-4CCF-94E1-6058D00EF602}"/>
    <cellStyle name="Style 81 4 2 2 10 2" xfId="32364" xr:uid="{294E4CFF-757D-4FE3-BFDA-0E7B73D2AF30}"/>
    <cellStyle name="Style 81 4 2 2 11" xfId="13594" xr:uid="{09CE7D76-E5C8-4C56-85F1-F23EC3628897}"/>
    <cellStyle name="Style 81 4 2 2 11 2" xfId="32365" xr:uid="{E9F5213D-B1B5-407C-A8D7-36775EC15F4C}"/>
    <cellStyle name="Style 81 4 2 2 12" xfId="24045" xr:uid="{BBA1CCA4-8BD6-4E32-8CE4-28ECA79CC348}"/>
    <cellStyle name="Style 81 4 2 2 2" xfId="6983" xr:uid="{02F4BFCE-5C73-4656-A622-2CA86996E6F7}"/>
    <cellStyle name="Style 81 4 2 2 2 2" xfId="13595" xr:uid="{3A8B6F4C-A77D-4D55-A736-39D9C356DE07}"/>
    <cellStyle name="Style 81 4 2 2 2 2 2" xfId="32366" xr:uid="{AF6B11DC-81DD-4155-AEDB-CFB93F695394}"/>
    <cellStyle name="Style 81 4 2 2 3" xfId="6982" xr:uid="{F481DE12-F84D-43CA-81FC-1767AF99BFEC}"/>
    <cellStyle name="Style 81 4 2 2 3 2" xfId="13596" xr:uid="{14AC0D54-3B96-4DEC-8395-4A1465AE8210}"/>
    <cellStyle name="Style 81 4 2 2 3 2 2" xfId="32367" xr:uid="{95F83F1B-3190-4CAA-9507-5243FE0E5A4C}"/>
    <cellStyle name="Style 81 4 2 2 4" xfId="13597" xr:uid="{A165753C-EF74-40D5-84A0-8BD17762929A}"/>
    <cellStyle name="Style 81 4 2 2 4 2" xfId="13598" xr:uid="{33011DDF-E00D-4F23-B36F-F4083C1D6CA8}"/>
    <cellStyle name="Style 81 4 2 2 4 2 2" xfId="32368" xr:uid="{BBE90EFA-3724-4F56-A1A1-C57025C51BE6}"/>
    <cellStyle name="Style 81 4 2 2 4 3" xfId="28070" xr:uid="{478CE809-87B1-43FE-BC6D-46025B222444}"/>
    <cellStyle name="Style 81 4 2 2 5" xfId="13599" xr:uid="{BEF49FBF-6926-4510-A8CC-3B1195A1C9A5}"/>
    <cellStyle name="Style 81 4 2 2 5 2" xfId="32369" xr:uid="{C97771FB-661A-44FA-9546-28352D51AC92}"/>
    <cellStyle name="Style 81 4 2 2 6" xfId="13600" xr:uid="{F7FD5152-C444-43A0-A44E-C33FCCE6DC68}"/>
    <cellStyle name="Style 81 4 2 2 6 2" xfId="32370" xr:uid="{CF195648-E1DC-48F7-9129-571E5E12623E}"/>
    <cellStyle name="Style 81 4 2 2 7" xfId="13601" xr:uid="{5F45EC0B-3699-45F1-87DC-40B7A7341654}"/>
    <cellStyle name="Style 81 4 2 2 7 2" xfId="32371" xr:uid="{9493E562-A2CB-4EA1-BE6E-597E4C41C6AE}"/>
    <cellStyle name="Style 81 4 2 2 8" xfId="13602" xr:uid="{8F563151-AE54-4C66-B800-B59C6BE12E44}"/>
    <cellStyle name="Style 81 4 2 2 8 2" xfId="32372" xr:uid="{6971AA00-5496-4D51-B4FB-2196D0896E36}"/>
    <cellStyle name="Style 81 4 2 2 9" xfId="13603" xr:uid="{6CC6EA41-823A-445C-A507-D318D8BABE50}"/>
    <cellStyle name="Style 81 4 2 2 9 2" xfId="32373" xr:uid="{8C50919F-75A0-438B-A05E-4BFAB2225DE4}"/>
    <cellStyle name="Style 81 4 2 3" xfId="3448" xr:uid="{FF7F9D68-ACCC-419A-BE5E-C7C7E11809FC}"/>
    <cellStyle name="Style 81 4 2 3 10" xfId="13604" xr:uid="{A9215952-5329-4B7B-90B5-226730692962}"/>
    <cellStyle name="Style 81 4 2 3 10 2" xfId="32374" xr:uid="{A2A016E6-55C2-4100-AFD9-8819D0E55591}"/>
    <cellStyle name="Style 81 4 2 3 11" xfId="13605" xr:uid="{3135B4E7-64D9-4C8B-BB65-630271D9ADD4}"/>
    <cellStyle name="Style 81 4 2 3 11 2" xfId="32375" xr:uid="{B622BA87-F4E7-4DFD-A2FF-333E5CB29718}"/>
    <cellStyle name="Style 81 4 2 3 12" xfId="13606" xr:uid="{940C7ED1-7575-49C6-B220-BBE6C3AFD179}"/>
    <cellStyle name="Style 81 4 2 3 12 2" xfId="32376" xr:uid="{6B4D973C-C0D0-4CEC-84C8-1425E649355F}"/>
    <cellStyle name="Style 81 4 2 3 13" xfId="13607" xr:uid="{593AC365-5BAA-47E4-96E9-8994656EBBAB}"/>
    <cellStyle name="Style 81 4 2 3 13 2" xfId="32377" xr:uid="{58CB97A1-E18E-4447-A37F-770769C3349E}"/>
    <cellStyle name="Style 81 4 2 3 14" xfId="24046" xr:uid="{ED2428D5-D833-45CC-8533-935D5A393763}"/>
    <cellStyle name="Style 81 4 2 3 2" xfId="3449" xr:uid="{55B44EB3-F347-4718-82C2-7FA4BAD56ACE}"/>
    <cellStyle name="Style 81 4 2 3 2 10" xfId="13608" xr:uid="{45992818-941E-45D4-888F-387F8C22438B}"/>
    <cellStyle name="Style 81 4 2 3 2 10 2" xfId="32378" xr:uid="{B357B640-463D-460B-947B-B465D856B6CC}"/>
    <cellStyle name="Style 81 4 2 3 2 11" xfId="13609" xr:uid="{D2B9A578-7A66-4230-8F89-D421C023AC35}"/>
    <cellStyle name="Style 81 4 2 3 2 11 2" xfId="32379" xr:uid="{0A70F500-6CBB-422F-911F-209ACFD7972F}"/>
    <cellStyle name="Style 81 4 2 3 2 12" xfId="24047" xr:uid="{34CE2870-4E15-4A29-8D5B-59A5ABD99C8F}"/>
    <cellStyle name="Style 81 4 2 3 2 2" xfId="6986" xr:uid="{EAAD8E86-4629-4D27-B57C-A0695D528983}"/>
    <cellStyle name="Style 81 4 2 3 2 2 2" xfId="13610" xr:uid="{3AA69423-5529-4321-9038-6B7844718698}"/>
    <cellStyle name="Style 81 4 2 3 2 2 2 2" xfId="32380" xr:uid="{25FB352F-AE8F-42D1-9B36-FB54F55E1A0C}"/>
    <cellStyle name="Style 81 4 2 3 2 3" xfId="6985" xr:uid="{6793EA33-E1CC-49BC-89CC-06C8504043F5}"/>
    <cellStyle name="Style 81 4 2 3 2 3 2" xfId="13611" xr:uid="{AE514E74-39CA-4F3D-9BAB-952063B987E3}"/>
    <cellStyle name="Style 81 4 2 3 2 3 2 2" xfId="32381" xr:uid="{928220DB-0B84-477B-8A72-6FD5636FC23C}"/>
    <cellStyle name="Style 81 4 2 3 2 4" xfId="13612" xr:uid="{46FB9697-F11B-4DE9-B3B3-906F9FC16DFB}"/>
    <cellStyle name="Style 81 4 2 3 2 4 2" xfId="13613" xr:uid="{5E483F77-1504-406B-AD7F-3A9FB3E4BB70}"/>
    <cellStyle name="Style 81 4 2 3 2 4 2 2" xfId="32382" xr:uid="{68EB38C7-9DA3-49F1-93AE-18D24A17A5D7}"/>
    <cellStyle name="Style 81 4 2 3 2 4 3" xfId="28072" xr:uid="{BAAA6FEF-5439-44F8-B073-5F2B606B5517}"/>
    <cellStyle name="Style 81 4 2 3 2 5" xfId="13614" xr:uid="{7FCCAA80-B66F-4387-8BF7-1802BC623E78}"/>
    <cellStyle name="Style 81 4 2 3 2 5 2" xfId="32383" xr:uid="{71114D34-D1E4-49E4-9C77-6C9CA51E491C}"/>
    <cellStyle name="Style 81 4 2 3 2 6" xfId="13615" xr:uid="{39E3AFD2-B0AA-44F8-96E4-0A40C2BB1698}"/>
    <cellStyle name="Style 81 4 2 3 2 6 2" xfId="32384" xr:uid="{F10BE6FA-189D-4780-97A5-E84699BC49F3}"/>
    <cellStyle name="Style 81 4 2 3 2 7" xfId="13616" xr:uid="{F2F690F2-E858-4B63-A39D-0C1ADFABF6CE}"/>
    <cellStyle name="Style 81 4 2 3 2 7 2" xfId="32385" xr:uid="{213762DC-5825-4BEB-BD0E-88010AEF622A}"/>
    <cellStyle name="Style 81 4 2 3 2 8" xfId="13617" xr:uid="{F0089085-0144-406C-AAE0-7F8BCFAC28C1}"/>
    <cellStyle name="Style 81 4 2 3 2 8 2" xfId="32386" xr:uid="{C4AF4A76-4722-4817-8696-968A7B4451F1}"/>
    <cellStyle name="Style 81 4 2 3 2 9" xfId="13618" xr:uid="{56205FDE-F609-4A14-BABD-93DC13B9DB29}"/>
    <cellStyle name="Style 81 4 2 3 2 9 2" xfId="32387" xr:uid="{7BF51DB1-4522-425B-A8C5-336C4CAE139F}"/>
    <cellStyle name="Style 81 4 2 3 3" xfId="6987" xr:uid="{DCB88ACA-24AF-4C3D-B23C-016987611F96}"/>
    <cellStyle name="Style 81 4 2 3 3 2" xfId="6988" xr:uid="{375794E8-9299-4839-B7D4-3310E5361014}"/>
    <cellStyle name="Style 81 4 2 3 3 2 2" xfId="13619" xr:uid="{8CF16FB7-90A0-428E-8C9A-2E9E8B456775}"/>
    <cellStyle name="Style 81 4 2 3 3 2 2 2" xfId="32388" xr:uid="{E6E22320-FF14-4F15-9F44-EFA886C2B61D}"/>
    <cellStyle name="Style 81 4 2 3 3 3" xfId="13620" xr:uid="{3336A9CF-68C7-4DD5-9471-076E514B3872}"/>
    <cellStyle name="Style 81 4 2 3 3 3 2" xfId="32389" xr:uid="{41702E87-E06F-4353-8BEC-4C551CF4D384}"/>
    <cellStyle name="Style 81 4 2 3 3 4" xfId="13621" xr:uid="{EFC7C12D-6EC0-4CC4-96CA-A4DF309745A7}"/>
    <cellStyle name="Style 81 4 2 3 3 4 2" xfId="32390" xr:uid="{C581F1A9-D9D5-4DBD-9C9A-A5EF3562D7EF}"/>
    <cellStyle name="Style 81 4 2 3 3 5" xfId="24048" xr:uid="{1B6B42ED-8686-4905-9C10-1FC36DC48992}"/>
    <cellStyle name="Style 81 4 2 3 4" xfId="6989" xr:uid="{D6BDA0CF-9523-4121-8B82-E4E93C6C99E8}"/>
    <cellStyle name="Style 81 4 2 3 4 2" xfId="13622" xr:uid="{20CB000C-FE95-44A7-B3EA-427659FF1971}"/>
    <cellStyle name="Style 81 4 2 3 4 2 2" xfId="32391" xr:uid="{786BACC0-B4F2-45DF-8D5C-7888895742CE}"/>
    <cellStyle name="Style 81 4 2 3 5" xfId="6990" xr:uid="{D840B83F-547A-4C5A-BE4F-BA26B9075F3A}"/>
    <cellStyle name="Style 81 4 2 3 5 2" xfId="13623" xr:uid="{EF8DE5C3-28DF-45C1-9B3E-D359C1732449}"/>
    <cellStyle name="Style 81 4 2 3 5 2 2" xfId="32392" xr:uid="{B45DAF4B-63AD-4583-8A83-FF81E884C44C}"/>
    <cellStyle name="Style 81 4 2 3 6" xfId="6984" xr:uid="{1DFC6885-599A-422F-AD42-FB707F1F2860}"/>
    <cellStyle name="Style 81 4 2 3 6 2" xfId="13624" xr:uid="{9DB8F943-073D-47C5-BC8D-F8A11F696433}"/>
    <cellStyle name="Style 81 4 2 3 6 2 2" xfId="32393" xr:uid="{387F7DB0-347C-41D0-AED6-99E70AE6B835}"/>
    <cellStyle name="Style 81 4 2 3 7" xfId="13625" xr:uid="{E2C1E2E3-50A5-4078-8D29-67CC4FC14AFC}"/>
    <cellStyle name="Style 81 4 2 3 7 2" xfId="13626" xr:uid="{4BB4D831-30DF-48B7-A473-9DB164483F00}"/>
    <cellStyle name="Style 81 4 2 3 7 2 2" xfId="32394" xr:uid="{7436C5C9-2827-468A-98C1-890EEF7068A1}"/>
    <cellStyle name="Style 81 4 2 3 7 3" xfId="28071" xr:uid="{CFE16789-5EAD-46A8-BDAD-F23487A65771}"/>
    <cellStyle name="Style 81 4 2 3 8" xfId="13627" xr:uid="{D38F2846-5C7C-43F6-8C24-4BCD6E90B420}"/>
    <cellStyle name="Style 81 4 2 3 8 2" xfId="32395" xr:uid="{4EE46C42-28C8-43E0-B64E-ADEA507F4A02}"/>
    <cellStyle name="Style 81 4 2 3 9" xfId="13628" xr:uid="{D725FDA6-70AA-4990-B4CF-ACC202526DD0}"/>
    <cellStyle name="Style 81 4 2 3 9 2" xfId="32396" xr:uid="{283666B0-7B3D-466F-80C2-5F501C0735FD}"/>
    <cellStyle name="Style 81 4 2 4" xfId="3450" xr:uid="{994B705A-DC34-4E40-944F-F6FD54CD8B16}"/>
    <cellStyle name="Style 81 4 2 4 10" xfId="13629" xr:uid="{DA045BD3-16D2-4017-8F57-290301A770DA}"/>
    <cellStyle name="Style 81 4 2 4 10 2" xfId="32397" xr:uid="{F4774E81-5727-409F-8439-D738F39D96AF}"/>
    <cellStyle name="Style 81 4 2 4 11" xfId="13630" xr:uid="{80757377-E5DE-47FA-8F07-8F40963DA25E}"/>
    <cellStyle name="Style 81 4 2 4 11 2" xfId="32398" xr:uid="{FAE09645-CEB7-46EC-A2CA-FB09B0A88B91}"/>
    <cellStyle name="Style 81 4 2 4 12" xfId="13631" xr:uid="{6AF5EF1E-B15B-4B35-AC70-51F32DAE49AE}"/>
    <cellStyle name="Style 81 4 2 4 12 2" xfId="32399" xr:uid="{F39F0379-6B02-44F7-9A2A-B3C435185DE4}"/>
    <cellStyle name="Style 81 4 2 4 13" xfId="24049" xr:uid="{7266E2D6-9479-4CF8-9CF1-E832AA126203}"/>
    <cellStyle name="Style 81 4 2 4 2" xfId="3451" xr:uid="{4D3396A1-C4AC-4810-B119-BCEFCDFE55FA}"/>
    <cellStyle name="Style 81 4 2 4 2 10" xfId="13632" xr:uid="{32793D1A-7C7F-4249-946C-FD0C5F29405D}"/>
    <cellStyle name="Style 81 4 2 4 2 10 2" xfId="32400" xr:uid="{3433102B-1E07-4C8D-9BEC-A00822BAE27A}"/>
    <cellStyle name="Style 81 4 2 4 2 11" xfId="13633" xr:uid="{A896B24A-5704-4A43-8472-9182816683C8}"/>
    <cellStyle name="Style 81 4 2 4 2 11 2" xfId="32401" xr:uid="{B1A7760C-427E-4E7E-95D1-8116DEA6023F}"/>
    <cellStyle name="Style 81 4 2 4 2 12" xfId="24050" xr:uid="{198D4CA5-3181-4015-A92D-A4094B0029A1}"/>
    <cellStyle name="Style 81 4 2 4 2 2" xfId="6993" xr:uid="{CED7C276-CD1D-4588-93B2-0E4C8A8DC871}"/>
    <cellStyle name="Style 81 4 2 4 2 2 2" xfId="13634" xr:uid="{78B67F85-563D-437B-9D90-0213E4AE5228}"/>
    <cellStyle name="Style 81 4 2 4 2 2 2 2" xfId="32402" xr:uid="{350906C1-6DCC-4F74-9287-ED781785B063}"/>
    <cellStyle name="Style 81 4 2 4 2 3" xfId="6992" xr:uid="{2A7415D2-CA7B-47DF-B97B-C4666F066EF6}"/>
    <cellStyle name="Style 81 4 2 4 2 3 2" xfId="13635" xr:uid="{E0FE21EA-B1A1-40FA-BAA6-9F589A9B22BC}"/>
    <cellStyle name="Style 81 4 2 4 2 3 2 2" xfId="32403" xr:uid="{08B4CEA3-899B-44F8-8C18-B748691FABF9}"/>
    <cellStyle name="Style 81 4 2 4 2 4" xfId="13636" xr:uid="{5053F65A-C574-4985-B16C-C64621E83013}"/>
    <cellStyle name="Style 81 4 2 4 2 4 2" xfId="13637" xr:uid="{67E478F4-1100-45CD-8B09-BA334F6A9459}"/>
    <cellStyle name="Style 81 4 2 4 2 4 2 2" xfId="32404" xr:uid="{F5211253-250B-41E3-A54A-8287E07A7F7C}"/>
    <cellStyle name="Style 81 4 2 4 2 4 3" xfId="28074" xr:uid="{92154707-B07D-434B-A9B4-6414C85CA54A}"/>
    <cellStyle name="Style 81 4 2 4 2 5" xfId="13638" xr:uid="{B1F30CCD-C5C5-474C-8C2D-FED671B98067}"/>
    <cellStyle name="Style 81 4 2 4 2 5 2" xfId="32405" xr:uid="{BC08D93D-294F-4521-A7E8-3828F8899B5F}"/>
    <cellStyle name="Style 81 4 2 4 2 6" xfId="13639" xr:uid="{04885C0B-5233-4661-AD9E-5C01178B9E72}"/>
    <cellStyle name="Style 81 4 2 4 2 6 2" xfId="32406" xr:uid="{F8FD2B24-5012-44FC-98E5-763C0EDD163B}"/>
    <cellStyle name="Style 81 4 2 4 2 7" xfId="13640" xr:uid="{0F0E5057-D41A-4021-84AA-95841B33573D}"/>
    <cellStyle name="Style 81 4 2 4 2 7 2" xfId="32407" xr:uid="{4790EDCC-9C05-408A-AD35-63981AAC87D0}"/>
    <cellStyle name="Style 81 4 2 4 2 8" xfId="13641" xr:uid="{DE04D7F4-60C1-4505-B3A4-A43FB2346F31}"/>
    <cellStyle name="Style 81 4 2 4 2 8 2" xfId="32408" xr:uid="{C64C6D08-6676-44A0-B0F1-7CCACCCA8938}"/>
    <cellStyle name="Style 81 4 2 4 2 9" xfId="13642" xr:uid="{60220912-53EC-4475-A0E1-9E3F2256A6C3}"/>
    <cellStyle name="Style 81 4 2 4 2 9 2" xfId="32409" xr:uid="{46CE5528-2EEC-46D3-9643-0214E08CA4AC}"/>
    <cellStyle name="Style 81 4 2 4 3" xfId="6994" xr:uid="{27105EF4-5A36-4D3B-90FA-CB5EC386CD7A}"/>
    <cellStyle name="Style 81 4 2 4 3 2" xfId="13643" xr:uid="{FF8F761A-5A19-49FD-8E1D-4F1C7913DA04}"/>
    <cellStyle name="Style 81 4 2 4 3 2 2" xfId="32410" xr:uid="{7D4A66CE-3F7C-42A5-8688-2C232EDD12E0}"/>
    <cellStyle name="Style 81 4 2 4 4" xfId="6991" xr:uid="{AB655CA5-049E-4779-8E27-CFA75CB7EE48}"/>
    <cellStyle name="Style 81 4 2 4 4 2" xfId="13644" xr:uid="{02BFB635-6A11-4EDE-8557-EEF6EE1D785E}"/>
    <cellStyle name="Style 81 4 2 4 4 2 2" xfId="32411" xr:uid="{A9BAAAD7-7E5B-4840-A77D-E2070223E791}"/>
    <cellStyle name="Style 81 4 2 4 5" xfId="13645" xr:uid="{7330FACC-81DE-441F-9820-9D7C0F34AECD}"/>
    <cellStyle name="Style 81 4 2 4 5 2" xfId="13646" xr:uid="{D62C30C6-6C28-44D9-9472-F68E213F52E4}"/>
    <cellStyle name="Style 81 4 2 4 5 2 2" xfId="32412" xr:uid="{3909A4E1-D2BD-45CA-9B44-418024119764}"/>
    <cellStyle name="Style 81 4 2 4 5 3" xfId="28073" xr:uid="{CBEB3217-69E4-4C90-B661-E1F2B7F0FEDD}"/>
    <cellStyle name="Style 81 4 2 4 6" xfId="13647" xr:uid="{8D25F93B-B0EB-447C-BA5B-972EAF09DCCC}"/>
    <cellStyle name="Style 81 4 2 4 6 2" xfId="32413" xr:uid="{E0F305CB-77FE-4C38-85C7-E32717A444DD}"/>
    <cellStyle name="Style 81 4 2 4 7" xfId="13648" xr:uid="{AF34ABB9-5785-4468-9573-410D2E58DCD5}"/>
    <cellStyle name="Style 81 4 2 4 7 2" xfId="32414" xr:uid="{D508BA1C-0A2B-4C25-843D-F30991A603E6}"/>
    <cellStyle name="Style 81 4 2 4 8" xfId="13649" xr:uid="{29E02D51-D1C2-41CF-B6AA-1FFA9222F97C}"/>
    <cellStyle name="Style 81 4 2 4 8 2" xfId="32415" xr:uid="{74D86B71-1F08-421D-AF48-09DF03A3643A}"/>
    <cellStyle name="Style 81 4 2 4 9" xfId="13650" xr:uid="{4E4EE055-2EA4-4E77-8A38-D9640EED8863}"/>
    <cellStyle name="Style 81 4 2 4 9 2" xfId="32416" xr:uid="{515F986C-25DB-4828-8086-81933BBEF2D2}"/>
    <cellStyle name="Style 81 4 2 5" xfId="6995" xr:uid="{D5B5DFA7-20E8-4C9A-A892-95F0072363A4}"/>
    <cellStyle name="Style 81 4 2 5 2" xfId="13651" xr:uid="{80AAE7D4-EC82-4C4B-882A-3B1A5F1A3BF5}"/>
    <cellStyle name="Style 81 4 2 5 2 2" xfId="32417" xr:uid="{1C6EAFDE-2432-41A4-A1C0-49D5A92F7CE8}"/>
    <cellStyle name="Style 81 4 2 5 3" xfId="13652" xr:uid="{64C97905-1678-4284-ABAC-67B567216B10}"/>
    <cellStyle name="Style 81 4 2 5 3 2" xfId="32418" xr:uid="{95DB9329-7E34-45B6-98D6-33B9426481CF}"/>
    <cellStyle name="Style 81 4 2 5 4" xfId="13653" xr:uid="{9EB04D14-1CFE-4BB4-A3D9-44DCBBBBC401}"/>
    <cellStyle name="Style 81 4 2 5 4 2" xfId="32419" xr:uid="{833B1349-E057-461A-8A06-A445384CEC5C}"/>
    <cellStyle name="Style 81 4 2 6" xfId="6996" xr:uid="{5EC0761D-647A-4C8C-948C-20BA035B7E76}"/>
    <cellStyle name="Style 81 4 2 6 2" xfId="13654" xr:uid="{F16465D2-3550-45F3-AFD3-E294D8502AD3}"/>
    <cellStyle name="Style 81 4 2 6 2 2" xfId="32420" xr:uid="{F1A79B14-D6A3-4D3D-BC83-0FA589952760}"/>
    <cellStyle name="Style 81 4 2 7" xfId="6981" xr:uid="{C5F23DAB-CCA8-40D4-93ED-3DEC2546C3DD}"/>
    <cellStyle name="Style 81 4 2 7 2" xfId="13655" xr:uid="{47E410D8-54D1-4104-9BF8-BDA64FA1C4BE}"/>
    <cellStyle name="Style 81 4 2 7 2 2" xfId="32421" xr:uid="{46A2DC8C-98AD-4869-A88D-2EB121954ED6}"/>
    <cellStyle name="Style 81 4 2 8" xfId="13656" xr:uid="{590441F0-F1B0-4935-82A6-FF76A13945E8}"/>
    <cellStyle name="Style 81 4 2 8 2" xfId="13657" xr:uid="{9C9E47F0-560D-4D8B-891D-ADD32A413AFE}"/>
    <cellStyle name="Style 81 4 2 8 2 2" xfId="32422" xr:uid="{69530D97-4AC1-4AE4-980B-CA1A3D90FD3C}"/>
    <cellStyle name="Style 81 4 2 8 3" xfId="28069" xr:uid="{18DC8703-E2A2-4D48-910A-6CB7515D1B30}"/>
    <cellStyle name="Style 81 4 2 9" xfId="13658" xr:uid="{184CACDE-21E2-401E-834E-12B256ECE0C3}"/>
    <cellStyle name="Style 81 4 2 9 2" xfId="32423" xr:uid="{929924F6-B97F-4983-8AB7-CE107B314746}"/>
    <cellStyle name="Style 81 4 3" xfId="3452" xr:uid="{05546B64-D31A-4A67-977B-42566CF31B5E}"/>
    <cellStyle name="Style 81 4 3 10" xfId="13659" xr:uid="{27F24E4F-91DC-4221-9E8F-BEF7CF22056D}"/>
    <cellStyle name="Style 81 4 3 10 2" xfId="32424" xr:uid="{2CA6148E-F50F-44C2-B056-5724D2EA6B06}"/>
    <cellStyle name="Style 81 4 3 11" xfId="13660" xr:uid="{948B0CDE-F741-4163-A4A1-700BB361E35C}"/>
    <cellStyle name="Style 81 4 3 11 2" xfId="32425" xr:uid="{7E01C105-8A8B-4177-AB93-D2F2954E0B7C}"/>
    <cellStyle name="Style 81 4 3 12" xfId="24051" xr:uid="{CEED312B-76E6-43B0-BB49-1738767F34E5}"/>
    <cellStyle name="Style 81 4 3 2" xfId="6998" xr:uid="{E3215470-C119-46AA-A255-EB221F4657CD}"/>
    <cellStyle name="Style 81 4 3 2 2" xfId="13661" xr:uid="{F8DF3D06-175C-41A6-BD9D-4D8747215A88}"/>
    <cellStyle name="Style 81 4 3 2 2 2" xfId="32426" xr:uid="{F60F5384-5016-49D6-866F-DF65EBB47A1D}"/>
    <cellStyle name="Style 81 4 3 3" xfId="6997" xr:uid="{9AA823C5-3FBA-4FA4-AB3C-92EE3E8A0204}"/>
    <cellStyle name="Style 81 4 3 3 2" xfId="13662" xr:uid="{C2E1B0F1-4215-4369-B7FC-BEC9747BE7DD}"/>
    <cellStyle name="Style 81 4 3 3 2 2" xfId="32427" xr:uid="{E08D4C1C-2587-41D0-885C-D42D9DF9F2D5}"/>
    <cellStyle name="Style 81 4 3 4" xfId="13663" xr:uid="{DD6B32E2-EDDB-4BB2-BFE5-4EC4FF57F54D}"/>
    <cellStyle name="Style 81 4 3 4 2" xfId="13664" xr:uid="{3FA6AACF-0150-4DB9-A6DD-1F9E2FCF0597}"/>
    <cellStyle name="Style 81 4 3 4 2 2" xfId="32428" xr:uid="{38B03F9B-6D14-44F8-8060-1FC0406BA9C3}"/>
    <cellStyle name="Style 81 4 3 4 3" xfId="28075" xr:uid="{67EF70C2-53B4-4CA3-A8CA-6535BDAC9A91}"/>
    <cellStyle name="Style 81 4 3 5" xfId="13665" xr:uid="{3CFF8F6D-96D3-484B-B961-CE9CF7F69A99}"/>
    <cellStyle name="Style 81 4 3 5 2" xfId="32429" xr:uid="{36CBDE19-115E-4A0B-A364-9C02A42128D1}"/>
    <cellStyle name="Style 81 4 3 6" xfId="13666" xr:uid="{4083D110-FE65-4B58-9DFF-90B53B5E75DE}"/>
    <cellStyle name="Style 81 4 3 6 2" xfId="32430" xr:uid="{40DDE373-C1A9-42B1-A03F-7F6C816FAA43}"/>
    <cellStyle name="Style 81 4 3 7" xfId="13667" xr:uid="{95589F0B-4CB1-4892-A93E-7C44010531ED}"/>
    <cellStyle name="Style 81 4 3 7 2" xfId="32431" xr:uid="{6771FDC6-B115-467F-9C62-630967B77F3A}"/>
    <cellStyle name="Style 81 4 3 8" xfId="13668" xr:uid="{195554C6-1F5B-43AD-821E-B66BABD529EE}"/>
    <cellStyle name="Style 81 4 3 8 2" xfId="32432" xr:uid="{32F171FB-3206-4327-9C3C-5C59DEBC66F5}"/>
    <cellStyle name="Style 81 4 3 9" xfId="13669" xr:uid="{4244D9E4-19C9-4ECB-9C43-DD0827267666}"/>
    <cellStyle name="Style 81 4 3 9 2" xfId="32433" xr:uid="{D65AA970-6364-4F14-A8B6-482D6362490D}"/>
    <cellStyle name="Style 81 4 4" xfId="6999" xr:uid="{C13ED356-0FA9-43F8-8D60-5950E6628B80}"/>
    <cellStyle name="Style 81 4 4 2" xfId="7000" xr:uid="{E271DF0E-4315-4538-BDD9-38C50D67E7BB}"/>
    <cellStyle name="Style 81 4 4 2 2" xfId="13670" xr:uid="{2AC77098-C8F5-4865-8211-2030BB0B3336}"/>
    <cellStyle name="Style 81 4 4 2 2 2" xfId="32434" xr:uid="{B0643CF3-2781-4A2E-BADD-E3183F9497C2}"/>
    <cellStyle name="Style 81 4 4 3" xfId="7001" xr:uid="{D68E1E03-FE27-48F7-9333-7EEC96EA5DC1}"/>
    <cellStyle name="Style 81 4 4 3 2" xfId="13671" xr:uid="{F94DF2E7-2E4C-4753-AAAE-08216C36F0D3}"/>
    <cellStyle name="Style 81 4 4 3 2 2" xfId="32435" xr:uid="{D5F712E1-2C39-415D-891F-E701E36A4427}"/>
    <cellStyle name="Style 81 4 4 4" xfId="13672" xr:uid="{74E9042A-5399-4629-BC5B-DED143CFAD01}"/>
    <cellStyle name="Style 81 4 4 4 2" xfId="32436" xr:uid="{CC592CCF-BC5D-4896-B6B8-67B349C93564}"/>
    <cellStyle name="Style 81 4 4 5" xfId="24052" xr:uid="{9108B1AF-FD46-4767-9236-563E53AA9AEF}"/>
    <cellStyle name="Style 81 4 5" xfId="7002" xr:uid="{DDD84F24-6EBD-428A-BE8A-AE2FCE05D3B0}"/>
    <cellStyle name="Style 81 4 5 2" xfId="13673" xr:uid="{26DF9BE9-E989-46E9-B5A2-C974136DA081}"/>
    <cellStyle name="Style 81 4 5 2 2" xfId="32437" xr:uid="{07DF2524-8358-46C9-90E0-86D92ADCB696}"/>
    <cellStyle name="Style 81 4 6" xfId="6980" xr:uid="{47919DD5-028E-4FFE-9E89-5E0AFAE02FA0}"/>
    <cellStyle name="Style 81 4 6 2" xfId="13674" xr:uid="{CFF83146-3C85-4A95-8A3B-34C432F13F73}"/>
    <cellStyle name="Style 81 4 6 2 2" xfId="32438" xr:uid="{2413A3F7-F73D-445A-A083-CD2BD6C00F15}"/>
    <cellStyle name="Style 81 4 7" xfId="4443" xr:uid="{BD8CB806-7985-4F49-86A6-72641277EA85}"/>
    <cellStyle name="Style 81 4 7 2" xfId="13675" xr:uid="{27DE1BA1-4B2D-41AB-BAA5-D1593CA79023}"/>
    <cellStyle name="Style 81 4 7 2 2" xfId="32439" xr:uid="{866730C8-F414-4C97-A8EB-2A226B9B892D}"/>
    <cellStyle name="Style 81 4 7 3" xfId="26705" xr:uid="{3F99F6B5-67B0-4BA8-B668-2320E8BA3C8D}"/>
    <cellStyle name="Style 81 4 8" xfId="13676" xr:uid="{1666E14A-843D-44C4-A47E-AA050B01871F}"/>
    <cellStyle name="Style 81 4 8 2" xfId="13677" xr:uid="{31DAF9CE-4EFB-4A2D-A1F9-83C346C529C0}"/>
    <cellStyle name="Style 81 4 8 2 2" xfId="32440" xr:uid="{0B16362D-6E79-4E4F-BE6B-448D2251EA2B}"/>
    <cellStyle name="Style 81 4 8 3" xfId="28068" xr:uid="{36877F94-1111-4AA4-863D-423930FA4817}"/>
    <cellStyle name="Style 81 4 9" xfId="13678" xr:uid="{C64F8668-341F-4950-AFD4-0AA62E4FB932}"/>
    <cellStyle name="Style 81 4 9 2" xfId="32441" xr:uid="{9836FE81-A284-4EDF-B937-F3A482BA7341}"/>
    <cellStyle name="Style 81 5" xfId="3453" xr:uid="{49A0529B-320D-4D2A-B1F9-65A8430D0CB6}"/>
    <cellStyle name="Style 81 5 10" xfId="13679" xr:uid="{368E1DB8-5977-423A-8288-C954219FA33E}"/>
    <cellStyle name="Style 81 5 10 2" xfId="32442" xr:uid="{AD2CA7FA-F38C-43F8-9074-7311CB599093}"/>
    <cellStyle name="Style 81 5 11" xfId="13680" xr:uid="{F0E93F29-289A-4910-AB3E-6B3A1F2EE385}"/>
    <cellStyle name="Style 81 5 11 2" xfId="32443" xr:uid="{32FB206A-2491-4255-80DC-29CB00C62949}"/>
    <cellStyle name="Style 81 5 12" xfId="13681" xr:uid="{71863F18-A0EB-4E5E-9CC6-C748F228F1F0}"/>
    <cellStyle name="Style 81 5 12 2" xfId="32444" xr:uid="{0647BE72-0E1F-43A7-96CF-9739DA9F5807}"/>
    <cellStyle name="Style 81 5 13" xfId="13682" xr:uid="{F41490EE-833F-47A3-8CD3-E5204B6AB549}"/>
    <cellStyle name="Style 81 5 13 2" xfId="32445" xr:uid="{CBD0F969-DBE6-44A8-99A2-02A9E266D6BE}"/>
    <cellStyle name="Style 81 5 14" xfId="13683" xr:uid="{7C1B138E-7E74-4175-9F08-4FCAD181376A}"/>
    <cellStyle name="Style 81 5 14 2" xfId="32446" xr:uid="{3B9FFA8B-C65F-4F14-8967-2D05307B427A}"/>
    <cellStyle name="Style 81 5 15" xfId="24053" xr:uid="{7003327B-80CD-4C56-9C1B-1EE333664734}"/>
    <cellStyle name="Style 81 5 2" xfId="3454" xr:uid="{A0DE3F57-CCC7-48D7-AD66-3F6F5DAF574C}"/>
    <cellStyle name="Style 81 5 2 10" xfId="13684" xr:uid="{A279B299-4A23-4552-9399-CD8376ACC7C7}"/>
    <cellStyle name="Style 81 5 2 10 2" xfId="32447" xr:uid="{64CD380B-8560-4597-88F1-0D20BD9CB405}"/>
    <cellStyle name="Style 81 5 2 11" xfId="13685" xr:uid="{0B8ED660-BBE8-4EC8-B730-A43543113C67}"/>
    <cellStyle name="Style 81 5 2 11 2" xfId="32448" xr:uid="{5EA2A612-E227-4ED6-8D6E-A4CD669646D8}"/>
    <cellStyle name="Style 81 5 2 12" xfId="13686" xr:uid="{B94F7D89-459D-4370-8574-20842048F659}"/>
    <cellStyle name="Style 81 5 2 12 2" xfId="32449" xr:uid="{40943EF1-D1F9-4A2A-8106-BA6F523635FC}"/>
    <cellStyle name="Style 81 5 2 13" xfId="13687" xr:uid="{ECAE1A7F-06F3-454C-9D9C-1DAA70F839F0}"/>
    <cellStyle name="Style 81 5 2 13 2" xfId="32450" xr:uid="{8E92DF89-CAF1-435E-A6BB-F0AB5EC8587D}"/>
    <cellStyle name="Style 81 5 2 14" xfId="13688" xr:uid="{D58002D8-8248-44D3-9C56-08E74D65037C}"/>
    <cellStyle name="Style 81 5 2 14 2" xfId="32451" xr:uid="{F9FC9851-AEB8-4EB2-BD59-EAFF7CA90471}"/>
    <cellStyle name="Style 81 5 2 15" xfId="24054" xr:uid="{64A1ED09-838A-4C6A-9F27-142A65056366}"/>
    <cellStyle name="Style 81 5 2 2" xfId="3455" xr:uid="{759DF5E5-D0C0-4618-89E0-9755DCCB4DCE}"/>
    <cellStyle name="Style 81 5 2 2 10" xfId="13689" xr:uid="{85F0AD51-1DF5-478F-AA06-01F166E560A5}"/>
    <cellStyle name="Style 81 5 2 2 10 2" xfId="32452" xr:uid="{0138ED97-C659-4DA7-8831-7AA85A2274DB}"/>
    <cellStyle name="Style 81 5 2 2 11" xfId="13690" xr:uid="{B9B46238-3A4D-4443-85DC-F7CD6E1BD422}"/>
    <cellStyle name="Style 81 5 2 2 11 2" xfId="32453" xr:uid="{AAB184CA-0628-4E4C-9C32-1500288117E7}"/>
    <cellStyle name="Style 81 5 2 2 12" xfId="24055" xr:uid="{7A5792CF-A0A5-4714-9432-0D404A307568}"/>
    <cellStyle name="Style 81 5 2 2 2" xfId="7006" xr:uid="{FD5C4768-178C-40BD-8477-F10B71D7B52F}"/>
    <cellStyle name="Style 81 5 2 2 2 2" xfId="13691" xr:uid="{250313E2-9B7A-4013-AE21-90332651A19F}"/>
    <cellStyle name="Style 81 5 2 2 2 2 2" xfId="32454" xr:uid="{2281C29A-0259-4075-B4AC-803732C574E7}"/>
    <cellStyle name="Style 81 5 2 2 3" xfId="7005" xr:uid="{DAD6BC02-7CA7-4529-B747-6F4517CA6DAF}"/>
    <cellStyle name="Style 81 5 2 2 3 2" xfId="13692" xr:uid="{4D5A5553-E7A8-43A1-8750-A8F99E7C5DC8}"/>
    <cellStyle name="Style 81 5 2 2 3 2 2" xfId="32455" xr:uid="{EAE68C7A-6924-4F84-AD33-2AED0F440949}"/>
    <cellStyle name="Style 81 5 2 2 4" xfId="13693" xr:uid="{B9B80A48-EBD3-44B6-A748-C0CC93A36B14}"/>
    <cellStyle name="Style 81 5 2 2 4 2" xfId="13694" xr:uid="{4685064B-138E-4D65-9A03-72F03A53B145}"/>
    <cellStyle name="Style 81 5 2 2 4 2 2" xfId="32456" xr:uid="{187EE0D2-EEF9-4514-A978-EEA5A37356D1}"/>
    <cellStyle name="Style 81 5 2 2 4 3" xfId="28078" xr:uid="{F68E3E94-2303-4985-9733-560E7A2AEE86}"/>
    <cellStyle name="Style 81 5 2 2 5" xfId="13695" xr:uid="{2842B7FE-F963-4EC2-B190-CAAE39BE0D5D}"/>
    <cellStyle name="Style 81 5 2 2 5 2" xfId="32457" xr:uid="{D20CC522-6F7E-470A-BD6B-5CDB64AAD615}"/>
    <cellStyle name="Style 81 5 2 2 6" xfId="13696" xr:uid="{8BA7242C-80A0-47E7-BF8E-058E6A8B5B06}"/>
    <cellStyle name="Style 81 5 2 2 6 2" xfId="32458" xr:uid="{8455B7D6-EBEA-47F9-AEEF-1D20724907C9}"/>
    <cellStyle name="Style 81 5 2 2 7" xfId="13697" xr:uid="{ACAB7817-CE69-44F0-9774-75BA78207BD6}"/>
    <cellStyle name="Style 81 5 2 2 7 2" xfId="32459" xr:uid="{E692DF0B-C9BE-49F3-BB43-A3288E459911}"/>
    <cellStyle name="Style 81 5 2 2 8" xfId="13698" xr:uid="{8401853A-614B-4F54-A79E-90E7B6F72E22}"/>
    <cellStyle name="Style 81 5 2 2 8 2" xfId="32460" xr:uid="{30D752DA-9E29-40A5-87D4-35F449BAC728}"/>
    <cellStyle name="Style 81 5 2 2 9" xfId="13699" xr:uid="{87D55390-50E0-45BF-B427-E62C00FD979E}"/>
    <cellStyle name="Style 81 5 2 2 9 2" xfId="32461" xr:uid="{769EE5A0-975A-4B19-990C-03751B98CBB1}"/>
    <cellStyle name="Style 81 5 2 3" xfId="3456" xr:uid="{989709E8-B258-4BC6-91F8-470249A03096}"/>
    <cellStyle name="Style 81 5 2 3 10" xfId="13700" xr:uid="{6639716D-FCB2-43B4-A804-BFB43090D281}"/>
    <cellStyle name="Style 81 5 2 3 10 2" xfId="32462" xr:uid="{6BADC3E6-9120-4004-B700-290C573A5310}"/>
    <cellStyle name="Style 81 5 2 3 11" xfId="13701" xr:uid="{284E6DB2-5AF5-4E9F-AEC1-680BA47C447F}"/>
    <cellStyle name="Style 81 5 2 3 11 2" xfId="32463" xr:uid="{1AFF7CCC-0EEF-435A-9AA5-89C96567E3BB}"/>
    <cellStyle name="Style 81 5 2 3 12" xfId="13702" xr:uid="{968D05C9-195C-4B47-9183-BB14297C7590}"/>
    <cellStyle name="Style 81 5 2 3 12 2" xfId="32464" xr:uid="{ED3F7080-5AC1-411A-ABD6-C05729DA0D5D}"/>
    <cellStyle name="Style 81 5 2 3 13" xfId="13703" xr:uid="{58FC0D96-10A0-4D6B-AC3F-7A35DBDC30F4}"/>
    <cellStyle name="Style 81 5 2 3 13 2" xfId="32465" xr:uid="{853EF491-B12E-4B5E-A201-CF41F5CFF519}"/>
    <cellStyle name="Style 81 5 2 3 14" xfId="24056" xr:uid="{6F40FF0C-D7CD-4563-903B-A6B04C3396A0}"/>
    <cellStyle name="Style 81 5 2 3 2" xfId="3457" xr:uid="{4BA52215-7F3E-4A4A-9831-7F053304A143}"/>
    <cellStyle name="Style 81 5 2 3 2 10" xfId="13704" xr:uid="{D131554D-DF26-41EC-9431-E8CD90751848}"/>
    <cellStyle name="Style 81 5 2 3 2 10 2" xfId="32466" xr:uid="{A1EE9F4D-7734-45DB-A68E-CC18E5DA71D9}"/>
    <cellStyle name="Style 81 5 2 3 2 11" xfId="13705" xr:uid="{DDDF23F2-FEBD-4BB4-B516-447C0C646426}"/>
    <cellStyle name="Style 81 5 2 3 2 11 2" xfId="32467" xr:uid="{37909AFD-D2B4-4DCB-A300-D21DDBE07F3D}"/>
    <cellStyle name="Style 81 5 2 3 2 12" xfId="24057" xr:uid="{91668409-57B5-4AA1-BD14-23A27866B956}"/>
    <cellStyle name="Style 81 5 2 3 2 2" xfId="7009" xr:uid="{E0AF18B2-7B00-4917-A606-F7E6369CD309}"/>
    <cellStyle name="Style 81 5 2 3 2 2 2" xfId="13706" xr:uid="{1A7B9CBE-4625-4C95-9BC4-5482CEC09241}"/>
    <cellStyle name="Style 81 5 2 3 2 2 2 2" xfId="32468" xr:uid="{98DF6817-C7E1-4A68-9879-E9003191103C}"/>
    <cellStyle name="Style 81 5 2 3 2 3" xfId="7008" xr:uid="{53E17AF4-24CC-416C-A6DE-299D70E4BB11}"/>
    <cellStyle name="Style 81 5 2 3 2 3 2" xfId="13707" xr:uid="{B615BD2F-C21A-42A2-AC35-E2EBFF07198A}"/>
    <cellStyle name="Style 81 5 2 3 2 3 2 2" xfId="32469" xr:uid="{0AB9F01F-35B4-4E55-835C-CA009C93AF85}"/>
    <cellStyle name="Style 81 5 2 3 2 4" xfId="13708" xr:uid="{4E2F2EF7-E875-40E3-9513-DC13DCB80560}"/>
    <cellStyle name="Style 81 5 2 3 2 4 2" xfId="13709" xr:uid="{3D4C3E70-FDDD-4CA1-BDC4-1CCA3F9B761F}"/>
    <cellStyle name="Style 81 5 2 3 2 4 2 2" xfId="32470" xr:uid="{D1C2201C-7DDB-47BE-AE32-BE9D06797BFD}"/>
    <cellStyle name="Style 81 5 2 3 2 4 3" xfId="28080" xr:uid="{6C012D06-0909-4413-B1A6-371B1CF8479F}"/>
    <cellStyle name="Style 81 5 2 3 2 5" xfId="13710" xr:uid="{9C296AAB-14E6-46E1-9A15-B43AE982FEC9}"/>
    <cellStyle name="Style 81 5 2 3 2 5 2" xfId="32471" xr:uid="{10201EE6-572A-40F5-AFC5-6D802E682DFF}"/>
    <cellStyle name="Style 81 5 2 3 2 6" xfId="13711" xr:uid="{B3BA4825-348E-460B-A167-8819E57EDC9C}"/>
    <cellStyle name="Style 81 5 2 3 2 6 2" xfId="32472" xr:uid="{E07C861B-3587-496F-B633-8189FB584E80}"/>
    <cellStyle name="Style 81 5 2 3 2 7" xfId="13712" xr:uid="{F4002E8A-FD15-4403-A762-C639A1743C67}"/>
    <cellStyle name="Style 81 5 2 3 2 7 2" xfId="32473" xr:uid="{A9800D48-AAEB-4FE9-B528-A05A0806F191}"/>
    <cellStyle name="Style 81 5 2 3 2 8" xfId="13713" xr:uid="{C6A152C7-F1DD-48CD-AED4-C27218D172FF}"/>
    <cellStyle name="Style 81 5 2 3 2 8 2" xfId="32474" xr:uid="{2381D793-BCD5-40B8-9BBD-5522F44F9972}"/>
    <cellStyle name="Style 81 5 2 3 2 9" xfId="13714" xr:uid="{EEF16BC9-85E6-4935-8270-E42204861FEF}"/>
    <cellStyle name="Style 81 5 2 3 2 9 2" xfId="32475" xr:uid="{E8486B65-79ED-489D-BB3B-BB699C6DC986}"/>
    <cellStyle name="Style 81 5 2 3 3" xfId="7010" xr:uid="{B227CC75-6D5E-4284-BE55-2A3AE4FF2146}"/>
    <cellStyle name="Style 81 5 2 3 3 2" xfId="7011" xr:uid="{E55851BB-90AF-4D75-A737-36FDB47DB414}"/>
    <cellStyle name="Style 81 5 2 3 3 2 2" xfId="13715" xr:uid="{F815211A-842A-48E6-BC86-C88F70F74777}"/>
    <cellStyle name="Style 81 5 2 3 3 2 2 2" xfId="32476" xr:uid="{D366BE26-EE47-4517-8F61-303A2AB8128D}"/>
    <cellStyle name="Style 81 5 2 3 3 3" xfId="13716" xr:uid="{A7DADD3D-7950-4093-92EB-09F42DCBE2E9}"/>
    <cellStyle name="Style 81 5 2 3 3 3 2" xfId="32477" xr:uid="{8A9E2B5B-9598-4F86-BC29-EA4BCA329DBA}"/>
    <cellStyle name="Style 81 5 2 3 3 4" xfId="13717" xr:uid="{9B074960-1C85-4008-8AA8-48A83043A3FD}"/>
    <cellStyle name="Style 81 5 2 3 3 4 2" xfId="32478" xr:uid="{81FEA463-38AC-45AE-B549-14A60EDF1BC3}"/>
    <cellStyle name="Style 81 5 2 3 3 5" xfId="24058" xr:uid="{9932FB0B-969A-45F3-88E8-EF3474D1A51D}"/>
    <cellStyle name="Style 81 5 2 3 4" xfId="7012" xr:uid="{ADDF4B68-7FCF-4636-8F96-2923197996E6}"/>
    <cellStyle name="Style 81 5 2 3 4 2" xfId="13718" xr:uid="{43B8204D-30B0-47EE-AD76-BCA3999A0C72}"/>
    <cellStyle name="Style 81 5 2 3 4 2 2" xfId="32479" xr:uid="{653A6E6D-CE57-4C8B-A0F5-429BC80FC6AA}"/>
    <cellStyle name="Style 81 5 2 3 5" xfId="7013" xr:uid="{C9BC289A-67ED-4598-92FF-0C784560E4E7}"/>
    <cellStyle name="Style 81 5 2 3 5 2" xfId="13719" xr:uid="{CADD0F3B-7AEB-4669-ABDC-172048772C51}"/>
    <cellStyle name="Style 81 5 2 3 5 2 2" xfId="32480" xr:uid="{2959E9DE-4057-401A-8A6C-DCBCF8DF21DC}"/>
    <cellStyle name="Style 81 5 2 3 6" xfId="7007" xr:uid="{72650051-82F8-4326-9F95-8083AB48DD9A}"/>
    <cellStyle name="Style 81 5 2 3 6 2" xfId="13720" xr:uid="{C7424028-5627-4751-9820-56ED3DA61A84}"/>
    <cellStyle name="Style 81 5 2 3 6 2 2" xfId="32481" xr:uid="{4196F4BB-954E-4D32-8502-D818252656D4}"/>
    <cellStyle name="Style 81 5 2 3 7" xfId="13721" xr:uid="{83AE5FD7-2023-448C-956D-7E55C15B01EC}"/>
    <cellStyle name="Style 81 5 2 3 7 2" xfId="13722" xr:uid="{076B0B80-4FAA-47F8-BBB1-C4A1B23D78B8}"/>
    <cellStyle name="Style 81 5 2 3 7 2 2" xfId="32482" xr:uid="{C1319664-D0F0-420A-9D23-B1F08F225401}"/>
    <cellStyle name="Style 81 5 2 3 7 3" xfId="28079" xr:uid="{81A78BAB-4B84-49FA-AA28-47EC1D970B2E}"/>
    <cellStyle name="Style 81 5 2 3 8" xfId="13723" xr:uid="{BFBD03AF-F4D2-44A4-816A-6537E85A8EB8}"/>
    <cellStyle name="Style 81 5 2 3 8 2" xfId="32483" xr:uid="{E8891E31-C8E5-4E2F-9A06-CA0E2CA60AC1}"/>
    <cellStyle name="Style 81 5 2 3 9" xfId="13724" xr:uid="{43F6A3A4-ABBC-4DC1-B328-F951947EE5AF}"/>
    <cellStyle name="Style 81 5 2 3 9 2" xfId="32484" xr:uid="{0FD882DF-1C1D-400D-8B82-ED69356D0EAE}"/>
    <cellStyle name="Style 81 5 2 4" xfId="3458" xr:uid="{135D501A-A102-456F-BE7D-8F2CCC588663}"/>
    <cellStyle name="Style 81 5 2 4 10" xfId="13725" xr:uid="{DD2BA113-9043-4816-A07E-A5B6BAB0116D}"/>
    <cellStyle name="Style 81 5 2 4 10 2" xfId="32485" xr:uid="{76FD29F9-AFB1-4F6E-9418-14128462795A}"/>
    <cellStyle name="Style 81 5 2 4 11" xfId="13726" xr:uid="{7461AB3E-16A0-4E1D-976B-6A816518448E}"/>
    <cellStyle name="Style 81 5 2 4 11 2" xfId="32486" xr:uid="{BC1576F2-980E-4DB2-A2C9-3C9AD8649715}"/>
    <cellStyle name="Style 81 5 2 4 12" xfId="13727" xr:uid="{C1291A4C-92F5-4CA2-886D-93D389367414}"/>
    <cellStyle name="Style 81 5 2 4 12 2" xfId="32487" xr:uid="{2514C123-2205-4A9F-9983-3045A34983B7}"/>
    <cellStyle name="Style 81 5 2 4 13" xfId="24059" xr:uid="{D9AB21AD-5D92-4E84-9DA6-79C7270DEE68}"/>
    <cellStyle name="Style 81 5 2 4 2" xfId="3459" xr:uid="{AC909EFA-4899-4DC9-9A38-719E6976D898}"/>
    <cellStyle name="Style 81 5 2 4 2 10" xfId="13728" xr:uid="{665299FF-83DE-4E44-8C2A-E5EB1B9AF8FB}"/>
    <cellStyle name="Style 81 5 2 4 2 10 2" xfId="32488" xr:uid="{AA64CB61-54BB-4D2A-A1DB-DEBCAC5037B3}"/>
    <cellStyle name="Style 81 5 2 4 2 11" xfId="13729" xr:uid="{04234AE1-78F7-4337-AC64-856DEC9A2A55}"/>
    <cellStyle name="Style 81 5 2 4 2 11 2" xfId="32489" xr:uid="{A8D834B5-5A85-415A-BF7A-93E7A8B44AAC}"/>
    <cellStyle name="Style 81 5 2 4 2 12" xfId="24060" xr:uid="{F112BE42-9E47-43C9-B371-6800486846FD}"/>
    <cellStyle name="Style 81 5 2 4 2 2" xfId="7016" xr:uid="{B092BA14-A5B4-49E3-B567-C0C366695641}"/>
    <cellStyle name="Style 81 5 2 4 2 2 2" xfId="13730" xr:uid="{76741475-17D6-404F-8939-7A9E96472C15}"/>
    <cellStyle name="Style 81 5 2 4 2 2 2 2" xfId="32490" xr:uid="{FD047668-7C8F-4EF2-8269-8BCE5AAA3E2B}"/>
    <cellStyle name="Style 81 5 2 4 2 3" xfId="7015" xr:uid="{69831100-159B-420F-A781-C586C3F1F416}"/>
    <cellStyle name="Style 81 5 2 4 2 3 2" xfId="13731" xr:uid="{61F22E3B-76D6-4683-AEDD-69B578C8BA7A}"/>
    <cellStyle name="Style 81 5 2 4 2 3 2 2" xfId="32491" xr:uid="{6F696823-521C-4329-A18B-63532191A464}"/>
    <cellStyle name="Style 81 5 2 4 2 4" xfId="13732" xr:uid="{31EDE8D0-C56C-4817-9399-065138D96E66}"/>
    <cellStyle name="Style 81 5 2 4 2 4 2" xfId="13733" xr:uid="{80A5FB3B-1EE4-4A36-9FEF-CB65AA2FC0B4}"/>
    <cellStyle name="Style 81 5 2 4 2 4 2 2" xfId="32492" xr:uid="{2449B818-C3FE-45FD-AE8C-CC24CAC0CADF}"/>
    <cellStyle name="Style 81 5 2 4 2 4 3" xfId="28082" xr:uid="{72C8B894-8BB2-4732-AC2D-A8DA520E9508}"/>
    <cellStyle name="Style 81 5 2 4 2 5" xfId="13734" xr:uid="{18FC0883-DDA4-4DDF-AA4F-104999F24177}"/>
    <cellStyle name="Style 81 5 2 4 2 5 2" xfId="32493" xr:uid="{C657EB9A-74D7-4232-B27F-EBC8E5EC003D}"/>
    <cellStyle name="Style 81 5 2 4 2 6" xfId="13735" xr:uid="{DC1DC157-BAC6-47B0-A7AA-5A6415A2E82A}"/>
    <cellStyle name="Style 81 5 2 4 2 6 2" xfId="32494" xr:uid="{F31E9646-0D59-45A5-845D-1825CD9475C1}"/>
    <cellStyle name="Style 81 5 2 4 2 7" xfId="13736" xr:uid="{B5AFA345-F3D7-4184-B395-434F21572699}"/>
    <cellStyle name="Style 81 5 2 4 2 7 2" xfId="32495" xr:uid="{A4E647D1-1305-40C9-B032-B4513DBFA04F}"/>
    <cellStyle name="Style 81 5 2 4 2 8" xfId="13737" xr:uid="{AAF7190F-E8D1-418C-8DC6-054B3B05AD45}"/>
    <cellStyle name="Style 81 5 2 4 2 8 2" xfId="32496" xr:uid="{559547E9-A3ED-43C6-AB4B-BE80041B2B45}"/>
    <cellStyle name="Style 81 5 2 4 2 9" xfId="13738" xr:uid="{5B2EC1C1-A8F2-40D9-9B3E-EA9A15DB2E92}"/>
    <cellStyle name="Style 81 5 2 4 2 9 2" xfId="32497" xr:uid="{0D9C692E-6299-4E5E-B98E-38F6ABA19187}"/>
    <cellStyle name="Style 81 5 2 4 3" xfId="7017" xr:uid="{E7CEE4BD-4B0C-4B97-9F55-15877829E615}"/>
    <cellStyle name="Style 81 5 2 4 3 2" xfId="13739" xr:uid="{869B3575-1F29-498A-AE3B-515CA2718B00}"/>
    <cellStyle name="Style 81 5 2 4 3 2 2" xfId="32498" xr:uid="{B571B6BF-B36E-4696-BC3E-2780EEAF9741}"/>
    <cellStyle name="Style 81 5 2 4 4" xfId="7014" xr:uid="{A29E348A-045A-455F-A5B9-9A05CC254DA6}"/>
    <cellStyle name="Style 81 5 2 4 4 2" xfId="13740" xr:uid="{56D34901-8FFF-487C-841C-F41607C9A71B}"/>
    <cellStyle name="Style 81 5 2 4 4 2 2" xfId="32499" xr:uid="{6A9B3D75-5467-4E8C-832B-489988329CC6}"/>
    <cellStyle name="Style 81 5 2 4 5" xfId="13741" xr:uid="{9C6E8D1E-E5C8-4D93-930C-B8B9F8550BEF}"/>
    <cellStyle name="Style 81 5 2 4 5 2" xfId="13742" xr:uid="{A6124372-35AB-4748-A82A-3252FEAE15D2}"/>
    <cellStyle name="Style 81 5 2 4 5 2 2" xfId="32500" xr:uid="{1BE76A7F-0FF3-4A60-B3FC-0081382B71D0}"/>
    <cellStyle name="Style 81 5 2 4 5 3" xfId="28081" xr:uid="{9A8FE04D-3B39-4750-BE1D-33FC13996864}"/>
    <cellStyle name="Style 81 5 2 4 6" xfId="13743" xr:uid="{10248EE0-2574-46BB-B3A5-9EAC3CC9E64B}"/>
    <cellStyle name="Style 81 5 2 4 6 2" xfId="32501" xr:uid="{D186008F-0043-4177-98EB-DBFA62CC3FA3}"/>
    <cellStyle name="Style 81 5 2 4 7" xfId="13744" xr:uid="{D062C472-2F64-40E0-A409-E350CC5F5E5E}"/>
    <cellStyle name="Style 81 5 2 4 7 2" xfId="32502" xr:uid="{1577B843-CCA2-43A5-A03B-2F35DF129B58}"/>
    <cellStyle name="Style 81 5 2 4 8" xfId="13745" xr:uid="{6D99A18B-4A0C-479E-B4B9-0DA5439E7F5B}"/>
    <cellStyle name="Style 81 5 2 4 8 2" xfId="32503" xr:uid="{3E0D89FC-629E-4EA1-9FB7-B079401A6849}"/>
    <cellStyle name="Style 81 5 2 4 9" xfId="13746" xr:uid="{3FEBB0E1-689E-4AF2-AB07-DA82A0B66E2B}"/>
    <cellStyle name="Style 81 5 2 4 9 2" xfId="32504" xr:uid="{A9E1480E-9A9C-4B74-AD1A-6CC2840599F9}"/>
    <cellStyle name="Style 81 5 2 5" xfId="7018" xr:uid="{F74E716C-6EC2-4BA7-A36E-8307071239E7}"/>
    <cellStyle name="Style 81 5 2 5 2" xfId="13747" xr:uid="{716AB4DA-1C81-4C9B-BF6C-479F643FEC32}"/>
    <cellStyle name="Style 81 5 2 5 2 2" xfId="32505" xr:uid="{84629C43-47D0-414F-B415-FB4EDAB32142}"/>
    <cellStyle name="Style 81 5 2 6" xfId="7019" xr:uid="{D1773560-EDD5-49C8-806E-F77966DA587B}"/>
    <cellStyle name="Style 81 5 2 6 2" xfId="13748" xr:uid="{AEB05563-938B-4190-9F67-7DD3C03AAF7F}"/>
    <cellStyle name="Style 81 5 2 6 2 2" xfId="32506" xr:uid="{8EC983DF-F94F-478B-B56E-5058AA069562}"/>
    <cellStyle name="Style 81 5 2 7" xfId="7004" xr:uid="{803F6BC3-4950-4344-824B-D987407AF273}"/>
    <cellStyle name="Style 81 5 2 7 2" xfId="13749" xr:uid="{2292FA61-4002-4835-AA19-7D500F03BA04}"/>
    <cellStyle name="Style 81 5 2 7 2 2" xfId="32507" xr:uid="{DD3CD04F-3764-416E-A439-5FE6909997CD}"/>
    <cellStyle name="Style 81 5 2 8" xfId="13750" xr:uid="{50F064B5-E10A-4377-BCA8-663027B05DAA}"/>
    <cellStyle name="Style 81 5 2 8 2" xfId="13751" xr:uid="{1512B8B9-81B7-49B3-A671-CDE8D50B9F86}"/>
    <cellStyle name="Style 81 5 2 8 2 2" xfId="32508" xr:uid="{52FF8A68-0A94-47C0-B881-7CFA79059797}"/>
    <cellStyle name="Style 81 5 2 8 3" xfId="28077" xr:uid="{97051CAE-6663-4BF3-AEBB-F0FA223D5284}"/>
    <cellStyle name="Style 81 5 2 9" xfId="13752" xr:uid="{14DF5087-6B89-4EB0-895A-ABD5F30B58BD}"/>
    <cellStyle name="Style 81 5 2 9 2" xfId="32509" xr:uid="{391B3C17-5343-4783-9AC7-D17D5FC33383}"/>
    <cellStyle name="Style 81 5 3" xfId="3460" xr:uid="{9F969400-8EAD-49EB-932F-7CE6DA3D2D3D}"/>
    <cellStyle name="Style 81 5 3 10" xfId="13753" xr:uid="{97CC58ED-366C-4E97-93AA-128150A5A4BF}"/>
    <cellStyle name="Style 81 5 3 10 2" xfId="32510" xr:uid="{23FD7A91-CEF0-45B0-89F8-897021B196C1}"/>
    <cellStyle name="Style 81 5 3 11" xfId="13754" xr:uid="{9BFCD9C9-3843-44D1-8976-20E02D847E1D}"/>
    <cellStyle name="Style 81 5 3 11 2" xfId="32511" xr:uid="{22B6C851-F6A7-4242-830F-0AF1453EE672}"/>
    <cellStyle name="Style 81 5 3 12" xfId="24061" xr:uid="{F6F6A0DA-76DA-4F28-921D-D2C7AC7978FE}"/>
    <cellStyle name="Style 81 5 3 2" xfId="7021" xr:uid="{A43AA08C-1A1D-48E8-A275-48A031A136A2}"/>
    <cellStyle name="Style 81 5 3 2 2" xfId="13755" xr:uid="{EB90B6CE-DBC9-4089-A0A1-CC6963B2C98D}"/>
    <cellStyle name="Style 81 5 3 2 2 2" xfId="32512" xr:uid="{959C3EC8-35BD-41B6-82BD-368B3AFBDACC}"/>
    <cellStyle name="Style 81 5 3 3" xfId="7020" xr:uid="{3480CFCA-C697-45B9-93AB-8247397C0045}"/>
    <cellStyle name="Style 81 5 3 3 2" xfId="13756" xr:uid="{BB8A6FB7-E2DE-4F63-89C8-D099CD719FD8}"/>
    <cellStyle name="Style 81 5 3 3 2 2" xfId="32513" xr:uid="{108D942E-CB3D-4ED6-B4A8-9A6DC618D2DC}"/>
    <cellStyle name="Style 81 5 3 4" xfId="13757" xr:uid="{EED7430C-BF87-4086-94FA-6A3A4F7F8F60}"/>
    <cellStyle name="Style 81 5 3 4 2" xfId="13758" xr:uid="{0FAA5782-B023-4779-B9E3-F46ED16FA27B}"/>
    <cellStyle name="Style 81 5 3 4 2 2" xfId="32514" xr:uid="{81F304F5-CCC9-4B9F-BF08-AA7AF6ECA798}"/>
    <cellStyle name="Style 81 5 3 4 3" xfId="28083" xr:uid="{102F5A19-27A8-447D-8137-8AE68087F712}"/>
    <cellStyle name="Style 81 5 3 5" xfId="13759" xr:uid="{EF02F7B0-B8C3-48A6-95EC-96FDCE29223E}"/>
    <cellStyle name="Style 81 5 3 5 2" xfId="32515" xr:uid="{16615BD0-BAAC-41A1-AE57-AC26BD3AC0A5}"/>
    <cellStyle name="Style 81 5 3 6" xfId="13760" xr:uid="{6FDA5117-5C38-4E83-B274-69D4B36CE56F}"/>
    <cellStyle name="Style 81 5 3 6 2" xfId="32516" xr:uid="{12A8279E-6C95-41F3-9740-8ACF9F5EE38C}"/>
    <cellStyle name="Style 81 5 3 7" xfId="13761" xr:uid="{84913AB7-EDE2-45A8-9C41-2FF4C5EFC3AA}"/>
    <cellStyle name="Style 81 5 3 7 2" xfId="32517" xr:uid="{F28D55F7-6FD0-47FF-A83D-2F2659542A59}"/>
    <cellStyle name="Style 81 5 3 8" xfId="13762" xr:uid="{9B6F00EC-3623-4173-AECD-C9448B4E4F36}"/>
    <cellStyle name="Style 81 5 3 8 2" xfId="32518" xr:uid="{66D852F2-1F36-4065-B26E-2D2454648182}"/>
    <cellStyle name="Style 81 5 3 9" xfId="13763" xr:uid="{FD39B322-3026-4CFC-AA77-928E4C8A83E5}"/>
    <cellStyle name="Style 81 5 3 9 2" xfId="32519" xr:uid="{AAA6A987-45A8-4294-AF34-F959CC272818}"/>
    <cellStyle name="Style 81 5 4" xfId="7022" xr:uid="{2795C654-4977-4505-AC94-1FD9EE195D59}"/>
    <cellStyle name="Style 81 5 4 2" xfId="7023" xr:uid="{D718D977-5AAD-49EB-8A09-5ACA023B5B7B}"/>
    <cellStyle name="Style 81 5 4 2 2" xfId="13764" xr:uid="{1A050714-0F45-40A2-BBE0-B347B17097D5}"/>
    <cellStyle name="Style 81 5 4 2 2 2" xfId="32520" xr:uid="{179489B0-0C43-49B7-93BE-45ED5863C73F}"/>
    <cellStyle name="Style 81 5 4 3" xfId="7024" xr:uid="{9E07ABEA-8108-4B67-B99A-126E45536505}"/>
    <cellStyle name="Style 81 5 4 3 2" xfId="13765" xr:uid="{93AD51E6-B785-4256-8BA8-12BD0060367F}"/>
    <cellStyle name="Style 81 5 4 3 2 2" xfId="32521" xr:uid="{4C5DEE15-DD1B-47D0-A900-82E3DCEC9AB5}"/>
    <cellStyle name="Style 81 5 4 4" xfId="13766" xr:uid="{149CDCDE-9AB1-407D-980B-177E7A747DA3}"/>
    <cellStyle name="Style 81 5 4 4 2" xfId="32522" xr:uid="{C79C2C43-A303-451E-8906-BAC799FC218D}"/>
    <cellStyle name="Style 81 5 4 5" xfId="24062" xr:uid="{C2559F1C-6935-4DDF-9DA3-F307B1D91D39}"/>
    <cellStyle name="Style 81 5 5" xfId="7025" xr:uid="{4721D075-B125-4A8C-93C4-6A4E4B42AB6D}"/>
    <cellStyle name="Style 81 5 5 2" xfId="13767" xr:uid="{BEA9BC36-3C5D-4FDA-9202-F507C9588984}"/>
    <cellStyle name="Style 81 5 5 2 2" xfId="32523" xr:uid="{11A09081-0606-4C79-AE8F-D7B2015C90AC}"/>
    <cellStyle name="Style 81 5 6" xfId="7003" xr:uid="{61FABC16-64F3-4AD4-97CA-08BCC2661529}"/>
    <cellStyle name="Style 81 5 6 2" xfId="13768" xr:uid="{3348EED8-B0C8-4969-82DF-AD8E4250BF9E}"/>
    <cellStyle name="Style 81 5 6 2 2" xfId="32524" xr:uid="{6CFFF75F-A14E-4E38-A541-DA9D4E820C25}"/>
    <cellStyle name="Style 81 5 7" xfId="4444" xr:uid="{33E983DB-9759-4D90-96CF-8C438D4A6177}"/>
    <cellStyle name="Style 81 5 7 2" xfId="13769" xr:uid="{DD5A01C3-B8E5-46FE-8580-8B8FAFF329DD}"/>
    <cellStyle name="Style 81 5 7 2 2" xfId="32525" xr:uid="{90C43E15-B868-4FFF-8A51-29CBEBD9984E}"/>
    <cellStyle name="Style 81 5 7 3" xfId="26706" xr:uid="{0A4D8CE6-8632-47A1-A6C7-E144995A8C57}"/>
    <cellStyle name="Style 81 5 8" xfId="13770" xr:uid="{7A27D04E-B7BB-461C-858B-C5D7B11BACBA}"/>
    <cellStyle name="Style 81 5 8 2" xfId="13771" xr:uid="{7A61E19E-F93F-484F-A2CB-FB0904FEA5F1}"/>
    <cellStyle name="Style 81 5 8 2 2" xfId="32526" xr:uid="{235E3C31-8413-445C-87E6-473FFF3E8D14}"/>
    <cellStyle name="Style 81 5 8 3" xfId="28076" xr:uid="{00FAA3EE-0854-4C4D-A783-07534A6ADA39}"/>
    <cellStyle name="Style 81 5 9" xfId="13772" xr:uid="{391D92B5-C007-436B-9201-5484AA35F6C5}"/>
    <cellStyle name="Style 81 5 9 2" xfId="32527" xr:uid="{12A0303D-E774-4521-8545-A7B26AA2212D}"/>
    <cellStyle name="Style 81 6" xfId="3461" xr:uid="{1552C3A4-C7EC-4EAD-95D2-61C71E388C9D}"/>
    <cellStyle name="Style 81 6 10" xfId="13773" xr:uid="{2BC37C02-F78C-4E70-AB71-18AB3C5888DC}"/>
    <cellStyle name="Style 81 6 10 2" xfId="32528" xr:uid="{3BDBBE43-D5F2-41C9-8A8E-DEA44E6A8810}"/>
    <cellStyle name="Style 81 6 11" xfId="13774" xr:uid="{D58F41AC-A056-4DE6-90B5-33C22B80618E}"/>
    <cellStyle name="Style 81 6 11 2" xfId="32529" xr:uid="{3D888963-E514-4302-AA1E-1F63FA518FA6}"/>
    <cellStyle name="Style 81 6 12" xfId="13775" xr:uid="{A0BA259F-E6B9-47C1-A43F-ACCA37BE7BA3}"/>
    <cellStyle name="Style 81 6 12 2" xfId="32530" xr:uid="{341CA468-7D36-4DAD-9967-C7FC2256B936}"/>
    <cellStyle name="Style 81 6 13" xfId="13776" xr:uid="{BFCE4D68-9075-4A2C-B767-2AEACE1BC5EA}"/>
    <cellStyle name="Style 81 6 13 2" xfId="32531" xr:uid="{D7994298-F3CC-4954-9C94-CFA1E469C525}"/>
    <cellStyle name="Style 81 6 14" xfId="13777" xr:uid="{744D104C-B584-409D-AD21-86C75A7D24BD}"/>
    <cellStyle name="Style 81 6 14 2" xfId="32532" xr:uid="{A2362C2C-5229-4237-9DDD-8B56A3FC1377}"/>
    <cellStyle name="Style 81 6 15" xfId="13778" xr:uid="{A7F9A358-7F5C-4B8E-AAE3-2B42CBDDF2AC}"/>
    <cellStyle name="Style 81 6 15 2" xfId="32533" xr:uid="{1894C937-86F9-45E7-9206-F64B94308685}"/>
    <cellStyle name="Style 81 6 16" xfId="13779" xr:uid="{5AC86E94-C549-446E-B151-28627E90C9B0}"/>
    <cellStyle name="Style 81 6 16 2" xfId="32534" xr:uid="{6693D400-5613-4647-A822-6D099A618BDE}"/>
    <cellStyle name="Style 81 6 17" xfId="24063" xr:uid="{FEDF6EE8-3ACE-4301-AA35-5E074A60BB38}"/>
    <cellStyle name="Style 81 6 2" xfId="3462" xr:uid="{E11832B8-EAE3-45FA-BE17-454315717441}"/>
    <cellStyle name="Style 81 6 2 10" xfId="13780" xr:uid="{07403FC8-7088-448A-BEB4-420226FF3F71}"/>
    <cellStyle name="Style 81 6 2 10 2" xfId="32535" xr:uid="{4C7C34DE-E09B-4683-A2A0-76E01C15A100}"/>
    <cellStyle name="Style 81 6 2 11" xfId="13781" xr:uid="{D3160E55-8F76-4458-9301-7028FA6A309B}"/>
    <cellStyle name="Style 81 6 2 11 2" xfId="32536" xr:uid="{C21C1E0F-670F-4C7B-B866-AD925A048F3F}"/>
    <cellStyle name="Style 81 6 2 12" xfId="13782" xr:uid="{6C446457-4FCE-477C-BE10-0143B01ED178}"/>
    <cellStyle name="Style 81 6 2 12 2" xfId="32537" xr:uid="{EF9E7DB5-F8C3-42F1-9A70-9E996F907CE4}"/>
    <cellStyle name="Style 81 6 2 13" xfId="24064" xr:uid="{E486A62C-F0D7-4073-8FF4-BE83E2EF2526}"/>
    <cellStyle name="Style 81 6 2 2" xfId="7028" xr:uid="{92289B92-58FC-4506-BCA5-6D041BE4423B}"/>
    <cellStyle name="Style 81 6 2 2 2" xfId="13783" xr:uid="{C0BCFDB2-3048-4669-A498-29C1658E6301}"/>
    <cellStyle name="Style 81 6 2 2 2 2" xfId="32538" xr:uid="{F5120C22-F9E7-4CA2-9DB9-5FC7DED1CF86}"/>
    <cellStyle name="Style 81 6 2 3" xfId="7027" xr:uid="{5D454895-3CF7-4EE0-9A5F-E975A2CD4E03}"/>
    <cellStyle name="Style 81 6 2 3 2" xfId="13784" xr:uid="{8965A54B-E37F-41BD-8FC2-2CAE36D52EE7}"/>
    <cellStyle name="Style 81 6 2 3 2 2" xfId="32539" xr:uid="{D13D2131-0636-4A58-A340-C6B031C91273}"/>
    <cellStyle name="Style 81 6 2 4" xfId="13785" xr:uid="{24FE3810-23BC-481F-AC3A-4AE3FE513A50}"/>
    <cellStyle name="Style 81 6 2 4 2" xfId="13786" xr:uid="{8292A933-1F35-4ED0-890D-67C468C5F767}"/>
    <cellStyle name="Style 81 6 2 4 2 2" xfId="32540" xr:uid="{C52545BA-0650-48A0-8364-BFD732BD78E7}"/>
    <cellStyle name="Style 81 6 2 4 3" xfId="28085" xr:uid="{7A5F3391-DF33-4CA6-8224-5B25D4F720D4}"/>
    <cellStyle name="Style 81 6 2 5" xfId="13787" xr:uid="{9C55FA30-21DE-4C76-ABE8-525D2821545E}"/>
    <cellStyle name="Style 81 6 2 5 2" xfId="32541" xr:uid="{EAE4157C-40EF-442F-97B8-ABD4ABB96895}"/>
    <cellStyle name="Style 81 6 2 6" xfId="13788" xr:uid="{6B1B02C5-8A69-4A3D-A61F-EFF1A2506F2E}"/>
    <cellStyle name="Style 81 6 2 6 2" xfId="32542" xr:uid="{3F388883-5823-4114-AAF6-BECD1C951F12}"/>
    <cellStyle name="Style 81 6 2 7" xfId="13789" xr:uid="{69C5EBBA-B069-456B-8359-6E6F34655F65}"/>
    <cellStyle name="Style 81 6 2 7 2" xfId="32543" xr:uid="{C335E8CA-56E1-4ED7-9F07-AC4113921EC4}"/>
    <cellStyle name="Style 81 6 2 8" xfId="13790" xr:uid="{12062D65-A15A-4DA9-9599-9F834AA10D1E}"/>
    <cellStyle name="Style 81 6 2 8 2" xfId="32544" xr:uid="{AEEB5D31-31DB-4F95-9AFD-7D7F996343C7}"/>
    <cellStyle name="Style 81 6 2 9" xfId="13791" xr:uid="{847F6861-D58C-4080-B584-FE9A3B84D656}"/>
    <cellStyle name="Style 81 6 2 9 2" xfId="32545" xr:uid="{9CDA896B-D052-46F6-B24A-9A13F2DF9B61}"/>
    <cellStyle name="Style 81 6 3" xfId="3463" xr:uid="{0719B096-2661-4A96-B691-2FE4DEC6605F}"/>
    <cellStyle name="Style 81 6 3 10" xfId="13792" xr:uid="{1936DB9D-0CA5-4EC8-AC51-71F327C4F1D8}"/>
    <cellStyle name="Style 81 6 3 10 2" xfId="32546" xr:uid="{673267AC-9AF5-4924-827C-5232B20FB33D}"/>
    <cellStyle name="Style 81 6 3 11" xfId="13793" xr:uid="{B923D3B6-DC7B-4D36-9D64-E540D97601BC}"/>
    <cellStyle name="Style 81 6 3 11 2" xfId="32547" xr:uid="{FA244584-911B-4449-AD09-A3F6EC633AC3}"/>
    <cellStyle name="Style 81 6 3 12" xfId="13794" xr:uid="{4F664FD9-47E2-4D39-8AD5-F9825D304074}"/>
    <cellStyle name="Style 81 6 3 12 2" xfId="32548" xr:uid="{44206947-EC8C-4394-AFE9-142D0B58719E}"/>
    <cellStyle name="Style 81 6 3 13" xfId="13795" xr:uid="{44159099-828E-4075-B2FE-71F978A8403F}"/>
    <cellStyle name="Style 81 6 3 13 2" xfId="32549" xr:uid="{15A8D4B8-409F-4C08-B353-5724B2730FA0}"/>
    <cellStyle name="Style 81 6 3 14" xfId="13796" xr:uid="{507B8AC7-05FA-4D9C-9B30-CDC961055A4A}"/>
    <cellStyle name="Style 81 6 3 14 2" xfId="32550" xr:uid="{110F7502-8B74-4F69-8841-79CB48F02F7A}"/>
    <cellStyle name="Style 81 6 3 15" xfId="24065" xr:uid="{291DE5B5-FCC2-4574-9820-6A4BD430979B}"/>
    <cellStyle name="Style 81 6 3 2" xfId="3464" xr:uid="{22C78018-A4DD-4ECF-B374-E28157C1D706}"/>
    <cellStyle name="Style 81 6 3 2 10" xfId="13797" xr:uid="{D056F6BD-54D6-42C3-AE37-B67E41E9BD46}"/>
    <cellStyle name="Style 81 6 3 2 10 2" xfId="32551" xr:uid="{4FECACED-962A-4772-9D6E-7285CF0ECDE2}"/>
    <cellStyle name="Style 81 6 3 2 11" xfId="13798" xr:uid="{2EF0F2E2-7C2B-4C5F-9361-80F5F3318D2F}"/>
    <cellStyle name="Style 81 6 3 2 11 2" xfId="32552" xr:uid="{AE40603A-B812-4442-9D19-FD8E1A6A6D35}"/>
    <cellStyle name="Style 81 6 3 2 12" xfId="13799" xr:uid="{20630C1F-83E0-44A5-AF3C-F9B0D23B47DE}"/>
    <cellStyle name="Style 81 6 3 2 12 2" xfId="32553" xr:uid="{9A7304AD-F9CD-476B-94B6-C7F621C1AE93}"/>
    <cellStyle name="Style 81 6 3 2 13" xfId="24066" xr:uid="{D724D034-FD85-40C3-9EBC-2F1F5636A41D}"/>
    <cellStyle name="Style 81 6 3 2 2" xfId="7031" xr:uid="{4903BA9C-7EA7-4F9F-A405-FC9D3802BB09}"/>
    <cellStyle name="Style 81 6 3 2 2 2" xfId="13800" xr:uid="{9C123982-A829-4D21-89E2-C60036643FD3}"/>
    <cellStyle name="Style 81 6 3 2 2 2 2" xfId="32554" xr:uid="{DDE45B83-F7BC-43B1-AD17-BC52CF5D518F}"/>
    <cellStyle name="Style 81 6 3 2 3" xfId="7030" xr:uid="{5AF03AF3-166D-47F9-AEB0-8E0446136AAE}"/>
    <cellStyle name="Style 81 6 3 2 3 2" xfId="13801" xr:uid="{E6C23910-07FB-4E5A-A2C3-C29F31785876}"/>
    <cellStyle name="Style 81 6 3 2 3 2 2" xfId="32555" xr:uid="{FACC9150-562B-4A4C-80A6-BC210B5EE913}"/>
    <cellStyle name="Style 81 6 3 2 4" xfId="13802" xr:uid="{15664555-64E4-4F6D-BF58-09E2FC93FBEF}"/>
    <cellStyle name="Style 81 6 3 2 4 2" xfId="13803" xr:uid="{C99277C5-BC01-4B96-B0C8-7AF1333CC4C8}"/>
    <cellStyle name="Style 81 6 3 2 4 2 2" xfId="32556" xr:uid="{FE2863F3-F160-4577-81C1-DAD026C485DE}"/>
    <cellStyle name="Style 81 6 3 2 4 3" xfId="28087" xr:uid="{82663C53-6063-4C94-A63D-D383CAADAF9E}"/>
    <cellStyle name="Style 81 6 3 2 5" xfId="13804" xr:uid="{3AD054DE-7D75-41FF-BED6-324C68B03C6F}"/>
    <cellStyle name="Style 81 6 3 2 5 2" xfId="32557" xr:uid="{222BD7C9-3C04-4B43-B0BD-531319EB3A56}"/>
    <cellStyle name="Style 81 6 3 2 6" xfId="13805" xr:uid="{4BF6E3A6-2090-45DB-88DA-1D13F9451F09}"/>
    <cellStyle name="Style 81 6 3 2 6 2" xfId="32558" xr:uid="{9B147862-820F-467E-85E4-C0111AF7FA1B}"/>
    <cellStyle name="Style 81 6 3 2 7" xfId="13806" xr:uid="{8981F897-1F0D-4A28-9B77-1EF987257C13}"/>
    <cellStyle name="Style 81 6 3 2 7 2" xfId="32559" xr:uid="{35E887B8-7C74-47A2-849D-8F18BBF28EB7}"/>
    <cellStyle name="Style 81 6 3 2 8" xfId="13807" xr:uid="{B0FE28F6-12F5-4FD0-9E77-7F728C467607}"/>
    <cellStyle name="Style 81 6 3 2 8 2" xfId="32560" xr:uid="{EF8573E3-8525-44F5-8F9B-84B71D659DE5}"/>
    <cellStyle name="Style 81 6 3 2 9" xfId="13808" xr:uid="{049F798C-E66B-42CF-B5A5-38FF1F41FBD9}"/>
    <cellStyle name="Style 81 6 3 2 9 2" xfId="32561" xr:uid="{34C2BACE-CCAE-4A4D-8AEF-1029B3FB1517}"/>
    <cellStyle name="Style 81 6 3 3" xfId="7032" xr:uid="{B90E884C-0AC5-4A6B-85FC-EC88396C119F}"/>
    <cellStyle name="Style 81 6 3 3 2" xfId="7033" xr:uid="{D36534A1-B5C5-4F2E-98C8-0947896CFCFC}"/>
    <cellStyle name="Style 81 6 3 3 2 2" xfId="13809" xr:uid="{4A4622C2-FD49-4F6D-804B-96B45259FE77}"/>
    <cellStyle name="Style 81 6 3 3 2 2 2" xfId="32562" xr:uid="{378355B7-5B86-497C-80A8-CD6235DFBCE2}"/>
    <cellStyle name="Style 81 6 3 3 3" xfId="13810" xr:uid="{A8EBB771-E021-420E-838C-66F694D53315}"/>
    <cellStyle name="Style 81 6 3 3 3 2" xfId="32563" xr:uid="{F7FE46CD-5941-4AF1-AC32-DFACE2F58F7F}"/>
    <cellStyle name="Style 81 6 3 3 4" xfId="13811" xr:uid="{6B58F9CC-EC11-49B7-BABC-DDDAF3F4E532}"/>
    <cellStyle name="Style 81 6 3 3 4 2" xfId="32564" xr:uid="{2D628705-6B47-49DF-90BD-7BCAB222C208}"/>
    <cellStyle name="Style 81 6 3 3 5" xfId="24067" xr:uid="{61C7CF57-1EFB-4984-994D-9D53C95667E0}"/>
    <cellStyle name="Style 81 6 3 4" xfId="7034" xr:uid="{0F27F779-3C36-4312-9EBC-B4E24D935BCD}"/>
    <cellStyle name="Style 81 6 3 4 2" xfId="13812" xr:uid="{A8403390-82B5-45B5-9495-3CD372313CA1}"/>
    <cellStyle name="Style 81 6 3 4 2 2" xfId="32565" xr:uid="{9EA5BAFD-7140-42E5-8905-ABE96631F3B4}"/>
    <cellStyle name="Style 81 6 3 5" xfId="7035" xr:uid="{F31101B1-BA15-40A2-BE1B-F5644095BC4A}"/>
    <cellStyle name="Style 81 6 3 5 2" xfId="13813" xr:uid="{F1AB9D83-4013-4471-8F6E-5E26D98F1603}"/>
    <cellStyle name="Style 81 6 3 5 2 2" xfId="32566" xr:uid="{2AF83C36-A512-4A52-9E0A-3C997EC08A9D}"/>
    <cellStyle name="Style 81 6 3 6" xfId="7029" xr:uid="{B31FC542-22B6-4A18-85DF-8708E0357505}"/>
    <cellStyle name="Style 81 6 3 6 2" xfId="13814" xr:uid="{8DD7BBF9-5B63-4F1C-8A22-6DAC1438148C}"/>
    <cellStyle name="Style 81 6 3 6 2 2" xfId="32567" xr:uid="{F8993C80-7B0A-48D5-864A-786055174ACA}"/>
    <cellStyle name="Style 81 6 3 7" xfId="13815" xr:uid="{9748501B-4BE7-4870-938C-E6902B4C0971}"/>
    <cellStyle name="Style 81 6 3 7 2" xfId="13816" xr:uid="{2FAC824D-2CE9-43C4-9B7A-B5D40DA2D59A}"/>
    <cellStyle name="Style 81 6 3 7 2 2" xfId="32568" xr:uid="{5A1DFFA9-4B2F-41B6-8A24-60025095ED69}"/>
    <cellStyle name="Style 81 6 3 7 3" xfId="28086" xr:uid="{A86881F3-3938-4754-AF14-6E7A2683651F}"/>
    <cellStyle name="Style 81 6 3 8" xfId="13817" xr:uid="{942E0378-4F19-4629-A568-CFF2297A021B}"/>
    <cellStyle name="Style 81 6 3 8 2" xfId="32569" xr:uid="{0B3949A0-5261-4F52-8268-67D63EE59A6B}"/>
    <cellStyle name="Style 81 6 3 9" xfId="13818" xr:uid="{1AEB3E3A-CE10-4A50-BC18-F335BE73B6DF}"/>
    <cellStyle name="Style 81 6 3 9 2" xfId="32570" xr:uid="{8A8B0AE5-D520-4BDD-B6D8-CEC953DB28C7}"/>
    <cellStyle name="Style 81 6 4" xfId="3465" xr:uid="{8BF731B3-B4FA-4FDC-9072-AA9B69210959}"/>
    <cellStyle name="Style 81 6 4 10" xfId="13819" xr:uid="{5EB2AB90-BD6F-47A5-8618-7C96B015E044}"/>
    <cellStyle name="Style 81 6 4 10 2" xfId="32571" xr:uid="{F3135847-D3EE-4985-A92E-8D49D6572940}"/>
    <cellStyle name="Style 81 6 4 11" xfId="13820" xr:uid="{C658FEC2-515E-4AD3-B3F3-68B26DA58617}"/>
    <cellStyle name="Style 81 6 4 11 2" xfId="32572" xr:uid="{5BABF190-E6AD-4826-81D2-3C8D3A77C116}"/>
    <cellStyle name="Style 81 6 4 12" xfId="13821" xr:uid="{CC56595C-04B0-4143-9D74-442CC2671AEB}"/>
    <cellStyle name="Style 81 6 4 12 2" xfId="32573" xr:uid="{FBF8F2A3-FF1E-40EC-A7D6-EE16FA437E78}"/>
    <cellStyle name="Style 81 6 4 13" xfId="13822" xr:uid="{4F86FB93-8805-46F0-8148-0A61A6DEDCAA}"/>
    <cellStyle name="Style 81 6 4 13 2" xfId="32574" xr:uid="{B00DEEB8-79D8-49FF-9BE9-EE8079A678F7}"/>
    <cellStyle name="Style 81 6 4 14" xfId="24068" xr:uid="{4904B21D-BAA9-4908-A137-E720F9BEEB6D}"/>
    <cellStyle name="Style 81 6 4 2" xfId="3466" xr:uid="{F5ECF5FC-325E-440E-8620-570B489466A7}"/>
    <cellStyle name="Style 81 6 4 2 10" xfId="13823" xr:uid="{B77E18B5-081E-4C84-BF0F-0925C9E0F5B1}"/>
    <cellStyle name="Style 81 6 4 2 10 2" xfId="32575" xr:uid="{6B73DFAB-4915-4C72-B317-82DBAA0BB20A}"/>
    <cellStyle name="Style 81 6 4 2 11" xfId="13824" xr:uid="{D4912071-9D73-457E-A056-49C0EDFF5BAB}"/>
    <cellStyle name="Style 81 6 4 2 11 2" xfId="32576" xr:uid="{E33F5CE0-5AA9-46F7-B2EB-F25CBD0D61ED}"/>
    <cellStyle name="Style 81 6 4 2 12" xfId="13825" xr:uid="{6E5D3205-A318-40FC-BC7F-6886626ACBE6}"/>
    <cellStyle name="Style 81 6 4 2 12 2" xfId="32577" xr:uid="{6509EF08-59F1-4246-AB1C-7B14ECB9D0FE}"/>
    <cellStyle name="Style 81 6 4 2 13" xfId="24069" xr:uid="{B692BAEE-4CA2-42C5-99BB-5C1316323087}"/>
    <cellStyle name="Style 81 6 4 2 2" xfId="7038" xr:uid="{F2CB3251-F93C-42F5-AFBC-28F58FCAABA6}"/>
    <cellStyle name="Style 81 6 4 2 2 2" xfId="13826" xr:uid="{0CEB1BC3-21CB-4BCB-9DA6-21190DEFFA03}"/>
    <cellStyle name="Style 81 6 4 2 2 2 2" xfId="32578" xr:uid="{FA71ED61-83E0-45CC-8859-E6C37139D050}"/>
    <cellStyle name="Style 81 6 4 2 3" xfId="7037" xr:uid="{A17DF563-644E-4416-B7E1-BBAC958897A7}"/>
    <cellStyle name="Style 81 6 4 2 3 2" xfId="13827" xr:uid="{28C16427-158B-4EF1-A267-BD74AA15BCEC}"/>
    <cellStyle name="Style 81 6 4 2 3 2 2" xfId="32579" xr:uid="{CDCE1E19-7960-4951-A25C-151F303A6241}"/>
    <cellStyle name="Style 81 6 4 2 4" xfId="13828" xr:uid="{91EEEBEA-7BBD-413E-A46C-6FC4B72FD4C7}"/>
    <cellStyle name="Style 81 6 4 2 4 2" xfId="13829" xr:uid="{4FF2DBE4-5798-4DBC-AAF2-858E19BC77E2}"/>
    <cellStyle name="Style 81 6 4 2 4 2 2" xfId="32580" xr:uid="{2B2014B8-EF29-4AF4-B916-BB72074E6D9C}"/>
    <cellStyle name="Style 81 6 4 2 4 3" xfId="28089" xr:uid="{121F3906-48F4-49E6-A18F-8FF30CA52E12}"/>
    <cellStyle name="Style 81 6 4 2 5" xfId="13830" xr:uid="{F2D87177-EBD0-4B16-9F01-BD7288835C17}"/>
    <cellStyle name="Style 81 6 4 2 5 2" xfId="32581" xr:uid="{CB464C30-000D-48BB-A1AA-E8FBF65EB4DE}"/>
    <cellStyle name="Style 81 6 4 2 6" xfId="13831" xr:uid="{3F53C91B-07F9-4F21-B29E-1425E1E657E1}"/>
    <cellStyle name="Style 81 6 4 2 6 2" xfId="32582" xr:uid="{1DF0DAF7-7983-4AB4-BBB0-E5668AEA2D6B}"/>
    <cellStyle name="Style 81 6 4 2 7" xfId="13832" xr:uid="{527812F4-C966-437F-BA09-C0CB66F9564C}"/>
    <cellStyle name="Style 81 6 4 2 7 2" xfId="32583" xr:uid="{708A7F23-6CAC-4C4E-A06C-BFDE03EE0B59}"/>
    <cellStyle name="Style 81 6 4 2 8" xfId="13833" xr:uid="{925B5227-A8FC-40C6-97C2-E1B33CFB6AF0}"/>
    <cellStyle name="Style 81 6 4 2 8 2" xfId="32584" xr:uid="{B173B161-3566-42C1-A682-84C1DED7E20A}"/>
    <cellStyle name="Style 81 6 4 2 9" xfId="13834" xr:uid="{89D562C2-5B03-45DE-8ADD-2AFB636AC935}"/>
    <cellStyle name="Style 81 6 4 2 9 2" xfId="32585" xr:uid="{CD3611D8-A3A0-4B9C-BAA6-2FD7AB40F78A}"/>
    <cellStyle name="Style 81 6 4 3" xfId="7039" xr:uid="{B4F65CF4-8635-4367-BA7B-C4EBB189428E}"/>
    <cellStyle name="Style 81 6 4 3 2" xfId="13835" xr:uid="{77EA952B-C167-4DC9-B544-DFD7A48B74F0}"/>
    <cellStyle name="Style 81 6 4 3 2 2" xfId="32586" xr:uid="{2005C696-0DD3-4860-A377-DDBF4190BF88}"/>
    <cellStyle name="Style 81 6 4 4" xfId="7036" xr:uid="{84134EDF-9740-4E69-B37D-9C9F9B90831A}"/>
    <cellStyle name="Style 81 6 4 4 2" xfId="13836" xr:uid="{886096F6-C6B1-4A80-B69E-175B1761BB46}"/>
    <cellStyle name="Style 81 6 4 4 2 2" xfId="32587" xr:uid="{479FE2C3-6FA8-45CD-BDCB-64F3E5FDEFE6}"/>
    <cellStyle name="Style 81 6 4 5" xfId="13837" xr:uid="{8EB55FAE-B391-4C79-ABBE-C235E84153C5}"/>
    <cellStyle name="Style 81 6 4 5 2" xfId="13838" xr:uid="{D3DBA386-FB8D-4C44-B008-23D02E3295E4}"/>
    <cellStyle name="Style 81 6 4 5 2 2" xfId="32588" xr:uid="{91340804-E18A-4995-B334-64E56636D76D}"/>
    <cellStyle name="Style 81 6 4 5 3" xfId="28088" xr:uid="{868F43AF-053B-4A97-BA9C-0C2BD57DA396}"/>
    <cellStyle name="Style 81 6 4 6" xfId="13839" xr:uid="{A2982E66-BE24-4101-9E4A-2BD7DF72A21F}"/>
    <cellStyle name="Style 81 6 4 6 2" xfId="32589" xr:uid="{105CF11D-D824-4BC0-8EBE-C125F3FF42D2}"/>
    <cellStyle name="Style 81 6 4 7" xfId="13840" xr:uid="{99D672AE-B5DC-4117-B8A3-38116E965BB4}"/>
    <cellStyle name="Style 81 6 4 7 2" xfId="32590" xr:uid="{81B785D1-8709-4614-9163-2D6797F31ED9}"/>
    <cellStyle name="Style 81 6 4 8" xfId="13841" xr:uid="{AD46E4B6-C437-479C-970E-6BD7ED6A8770}"/>
    <cellStyle name="Style 81 6 4 8 2" xfId="32591" xr:uid="{83A53AB3-3437-4319-89B4-11AB6221133D}"/>
    <cellStyle name="Style 81 6 4 9" xfId="13842" xr:uid="{796EA157-3F96-4729-93DB-E618C3516C94}"/>
    <cellStyle name="Style 81 6 4 9 2" xfId="32592" xr:uid="{22692BA9-F6B4-4184-879C-9D757750963B}"/>
    <cellStyle name="Style 81 6 5" xfId="7040" xr:uid="{66E78709-DC4A-47ED-9476-C5BCD5563CE6}"/>
    <cellStyle name="Style 81 6 5 2" xfId="13843" xr:uid="{1671A2B4-31D0-4C93-982C-BE42B5D0DDB6}"/>
    <cellStyle name="Style 81 6 5 2 2" xfId="32593" xr:uid="{08D6C888-371D-4B57-94E9-C058B34D7102}"/>
    <cellStyle name="Style 81 6 5 3" xfId="13844" xr:uid="{051A9979-9B1E-4C70-81A1-3F3B20C5F2BB}"/>
    <cellStyle name="Style 81 6 5 3 2" xfId="32594" xr:uid="{DBE2E174-352E-4861-A996-9C10561F0E38}"/>
    <cellStyle name="Style 81 6 5 4" xfId="13845" xr:uid="{B288C2ED-5526-4E0A-AAF1-CC1950C1B4EA}"/>
    <cellStyle name="Style 81 6 5 4 2" xfId="32595" xr:uid="{F5A68E40-6BDC-4E4A-92F1-3488543A48C8}"/>
    <cellStyle name="Style 81 6 6" xfId="7041" xr:uid="{9758FC0F-3FAA-4FF6-BDBB-5CF42D9B405E}"/>
    <cellStyle name="Style 81 6 6 2" xfId="13846" xr:uid="{DB0F12E0-6689-4413-A70E-AE7FA4264371}"/>
    <cellStyle name="Style 81 6 6 2 2" xfId="32596" xr:uid="{B1368CE7-5E8A-4F45-93B0-659856DC8FF8}"/>
    <cellStyle name="Style 81 6 7" xfId="7026" xr:uid="{621026C6-60D3-45B1-A1A3-EED08D0E7A1B}"/>
    <cellStyle name="Style 81 6 7 2" xfId="13847" xr:uid="{FEE82973-10B2-4B05-BB5F-71451F0C238D}"/>
    <cellStyle name="Style 81 6 7 2 2" xfId="32597" xr:uid="{9A9DEF31-8667-43E3-83F7-669720657FBC}"/>
    <cellStyle name="Style 81 6 8" xfId="13848" xr:uid="{C7E3B976-E8E4-4E9B-9038-AA282BD38F25}"/>
    <cellStyle name="Style 81 6 8 2" xfId="13849" xr:uid="{6BA11F64-2D6C-4970-87CB-F646BBEB34A6}"/>
    <cellStyle name="Style 81 6 8 2 2" xfId="32598" xr:uid="{C8D70C6B-35F5-4B74-B6FF-593563610E80}"/>
    <cellStyle name="Style 81 6 8 3" xfId="28084" xr:uid="{534304FF-E219-40FA-8A44-4A86274F7D8C}"/>
    <cellStyle name="Style 81 6 9" xfId="13850" xr:uid="{6C76F3A4-2646-4F4F-B052-6A1053591752}"/>
    <cellStyle name="Style 81 6 9 2" xfId="32599" xr:uid="{2EE8CE8E-F7E5-4C4E-A580-F62970A355CF}"/>
    <cellStyle name="Style 81 7" xfId="3467" xr:uid="{35412A07-6A12-488E-A02B-BA74A7C0128E}"/>
    <cellStyle name="Style 81 7 10" xfId="13851" xr:uid="{4092CA38-49B0-410A-8B9D-9A6B69A2257D}"/>
    <cellStyle name="Style 81 7 10 2" xfId="32600" xr:uid="{7BB19E3B-93F1-4A31-9266-E083EF3126CB}"/>
    <cellStyle name="Style 81 7 11" xfId="13852" xr:uid="{7C3DD601-0966-42B1-AF93-557480D254FB}"/>
    <cellStyle name="Style 81 7 11 2" xfId="32601" xr:uid="{D9D2C534-C2A3-45CE-80F2-F7984892744B}"/>
    <cellStyle name="Style 81 7 12" xfId="13853" xr:uid="{FF2FC79A-940B-48C1-8EAD-FC13953B5577}"/>
    <cellStyle name="Style 81 7 12 2" xfId="32602" xr:uid="{A1BDDDD9-1568-4D8A-914B-6B31560A93F0}"/>
    <cellStyle name="Style 81 7 13" xfId="13854" xr:uid="{6125E201-3166-4E95-88E1-9A7ADE260E5E}"/>
    <cellStyle name="Style 81 7 13 2" xfId="32603" xr:uid="{177DA208-2FED-4E1A-8849-CD945FF49754}"/>
    <cellStyle name="Style 81 7 14" xfId="13855" xr:uid="{C38A3527-A6AF-4276-80A7-07F246A9C197}"/>
    <cellStyle name="Style 81 7 14 2" xfId="32604" xr:uid="{C789B786-F37E-4117-8408-8A005EB25C33}"/>
    <cellStyle name="Style 81 7 15" xfId="24070" xr:uid="{9B4C546F-A04E-423A-8291-CC5CE80839CF}"/>
    <cellStyle name="Style 81 7 2" xfId="3468" xr:uid="{B50BB319-9307-4983-9116-5D421B40BABD}"/>
    <cellStyle name="Style 81 7 2 10" xfId="13856" xr:uid="{40277987-5B43-439C-941B-7E4565F7BBAA}"/>
    <cellStyle name="Style 81 7 2 10 2" xfId="32605" xr:uid="{727A8DEB-A196-4961-9178-C2F6600D3950}"/>
    <cellStyle name="Style 81 7 2 11" xfId="13857" xr:uid="{57D998E7-B643-470A-A9B8-3CD09A9643D9}"/>
    <cellStyle name="Style 81 7 2 11 2" xfId="32606" xr:uid="{78A0A34D-7D42-41D6-AAA2-74A73BA89B6E}"/>
    <cellStyle name="Style 81 7 2 12" xfId="13858" xr:uid="{6CB6FED7-43F5-4F1C-A483-A69DD4DF464F}"/>
    <cellStyle name="Style 81 7 2 12 2" xfId="32607" xr:uid="{F8629498-7D63-4F83-8F78-144B1409CA4A}"/>
    <cellStyle name="Style 81 7 2 13" xfId="24071" xr:uid="{363F66E3-CF34-46C4-A32B-F1716F299467}"/>
    <cellStyle name="Style 81 7 2 2" xfId="7044" xr:uid="{D67E9C1C-F4D1-467E-B8DA-55991321B696}"/>
    <cellStyle name="Style 81 7 2 2 2" xfId="13859" xr:uid="{9B531FBA-5298-41A0-A5D8-4F9ED25A6D8F}"/>
    <cellStyle name="Style 81 7 2 2 2 2" xfId="32608" xr:uid="{08F4A0E1-ABA2-4FE1-A801-047A704BE594}"/>
    <cellStyle name="Style 81 7 2 3" xfId="7043" xr:uid="{AE7678F0-9F18-4EA5-B39D-1301963BFE80}"/>
    <cellStyle name="Style 81 7 2 3 2" xfId="13860" xr:uid="{ECD6CDE1-BE3B-4ED0-BC23-3F0D57C3DAD1}"/>
    <cellStyle name="Style 81 7 2 3 2 2" xfId="32609" xr:uid="{79A19B0A-A1FB-4D1E-A254-000C8228C512}"/>
    <cellStyle name="Style 81 7 2 4" xfId="13861" xr:uid="{52C6CF31-89AF-47CA-BE91-5BB6C61D871A}"/>
    <cellStyle name="Style 81 7 2 4 2" xfId="13862" xr:uid="{982A7415-000B-4D43-92E5-49B97037BFC0}"/>
    <cellStyle name="Style 81 7 2 4 2 2" xfId="32610" xr:uid="{D89147C1-994C-4A67-BE0F-7F770EB2F84E}"/>
    <cellStyle name="Style 81 7 2 4 3" xfId="28091" xr:uid="{601DB195-497F-416B-AC77-7DB720F992B0}"/>
    <cellStyle name="Style 81 7 2 5" xfId="13863" xr:uid="{F9F1A26B-7ABD-41FB-B03A-EAD02D8107E6}"/>
    <cellStyle name="Style 81 7 2 5 2" xfId="32611" xr:uid="{FA22ED79-CB09-4545-A3D1-7E3C72A792CC}"/>
    <cellStyle name="Style 81 7 2 6" xfId="13864" xr:uid="{ADD5F372-8532-4C3A-A168-D1D1EF4A7975}"/>
    <cellStyle name="Style 81 7 2 6 2" xfId="32612" xr:uid="{5435A54A-2BB6-47D3-ADEA-21EF6F8B58E4}"/>
    <cellStyle name="Style 81 7 2 7" xfId="13865" xr:uid="{9D3B10BC-DD46-4986-B6A2-EF04081D40B8}"/>
    <cellStyle name="Style 81 7 2 7 2" xfId="32613" xr:uid="{006193C3-004D-4A33-A9DE-EE886FFB28D0}"/>
    <cellStyle name="Style 81 7 2 8" xfId="13866" xr:uid="{A67631C0-C0B9-4A9D-9DBD-4A434FF0328D}"/>
    <cellStyle name="Style 81 7 2 8 2" xfId="32614" xr:uid="{58855E19-3B5A-4F99-A148-DE400A6E2955}"/>
    <cellStyle name="Style 81 7 2 9" xfId="13867" xr:uid="{17B43D6D-1345-43A3-8149-2A4EF1AFC7F1}"/>
    <cellStyle name="Style 81 7 2 9 2" xfId="32615" xr:uid="{3EB6D293-EF4A-4458-A637-EDBB3EAA425D}"/>
    <cellStyle name="Style 81 7 3" xfId="7045" xr:uid="{D038E43A-8A67-4EC2-8521-FC6B56468C82}"/>
    <cellStyle name="Style 81 7 3 2" xfId="7046" xr:uid="{69F9456F-D21B-4DAF-8E81-FBDE0EA7BD3B}"/>
    <cellStyle name="Style 81 7 3 2 2" xfId="13868" xr:uid="{B8CF7039-1163-4315-B364-E7415E21CE05}"/>
    <cellStyle name="Style 81 7 3 2 2 2" xfId="32616" xr:uid="{D8416714-69FA-480F-8668-44083345DDD4}"/>
    <cellStyle name="Style 81 7 3 3" xfId="13869" xr:uid="{29202308-3203-43BB-B1A8-0C31766B9C74}"/>
    <cellStyle name="Style 81 7 3 3 2" xfId="32617" xr:uid="{24847852-4BDA-461B-A781-BF383E081FD3}"/>
    <cellStyle name="Style 81 7 3 4" xfId="13870" xr:uid="{08FC2FC6-CE87-4FEF-92CE-C7EE5924ED45}"/>
    <cellStyle name="Style 81 7 3 4 2" xfId="32618" xr:uid="{3BFE8FAF-7B43-49E6-8B8E-D58DEB2B2BDB}"/>
    <cellStyle name="Style 81 7 3 5" xfId="24072" xr:uid="{968B9BFC-383A-4CB2-9347-98F76025BE41}"/>
    <cellStyle name="Style 81 7 4" xfId="7047" xr:uid="{36BD9B70-38A7-48FF-A51C-1845C455AC4C}"/>
    <cellStyle name="Style 81 7 4 2" xfId="13871" xr:uid="{4B188AA9-D96E-43AD-BFFA-9CBCF126AFA9}"/>
    <cellStyle name="Style 81 7 4 2 2" xfId="32619" xr:uid="{A9CA18C0-5D2B-4026-B097-D57FE4C71EBF}"/>
    <cellStyle name="Style 81 7 5" xfId="7048" xr:uid="{B04445E2-0774-4E50-A710-ECADEAE630E9}"/>
    <cellStyle name="Style 81 7 5 2" xfId="13872" xr:uid="{E571AA1A-241C-4788-AF7F-05381248EC8C}"/>
    <cellStyle name="Style 81 7 5 2 2" xfId="32620" xr:uid="{5B19A3C2-1EBF-46D6-BD98-D6CBAB13D9E2}"/>
    <cellStyle name="Style 81 7 6" xfId="7042" xr:uid="{6282BA6F-ADCC-49D0-AD69-E7FD2F236FFA}"/>
    <cellStyle name="Style 81 7 6 2" xfId="13873" xr:uid="{B5DC2DBC-BA82-479E-8CBF-BB16F821BA49}"/>
    <cellStyle name="Style 81 7 6 2 2" xfId="32621" xr:uid="{B39BD4A5-5650-4506-9C13-A3901F100CB7}"/>
    <cellStyle name="Style 81 7 7" xfId="13874" xr:uid="{C46B6B7D-33C1-4FFF-8509-9C93C639532E}"/>
    <cellStyle name="Style 81 7 7 2" xfId="13875" xr:uid="{423AB92C-A133-4D62-A83D-1BDF2290F1AE}"/>
    <cellStyle name="Style 81 7 7 2 2" xfId="32622" xr:uid="{7ADF4763-5926-4222-9A58-BA533552DA1D}"/>
    <cellStyle name="Style 81 7 7 3" xfId="28090" xr:uid="{5340BD14-C428-43A1-9CE6-A26A9B6B1C51}"/>
    <cellStyle name="Style 81 7 8" xfId="13876" xr:uid="{7C2C175C-45CA-4CD8-8088-B3BD7ABC068A}"/>
    <cellStyle name="Style 81 7 8 2" xfId="32623" xr:uid="{C8C25A37-0463-404E-8E36-3146C8FF1888}"/>
    <cellStyle name="Style 81 7 9" xfId="13877" xr:uid="{81015A87-AD8C-457A-B1FA-77E67CCB7C3A}"/>
    <cellStyle name="Style 81 7 9 2" xfId="32624" xr:uid="{8C68B09F-E659-4265-A964-75A5A5EF950F}"/>
    <cellStyle name="Style 81 8" xfId="3469" xr:uid="{144E51DC-05B2-4E0D-A2CB-C14AEBC28F18}"/>
    <cellStyle name="Style 81 8 10" xfId="13878" xr:uid="{86E4F943-B481-4525-8A47-72D32F89BDEE}"/>
    <cellStyle name="Style 81 8 10 2" xfId="32625" xr:uid="{6AFB5E2A-0CDD-4B8E-9249-CE32E7FC806B}"/>
    <cellStyle name="Style 81 8 11" xfId="13879" xr:uid="{FF3B41DC-580E-42F2-95CA-68242430F1F7}"/>
    <cellStyle name="Style 81 8 11 2" xfId="32626" xr:uid="{B03AAC00-E990-49DD-951B-D2A1F7E4CEEC}"/>
    <cellStyle name="Style 81 8 12" xfId="13880" xr:uid="{C357FFE2-3130-4A17-8F33-27D469BD30BD}"/>
    <cellStyle name="Style 81 8 12 2" xfId="32627" xr:uid="{D860E9ED-458A-48DD-B2AE-C504E20D63A9}"/>
    <cellStyle name="Style 81 8 13" xfId="13881" xr:uid="{517E6221-7947-4A51-A2D2-481B56E5E887}"/>
    <cellStyle name="Style 81 8 13 2" xfId="32628" xr:uid="{DD49559A-A422-46D8-8687-CFE8CCE511F6}"/>
    <cellStyle name="Style 81 8 14" xfId="24073" xr:uid="{BF6C74EA-247B-41D7-A5FA-7A1B223FA69D}"/>
    <cellStyle name="Style 81 8 2" xfId="3470" xr:uid="{E5AA3991-04B0-46FE-BFB3-CE88C517FBF4}"/>
    <cellStyle name="Style 81 8 2 10" xfId="13882" xr:uid="{41BA1969-1D12-4F7F-A3CF-F081D30B54C9}"/>
    <cellStyle name="Style 81 8 2 10 2" xfId="32629" xr:uid="{1B8AB8B7-8CE2-45BE-A7DF-38138D86A4E9}"/>
    <cellStyle name="Style 81 8 2 11" xfId="13883" xr:uid="{0192E3A9-4224-42E9-8DE1-BD24BB75321E}"/>
    <cellStyle name="Style 81 8 2 11 2" xfId="32630" xr:uid="{D80CCB09-A7A9-46F4-A73A-3466450BFCB1}"/>
    <cellStyle name="Style 81 8 2 12" xfId="13884" xr:uid="{0775413C-8C66-437E-B2E2-0116C26D4DC9}"/>
    <cellStyle name="Style 81 8 2 12 2" xfId="32631" xr:uid="{684BACB0-742E-49A3-ADC1-535629B3643D}"/>
    <cellStyle name="Style 81 8 2 13" xfId="24074" xr:uid="{2BD2E5AB-821C-45C2-96C4-7FC68F115173}"/>
    <cellStyle name="Style 81 8 2 2" xfId="7051" xr:uid="{B937D3DB-4E5F-49F1-AED1-FD56A2C5540F}"/>
    <cellStyle name="Style 81 8 2 2 2" xfId="13885" xr:uid="{06874FFF-722C-46FA-A352-94B880E258EB}"/>
    <cellStyle name="Style 81 8 2 2 2 2" xfId="32632" xr:uid="{B887B0E4-D222-4B39-A075-93639D7A9561}"/>
    <cellStyle name="Style 81 8 2 3" xfId="7050" xr:uid="{373F3DE1-22E3-4744-969E-44C713F561E7}"/>
    <cellStyle name="Style 81 8 2 3 2" xfId="13886" xr:uid="{DB315DEA-21AA-470F-9555-7752E5300C54}"/>
    <cellStyle name="Style 81 8 2 3 2 2" xfId="32633" xr:uid="{004A1497-54AB-4C90-BABA-3C13FBF34D9C}"/>
    <cellStyle name="Style 81 8 2 4" xfId="13887" xr:uid="{22F1CEFA-42B1-4DFB-A062-C978D5609B1A}"/>
    <cellStyle name="Style 81 8 2 4 2" xfId="13888" xr:uid="{84390B9C-C791-4C37-89D3-BFC6090083CF}"/>
    <cellStyle name="Style 81 8 2 4 2 2" xfId="32634" xr:uid="{95C7061A-6706-4EBA-A342-C73EADD50445}"/>
    <cellStyle name="Style 81 8 2 4 3" xfId="28093" xr:uid="{050D2FD0-4DBA-40A0-B1B6-CE9BEBE44191}"/>
    <cellStyle name="Style 81 8 2 5" xfId="13889" xr:uid="{F4D48309-350E-4608-A8F9-7E4C0EA011DE}"/>
    <cellStyle name="Style 81 8 2 5 2" xfId="32635" xr:uid="{86378DC6-8E29-489E-9264-62333244793C}"/>
    <cellStyle name="Style 81 8 2 6" xfId="13890" xr:uid="{F1F59439-75E0-4DB0-9962-265342198631}"/>
    <cellStyle name="Style 81 8 2 6 2" xfId="32636" xr:uid="{51B53AEC-2815-4F14-BE11-8C57C956B2B5}"/>
    <cellStyle name="Style 81 8 2 7" xfId="13891" xr:uid="{97DE480C-C67A-446F-B6B9-D8E528F94D8A}"/>
    <cellStyle name="Style 81 8 2 7 2" xfId="32637" xr:uid="{1527617B-34D5-4BBB-A572-8F5B19A0033E}"/>
    <cellStyle name="Style 81 8 2 8" xfId="13892" xr:uid="{4B0A0524-B876-448B-8A04-CFE464B7824E}"/>
    <cellStyle name="Style 81 8 2 8 2" xfId="32638" xr:uid="{EB161809-55A6-4EEF-A7EB-E0D5A3D57D88}"/>
    <cellStyle name="Style 81 8 2 9" xfId="13893" xr:uid="{0BC523F5-B2FC-42D9-A621-7075E1C75D9F}"/>
    <cellStyle name="Style 81 8 2 9 2" xfId="32639" xr:uid="{F80BDF19-7988-4329-96DC-7D4D3B27E80B}"/>
    <cellStyle name="Style 81 8 3" xfId="7052" xr:uid="{127DA298-F758-407A-A9C5-3515687D437D}"/>
    <cellStyle name="Style 81 8 3 2" xfId="7053" xr:uid="{344E88FD-BB9F-4FFA-940E-F43162383FD0}"/>
    <cellStyle name="Style 81 8 3 3" xfId="13894" xr:uid="{11539B4F-9B37-481E-BC57-EEC609D7B9F4}"/>
    <cellStyle name="Style 81 8 3 3 2" xfId="32640" xr:uid="{767373BA-4FF4-439B-969D-57206A7FB0C2}"/>
    <cellStyle name="Style 81 8 3 4" xfId="24075" xr:uid="{3C9CECD8-3D00-4C6E-AED7-AF09AF00E91D}"/>
    <cellStyle name="Style 81 8 4" xfId="7054" xr:uid="{3446A905-8F35-4422-9BD9-3A7029F9FAB7}"/>
    <cellStyle name="Style 81 8 4 2" xfId="13895" xr:uid="{50F095D2-1EB7-4193-90FA-EB57B95EF7CE}"/>
    <cellStyle name="Style 81 8 4 2 2" xfId="32641" xr:uid="{5738DAE0-39AF-4E73-8D8B-934069E3E35D}"/>
    <cellStyle name="Style 81 8 5" xfId="7055" xr:uid="{FB81BBC1-8D5D-432F-B0B8-2C92E455DBEE}"/>
    <cellStyle name="Style 81 8 5 2" xfId="13896" xr:uid="{12A58213-9A76-401A-BCDC-05AD9310B7F6}"/>
    <cellStyle name="Style 81 8 5 2 2" xfId="32642" xr:uid="{81E98B74-96A8-497E-8953-7DDF1E670DA8}"/>
    <cellStyle name="Style 81 8 6" xfId="7049" xr:uid="{6DDB5C3F-61E3-418D-87E9-5CBE86020C16}"/>
    <cellStyle name="Style 81 8 6 2" xfId="13897" xr:uid="{B7C0FB64-8976-48F8-9725-2BAF457D997E}"/>
    <cellStyle name="Style 81 8 6 2 2" xfId="32643" xr:uid="{52107B0D-5818-445A-B7AA-6466C3236DAB}"/>
    <cellStyle name="Style 81 8 7" xfId="13898" xr:uid="{5FA39501-B989-4960-983F-D57D4BB65633}"/>
    <cellStyle name="Style 81 8 7 2" xfId="13899" xr:uid="{33BFF796-A10D-4596-97A0-69323BDC0A5E}"/>
    <cellStyle name="Style 81 8 7 2 2" xfId="32644" xr:uid="{EC62D513-A0AB-4195-B162-8DFECDAC49BE}"/>
    <cellStyle name="Style 81 8 7 3" xfId="28092" xr:uid="{6CC00BA8-B89E-4956-8224-2A4D77255991}"/>
    <cellStyle name="Style 81 8 8" xfId="13900" xr:uid="{2203A5A7-E1EB-42D4-B09F-4DC7670F3536}"/>
    <cellStyle name="Style 81 8 8 2" xfId="32645" xr:uid="{35559131-2192-4CE1-BFF7-F48BDC7B06DB}"/>
    <cellStyle name="Style 81 8 9" xfId="13901" xr:uid="{F77D32B0-18B0-476B-8361-6888371B0B25}"/>
    <cellStyle name="Style 81 8 9 2" xfId="32646" xr:uid="{6FC27F77-6FDF-428F-8F75-40B2A4BC795F}"/>
    <cellStyle name="Style 81 9" xfId="3471" xr:uid="{772341D6-0F95-4946-AC6B-FC2414ADA141}"/>
    <cellStyle name="Style 81 9 10" xfId="13902" xr:uid="{ADF2DDE0-D960-4BB3-B9AD-905F0590923B}"/>
    <cellStyle name="Style 81 9 10 2" xfId="32647" xr:uid="{6402CD08-2551-4F70-8EC6-AFF6B43B8F36}"/>
    <cellStyle name="Style 81 9 11" xfId="13903" xr:uid="{114FC67B-2D76-49DD-A3D3-EC17B04E4D90}"/>
    <cellStyle name="Style 81 9 11 2" xfId="32648" xr:uid="{9506E9D0-B8BE-461C-9528-CFC5420C8F7C}"/>
    <cellStyle name="Style 81 9 12" xfId="13904" xr:uid="{73A608E2-1BCF-4411-80F1-6407C63A2294}"/>
    <cellStyle name="Style 81 9 12 2" xfId="32649" xr:uid="{16AC4202-63DD-4802-92BA-C0D800FD020F}"/>
    <cellStyle name="Style 81 9 13" xfId="13905" xr:uid="{8A42218C-19DD-448E-B6D9-F9D4169B5640}"/>
    <cellStyle name="Style 81 9 13 2" xfId="32650" xr:uid="{E4E484BD-6BE2-4B19-9907-BA636CCDBFC4}"/>
    <cellStyle name="Style 81 9 14" xfId="24076" xr:uid="{40D72E11-BF69-4306-9405-3C67F0D6A24D}"/>
    <cellStyle name="Style 81 9 2" xfId="3472" xr:uid="{B52A75EB-FBB7-4769-AC72-21743444F0E4}"/>
    <cellStyle name="Style 81 9 2 10" xfId="13906" xr:uid="{A636AFD6-4CD6-4FA4-8980-53BD2A72082D}"/>
    <cellStyle name="Style 81 9 2 10 2" xfId="32651" xr:uid="{26BD71D5-0248-49CF-B748-CB29AE385E66}"/>
    <cellStyle name="Style 81 9 2 11" xfId="13907" xr:uid="{2878F5BC-5146-4DC5-8121-C043DE009AE5}"/>
    <cellStyle name="Style 81 9 2 11 2" xfId="32652" xr:uid="{A783B6CB-1338-453B-A342-CC95520D0BD0}"/>
    <cellStyle name="Style 81 9 2 2" xfId="7057" xr:uid="{1E9FD02F-488B-49A0-A7F9-D7FCC1FA4A35}"/>
    <cellStyle name="Style 81 9 2 2 2" xfId="13908" xr:uid="{C5EE57D6-D9F3-4D3A-9FAE-C13083C99331}"/>
    <cellStyle name="Style 81 9 2 2 2 2" xfId="32653" xr:uid="{FF361FAC-ABFD-4F73-8BA7-CD81B8719120}"/>
    <cellStyle name="Style 81 9 2 3" xfId="13909" xr:uid="{CDEADDA0-2FFD-4D03-97CE-A7BECBD54FD9}"/>
    <cellStyle name="Style 81 9 2 3 2" xfId="13910" xr:uid="{B08F6C5B-919F-457B-A1B3-8505E71BFB53}"/>
    <cellStyle name="Style 81 9 2 3 2 2" xfId="32654" xr:uid="{C7DA3DF8-630F-4763-A9F0-453E957BF7C3}"/>
    <cellStyle name="Style 81 9 2 3 3" xfId="28095" xr:uid="{656A9AD5-6A20-4DF2-BE5D-DBDE7E8F9647}"/>
    <cellStyle name="Style 81 9 2 4" xfId="13911" xr:uid="{4CCE513D-99CE-4B2C-90A1-E514316A0C08}"/>
    <cellStyle name="Style 81 9 2 4 2" xfId="32655" xr:uid="{92C3B8E7-8D85-4291-A39E-861E80F757C6}"/>
    <cellStyle name="Style 81 9 2 5" xfId="13912" xr:uid="{623C893A-BBA9-46B7-8839-3BB510DF1DBC}"/>
    <cellStyle name="Style 81 9 2 5 2" xfId="32656" xr:uid="{A0390BD5-1BF1-417B-8FF1-A4B9B4C9534A}"/>
    <cellStyle name="Style 81 9 2 6" xfId="13913" xr:uid="{1B81D6AC-A45B-406D-AD11-0EDBB7FE526A}"/>
    <cellStyle name="Style 81 9 2 6 2" xfId="32657" xr:uid="{A1685E07-8D3A-4D03-AE89-FF32C3B6DBC9}"/>
    <cellStyle name="Style 81 9 2 7" xfId="13914" xr:uid="{0B524B77-A90E-4D44-AA82-4A1CECDF6B47}"/>
    <cellStyle name="Style 81 9 2 7 2" xfId="32658" xr:uid="{3F2ACE0D-BFC6-4828-9587-B61BDCF5DD9C}"/>
    <cellStyle name="Style 81 9 2 8" xfId="13915" xr:uid="{F819E3E0-438B-4570-8762-EA1CC0110525}"/>
    <cellStyle name="Style 81 9 2 8 2" xfId="32659" xr:uid="{5F83973F-489B-49CB-A36D-9F66A6305433}"/>
    <cellStyle name="Style 81 9 2 9" xfId="13916" xr:uid="{74010146-D72F-4104-80BC-81417BEC676E}"/>
    <cellStyle name="Style 81 9 2 9 2" xfId="32660" xr:uid="{DA7F7355-5672-477C-B3C3-0FB2D73651C9}"/>
    <cellStyle name="Style 81 9 3" xfId="4207" xr:uid="{0E8E03DB-9D1E-421A-9E32-2B704973DEDA}"/>
    <cellStyle name="Style 81 9 3 2" xfId="7058" xr:uid="{AC4F0C8A-3F59-4A85-8B33-076172E3E308}"/>
    <cellStyle name="Style 81 9 3 2 2" xfId="28340" xr:uid="{2B2FEF0D-678F-4A52-A096-A3BC2B66A874}"/>
    <cellStyle name="Style 81 9 3 3" xfId="13917" xr:uid="{2B4BA693-7802-4F41-8051-3AD25E755D67}"/>
    <cellStyle name="Style 81 9 3 3 2" xfId="32661" xr:uid="{9C4A8A11-BE92-4A81-BD0A-8ED66AFFE487}"/>
    <cellStyle name="Style 81 9 4" xfId="7056" xr:uid="{D5441BF7-B958-4EF7-B524-D139A736E7B7}"/>
    <cellStyle name="Style 81 9 4 2" xfId="13918" xr:uid="{781D458E-1771-47FA-B43B-D003D8FDA5DE}"/>
    <cellStyle name="Style 81 9 4 2 2" xfId="32662" xr:uid="{22048884-7460-4284-9965-CA5B67661AB4}"/>
    <cellStyle name="Style 81 9 5" xfId="13919" xr:uid="{1353ADC1-2A5F-4AB5-A2E3-F8AE9AE3BD18}"/>
    <cellStyle name="Style 81 9 5 2" xfId="13920" xr:uid="{B3A9A237-86FF-4BFB-8802-2989320DE0AA}"/>
    <cellStyle name="Style 81 9 5 2 2" xfId="32663" xr:uid="{BE25B980-D486-40B8-8471-562CDE602DBB}"/>
    <cellStyle name="Style 81 9 5 3" xfId="28094" xr:uid="{60152792-6A3E-4B84-AC1A-9114DBE19CA4}"/>
    <cellStyle name="Style 81 9 6" xfId="13921" xr:uid="{95771E05-00CB-4EE1-AB2E-D6E7F9E878C8}"/>
    <cellStyle name="Style 81 9 6 2" xfId="32664" xr:uid="{A0DB598D-A0D5-430A-BD84-FE74185C075E}"/>
    <cellStyle name="Style 81 9 7" xfId="13922" xr:uid="{25829D26-089E-441F-93AB-5C61BEFA1DA0}"/>
    <cellStyle name="Style 81 9 7 2" xfId="32665" xr:uid="{2D8FA5FD-5531-4C99-B6E7-E6265E4D34DB}"/>
    <cellStyle name="Style 81 9 8" xfId="13923" xr:uid="{D4EF0A8C-3FAE-4269-9A6E-1816A8F84DA3}"/>
    <cellStyle name="Style 81 9 8 2" xfId="32666" xr:uid="{4A9A36F6-2A3B-464A-8F08-53F8211C9DA5}"/>
    <cellStyle name="Style 81 9 9" xfId="13924" xr:uid="{7FAFF0B6-811E-4905-A1E9-302730FCE9DB}"/>
    <cellStyle name="Style 81 9 9 2" xfId="32667" xr:uid="{C889878F-BF4B-4E75-B336-5491602652A9}"/>
    <cellStyle name="Style 81_ADDON" xfId="25810" xr:uid="{6D2E1307-C948-4547-BE42-68200F757A72}"/>
    <cellStyle name="Style 82" xfId="3473" xr:uid="{B24A7599-6EBF-4892-99A9-9A3029E0E315}"/>
    <cellStyle name="Style 82 10" xfId="7059" xr:uid="{2FF48A97-CBF2-4F93-AD26-A6AD8D1016DA}"/>
    <cellStyle name="Style 82 10 2" xfId="13925" xr:uid="{69A3D0A0-9431-4737-B57D-3E4E72631073}"/>
    <cellStyle name="Style 82 10 2 2" xfId="32668" xr:uid="{63C820D1-6EBB-4C16-A999-8C9415BE0175}"/>
    <cellStyle name="Style 82 11" xfId="13926" xr:uid="{B3766B67-8AA6-4279-99DE-956548F716D7}"/>
    <cellStyle name="Style 82 11 2" xfId="13927" xr:uid="{26FE7E92-2C27-40DA-9C83-4E0E83D29179}"/>
    <cellStyle name="Style 82 11 2 2" xfId="32669" xr:uid="{C5E9A8B7-01FA-40C0-9E18-2132D47A12B3}"/>
    <cellStyle name="Style 82 11 3" xfId="26707" xr:uid="{BD55087B-6272-4C82-BA9D-4AFEFDDA93F8}"/>
    <cellStyle name="Style 82 12" xfId="13928" xr:uid="{40757A10-7D15-43D9-9590-0F1B1DB263F5}"/>
    <cellStyle name="Style 82 12 2" xfId="32670" xr:uid="{73A0C5CA-1A71-4301-9087-B8FE81714D90}"/>
    <cellStyle name="Style 82 13" xfId="13929" xr:uid="{EF09D723-C0B9-46BB-9E9F-D1C915BADA01}"/>
    <cellStyle name="Style 82 13 2" xfId="32671" xr:uid="{68EFA474-FF81-4D6A-80D5-7E7FBBD17F2D}"/>
    <cellStyle name="Style 82 14" xfId="13930" xr:uid="{B3CFF999-C860-453B-A3BE-E85D611D8E27}"/>
    <cellStyle name="Style 82 14 2" xfId="32672" xr:uid="{CB027D01-F081-4AE4-9B82-C612EAC24EED}"/>
    <cellStyle name="Style 82 15" xfId="13931" xr:uid="{4FC4FD5D-52F1-46A8-85DF-F8008E67A7A8}"/>
    <cellStyle name="Style 82 15 2" xfId="32673" xr:uid="{23362866-F588-4B7A-9C48-FF940B01FD3A}"/>
    <cellStyle name="Style 82 16" xfId="13932" xr:uid="{C2A3078E-1934-4119-9478-9DF9C9AE6ED9}"/>
    <cellStyle name="Style 82 16 2" xfId="32674" xr:uid="{08C380EF-4C69-44EF-8BD2-5EB544B1A729}"/>
    <cellStyle name="Style 82 17" xfId="13933" xr:uid="{26300125-0763-4F47-B20D-9AFD5818E803}"/>
    <cellStyle name="Style 82 17 2" xfId="32675" xr:uid="{6CE7DEFB-2C4B-4FC7-8385-5F3CFDE6FFDD}"/>
    <cellStyle name="Style 82 18" xfId="13934" xr:uid="{A7F8CCFA-D077-4F26-93B7-0F99118135FF}"/>
    <cellStyle name="Style 82 18 2" xfId="32676" xr:uid="{02069218-5940-482C-A0CD-FD27FF9FA3A5}"/>
    <cellStyle name="Style 82 19" xfId="13935" xr:uid="{2F14F425-8C80-443E-A7F6-3A46E4AB3F27}"/>
    <cellStyle name="Style 82 19 2" xfId="32677" xr:uid="{FCC6BACF-17FE-401E-BB5B-879522EDD236}"/>
    <cellStyle name="Style 82 2" xfId="3474" xr:uid="{9E5D54BA-CD0A-482F-8E49-8B21F6D6014F}"/>
    <cellStyle name="Style 82 2 10" xfId="13936" xr:uid="{DED0D2FA-AF1B-479F-A805-83E6EEEFB6E0}"/>
    <cellStyle name="Style 82 2 10 2" xfId="32678" xr:uid="{50BA24A5-ABCA-40B0-AB12-E817BA00F3DA}"/>
    <cellStyle name="Style 82 2 11" xfId="13937" xr:uid="{77BB1D27-4713-4885-8597-E5BEF3ED04E9}"/>
    <cellStyle name="Style 82 2 11 2" xfId="32679" xr:uid="{8C29837B-CCC1-42BD-9987-265548E36329}"/>
    <cellStyle name="Style 82 2 12" xfId="13938" xr:uid="{F01DCFBE-8745-4480-816E-E02BC3913F4E}"/>
    <cellStyle name="Style 82 2 12 2" xfId="32680" xr:uid="{545537F4-2B70-4692-AC2B-12AA25B68C6E}"/>
    <cellStyle name="Style 82 2 13" xfId="13939" xr:uid="{B84F3BB6-7E77-448C-AD3C-F3CDF922A2EB}"/>
    <cellStyle name="Style 82 2 13 2" xfId="32681" xr:uid="{6F8E54C3-563F-4227-9788-AB8398B99390}"/>
    <cellStyle name="Style 82 2 14" xfId="13940" xr:uid="{8B77550F-3008-4F2F-B41E-5A17188EF2D5}"/>
    <cellStyle name="Style 82 2 14 2" xfId="32682" xr:uid="{4A275F37-082B-4D8C-9077-EF17DCE07CFB}"/>
    <cellStyle name="Style 82 2 15" xfId="24078" xr:uid="{6595E9A5-114B-43DF-B7EB-C148C85B6FF2}"/>
    <cellStyle name="Style 82 2 2" xfId="7061" xr:uid="{7895327D-4B13-47AB-B969-EA6117787B0B}"/>
    <cellStyle name="Style 82 2 2 2" xfId="13941" xr:uid="{46FC1AAC-923B-41E6-A189-9A4AEFE5902C}"/>
    <cellStyle name="Style 82 2 2 2 2" xfId="13942" xr:uid="{BD48BE83-C22C-41B4-80A3-AEF265E86D98}"/>
    <cellStyle name="Style 82 2 2 2 2 2" xfId="32684" xr:uid="{2EA3F386-9266-4F9F-B35A-5FF4BF9B866C}"/>
    <cellStyle name="Style 82 2 2 2 3" xfId="32683" xr:uid="{1DE9301F-EF99-49FC-93C4-C4437C9DB0DD}"/>
    <cellStyle name="Style 82 2 2 3" xfId="13943" xr:uid="{6AEB2F70-89E1-4E00-94F3-04CCBA68A6EF}"/>
    <cellStyle name="Style 82 2 2 3 2" xfId="32685" xr:uid="{9A087831-290B-4A37-A2AA-0199EA5D7B2D}"/>
    <cellStyle name="Style 82 2 2 4" xfId="13944" xr:uid="{05FDD4BD-380F-46A8-A057-C3301BA5B660}"/>
    <cellStyle name="Style 82 2 2 4 2" xfId="32686" xr:uid="{EB0AC32F-2B17-424E-9511-43DD275DF62A}"/>
    <cellStyle name="Style 82 2 2 5" xfId="13945" xr:uid="{480114DC-EC87-4D74-816C-6C3EB3B6323E}"/>
    <cellStyle name="Style 82 2 2 5 2" xfId="32687" xr:uid="{F51D0EE9-04C7-482F-9298-E9D832547E18}"/>
    <cellStyle name="Style 82 2 3" xfId="7060" xr:uid="{BB6B0FDC-0392-4DB2-8EFD-8751B5903BC5}"/>
    <cellStyle name="Style 82 2 3 2" xfId="13946" xr:uid="{BEA60D17-E69E-4675-9A10-93C07B8202C5}"/>
    <cellStyle name="Style 82 2 3 2 2" xfId="32688" xr:uid="{73BCF66F-B8DB-49AA-9F94-C518A362FD9A}"/>
    <cellStyle name="Style 82 2 3 3" xfId="13947" xr:uid="{53EC0926-87BC-4554-86E6-059BE3CFE2A0}"/>
    <cellStyle name="Style 82 2 3 3 2" xfId="32689" xr:uid="{21D8EEAF-201C-4B5D-9921-DBA36685616E}"/>
    <cellStyle name="Style 82 2 4" xfId="13948" xr:uid="{534F8489-89B1-4C29-8494-8715BC9CA9CA}"/>
    <cellStyle name="Style 82 2 4 2" xfId="32690" xr:uid="{6E21C48E-C23C-46C3-94AA-9F30FC7CD273}"/>
    <cellStyle name="Style 82 2 5" xfId="13949" xr:uid="{E7534B7B-670F-483A-BDDC-370BFC2462A2}"/>
    <cellStyle name="Style 82 2 5 2" xfId="32691" xr:uid="{6E3D0635-EA43-4B34-AABF-EE9AC71405C0}"/>
    <cellStyle name="Style 82 2 6" xfId="13950" xr:uid="{926DCBE2-1782-4EA2-B3C9-75A89B54EE1B}"/>
    <cellStyle name="Style 82 2 6 2" xfId="32692" xr:uid="{05470140-DB95-4AF2-9372-1AB7204246DC}"/>
    <cellStyle name="Style 82 2 7" xfId="13951" xr:uid="{AC425D44-2E97-4270-929F-BCC894950D7A}"/>
    <cellStyle name="Style 82 2 7 2" xfId="32693" xr:uid="{9295F9A3-A05F-4204-96F3-5F7708133FED}"/>
    <cellStyle name="Style 82 2 8" xfId="13952" xr:uid="{6B5ABE85-44F8-48F0-9927-CB27565780CA}"/>
    <cellStyle name="Style 82 2 8 2" xfId="32694" xr:uid="{9AD92BEB-EAFC-4F05-B332-656747390DBF}"/>
    <cellStyle name="Style 82 2 9" xfId="13953" xr:uid="{08D552BD-E2FB-4BFE-979D-52138ABC0B2B}"/>
    <cellStyle name="Style 82 2 9 2" xfId="32695" xr:uid="{AEF30734-2D42-46BE-8D92-C00F1F587FAF}"/>
    <cellStyle name="Style 82 20" xfId="24077" xr:uid="{D1E6CA95-A40B-4F06-982F-A25E6FE93B3A}"/>
    <cellStyle name="Style 82 3" xfId="3475" xr:uid="{3B524CA2-DD86-47A5-A829-36359893959A}"/>
    <cellStyle name="Style 82 3 10" xfId="13954" xr:uid="{81768F02-CB6F-4FAB-BD0F-3D6A626A7E7B}"/>
    <cellStyle name="Style 82 3 10 2" xfId="32696" xr:uid="{3025CEF0-B635-4723-A695-5F230DD04BBF}"/>
    <cellStyle name="Style 82 3 11" xfId="13955" xr:uid="{70CE8A58-4FE4-43C4-A80D-09592D7B67E1}"/>
    <cellStyle name="Style 82 3 11 2" xfId="32697" xr:uid="{1DBDC0D7-E19D-4FBB-A041-AF69D28BAD0E}"/>
    <cellStyle name="Style 82 3 12" xfId="13956" xr:uid="{882F5FAB-D0DD-4A58-885B-241641C855C6}"/>
    <cellStyle name="Style 82 3 12 2" xfId="32698" xr:uid="{49E2994A-05EC-4AB7-B9BF-5CC7A7980D21}"/>
    <cellStyle name="Style 82 3 13" xfId="13957" xr:uid="{218C7E8A-E6A4-4336-A829-90E2CFCD946C}"/>
    <cellStyle name="Style 82 3 13 2" xfId="32699" xr:uid="{CB6CC84D-7943-46D4-8C78-1F7C1B39B3EE}"/>
    <cellStyle name="Style 82 3 14" xfId="13958" xr:uid="{698154BA-551B-4F9A-A38D-C83EA6E350E3}"/>
    <cellStyle name="Style 82 3 14 2" xfId="32700" xr:uid="{A31A717B-24C6-4B84-8E63-D16C4FEEA214}"/>
    <cellStyle name="Style 82 3 15" xfId="13959" xr:uid="{D26675B7-0843-49FD-B298-1F32E66133D6}"/>
    <cellStyle name="Style 82 3 15 2" xfId="32701" xr:uid="{9B2DF18D-ED6B-4C35-889A-AE2FCB31374B}"/>
    <cellStyle name="Style 82 3 16" xfId="13960" xr:uid="{CE3AA4CA-2243-4A41-A2EF-EA9F508E6364}"/>
    <cellStyle name="Style 82 3 16 2" xfId="32702" xr:uid="{FCEF5F72-6212-4FD7-9431-EA7F985AC85B}"/>
    <cellStyle name="Style 82 3 17" xfId="13961" xr:uid="{8B945E11-F2EB-46C5-B2C2-C5890FBC6B60}"/>
    <cellStyle name="Style 82 3 17 2" xfId="32703" xr:uid="{2269395C-3E75-414C-BFBF-508D6ECFA340}"/>
    <cellStyle name="Style 82 3 18" xfId="24079" xr:uid="{8424AB6C-65E8-471A-BD8C-D58EA08AEDBF}"/>
    <cellStyle name="Style 82 3 2" xfId="3476" xr:uid="{CC50AAB4-B6CD-4C48-A28B-4EEEA873665A}"/>
    <cellStyle name="Style 82 3 2 10" xfId="13962" xr:uid="{ED59D192-ECF7-407F-A39C-88E5C1AF6C35}"/>
    <cellStyle name="Style 82 3 2 10 2" xfId="32704" xr:uid="{005D4A0B-B86D-49A1-BE7F-F4A95A80DFBE}"/>
    <cellStyle name="Style 82 3 2 11" xfId="13963" xr:uid="{F1A032F6-61AF-47FB-B86A-B03BE8DC1012}"/>
    <cellStyle name="Style 82 3 2 11 2" xfId="32705" xr:uid="{7AE70DB9-1014-43E4-A4DE-60A98F0C1DEB}"/>
    <cellStyle name="Style 82 3 2 12" xfId="13964" xr:uid="{251793DE-C946-416F-80FC-B9F948978277}"/>
    <cellStyle name="Style 82 3 2 12 2" xfId="32706" xr:uid="{52CFC6B4-219B-418E-9BC5-73155D5C8361}"/>
    <cellStyle name="Style 82 3 2 13" xfId="13965" xr:uid="{A88A25C9-5EA1-406D-8FF7-A6F4AF30D675}"/>
    <cellStyle name="Style 82 3 2 13 2" xfId="32707" xr:uid="{281E0192-85CD-458A-B839-B41014E7ABE8}"/>
    <cellStyle name="Style 82 3 2 14" xfId="24080" xr:uid="{82681D82-3A7C-442C-BF65-0E829B6884E6}"/>
    <cellStyle name="Style 82 3 2 2" xfId="7064" xr:uid="{0D276A72-9AE8-460B-849A-512F2CBBC0FE}"/>
    <cellStyle name="Style 82 3 2 2 2" xfId="13966" xr:uid="{13BDAAAD-AACF-4EBC-8CBF-896978189745}"/>
    <cellStyle name="Style 82 3 2 2 2 2" xfId="32708" xr:uid="{9C3647D2-986B-4FDD-80AB-916391486029}"/>
    <cellStyle name="Style 82 3 2 2 3" xfId="13967" xr:uid="{029D82A0-1F7D-437C-A70B-BCB8C02719EE}"/>
    <cellStyle name="Style 82 3 2 2 3 2" xfId="32709" xr:uid="{2CD47783-6439-4E5E-AB7E-89ED246BF284}"/>
    <cellStyle name="Style 82 3 2 3" xfId="7063" xr:uid="{E62E8347-D5B3-4871-8837-8CBB9AE466E5}"/>
    <cellStyle name="Style 82 3 2 3 2" xfId="13968" xr:uid="{ED25B8BD-3069-47B9-9DE2-D619298EBBC0}"/>
    <cellStyle name="Style 82 3 2 3 2 2" xfId="32710" xr:uid="{0634627D-38EA-4394-8CC3-B56DD019B415}"/>
    <cellStyle name="Style 82 3 2 4" xfId="13969" xr:uid="{D1BB2F39-41AF-4FC5-86E7-3D67E377C524}"/>
    <cellStyle name="Style 82 3 2 4 2" xfId="32711" xr:uid="{09E90C1B-E51E-4012-A8F9-91EB873C871E}"/>
    <cellStyle name="Style 82 3 2 5" xfId="13970" xr:uid="{37478D8B-4E21-437A-9500-E029E93152B0}"/>
    <cellStyle name="Style 82 3 2 5 2" xfId="32712" xr:uid="{F5040029-202E-4708-B66B-0A7D41FA1B96}"/>
    <cellStyle name="Style 82 3 2 6" xfId="13971" xr:uid="{B00C1885-E5EC-452B-A380-BFBF8274C80C}"/>
    <cellStyle name="Style 82 3 2 6 2" xfId="32713" xr:uid="{3D4984F0-C378-4047-88D7-75FEF1231D55}"/>
    <cellStyle name="Style 82 3 2 7" xfId="13972" xr:uid="{532C4CF2-1BED-468A-9908-D6010B47E23B}"/>
    <cellStyle name="Style 82 3 2 7 2" xfId="32714" xr:uid="{6473E9DE-2D49-4954-804D-DC28486FB68D}"/>
    <cellStyle name="Style 82 3 2 8" xfId="13973" xr:uid="{15CCC0E3-2B02-4B46-B1DE-736C9403B222}"/>
    <cellStyle name="Style 82 3 2 8 2" xfId="32715" xr:uid="{532C4107-0EF4-440C-B098-2E95789EE47D}"/>
    <cellStyle name="Style 82 3 2 9" xfId="13974" xr:uid="{10402589-4853-4216-AE25-00169878427E}"/>
    <cellStyle name="Style 82 3 2 9 2" xfId="32716" xr:uid="{81EBEA06-9F18-4E13-8E04-02D93B0CBDE0}"/>
    <cellStyle name="Style 82 3 3" xfId="3477" xr:uid="{93A32431-09BB-418E-8AD1-7ADC59F71C34}"/>
    <cellStyle name="Style 82 3 3 10" xfId="13975" xr:uid="{76820F7E-C93C-4D12-A46F-61D02C8B190C}"/>
    <cellStyle name="Style 82 3 3 10 2" xfId="32717" xr:uid="{3F824ECB-E1FE-4CF5-95B6-80DDDD5EFC59}"/>
    <cellStyle name="Style 82 3 3 11" xfId="13976" xr:uid="{A0AF6C68-BC58-4FDC-9531-F0EC1E11EAE1}"/>
    <cellStyle name="Style 82 3 3 11 2" xfId="32718" xr:uid="{73061941-B073-4A18-A78F-C359E4D1712A}"/>
    <cellStyle name="Style 82 3 3 12" xfId="13977" xr:uid="{2BEBE7DC-153E-4E1F-B537-7278AB5AB380}"/>
    <cellStyle name="Style 82 3 3 12 2" xfId="32719" xr:uid="{4F4C0EAC-3177-4E4B-BD8B-C5764411A952}"/>
    <cellStyle name="Style 82 3 3 13" xfId="13978" xr:uid="{C2BA5EC9-6B94-4B2A-BBEB-530D156210E2}"/>
    <cellStyle name="Style 82 3 3 13 2" xfId="32720" xr:uid="{CF41F1DB-063A-4ECA-B07D-C645B5482666}"/>
    <cellStyle name="Style 82 3 3 14" xfId="13979" xr:uid="{91F06107-7246-4B62-A5E8-5B7057942589}"/>
    <cellStyle name="Style 82 3 3 14 2" xfId="32721" xr:uid="{E3A14DB9-8491-40C3-BDFF-7CC67EFDAC96}"/>
    <cellStyle name="Style 82 3 3 15" xfId="13980" xr:uid="{5B6CE79A-4204-4737-948A-97C1EACD9C56}"/>
    <cellStyle name="Style 82 3 3 15 2" xfId="32722" xr:uid="{989B602C-522D-492D-8AE4-2915088B4268}"/>
    <cellStyle name="Style 82 3 3 16" xfId="24081" xr:uid="{37196504-E0CF-4B66-9BB6-DE1B141791DC}"/>
    <cellStyle name="Style 82 3 3 2" xfId="3478" xr:uid="{A5D9D08F-6A3F-4AC9-B7AE-1239CFDB57F1}"/>
    <cellStyle name="Style 82 3 3 2 10" xfId="13981" xr:uid="{86A03AC3-D00B-4AFC-929A-24C568F77D2D}"/>
    <cellStyle name="Style 82 3 3 2 10 2" xfId="32723" xr:uid="{3FD57AAA-57DA-4F7F-84BF-B2159814A2AD}"/>
    <cellStyle name="Style 82 3 3 2 11" xfId="13982" xr:uid="{C567514E-762A-46A6-AF6E-41F23364C909}"/>
    <cellStyle name="Style 82 3 3 2 11 2" xfId="32724" xr:uid="{75EC1BD1-5C8F-44D1-9736-1B67556FF272}"/>
    <cellStyle name="Style 82 3 3 2 12" xfId="13983" xr:uid="{B89BD5B5-F898-4A65-A4FB-6F4429ADC0D3}"/>
    <cellStyle name="Style 82 3 3 2 12 2" xfId="32725" xr:uid="{BBDAC1F8-F1A1-4E52-9EAD-78F56A680F1C}"/>
    <cellStyle name="Style 82 3 3 2 13" xfId="13984" xr:uid="{F460869C-5759-4536-8FDD-BF4A1B7AD225}"/>
    <cellStyle name="Style 82 3 3 2 13 2" xfId="32726" xr:uid="{FAA77197-F396-46DD-AC7F-6760A433DDC9}"/>
    <cellStyle name="Style 82 3 3 2 14" xfId="24082" xr:uid="{D75FB863-4C40-47B0-BA1F-7B5920C696E9}"/>
    <cellStyle name="Style 82 3 3 2 2" xfId="7067" xr:uid="{3B175C86-F178-44A2-9EF7-37ED59400C1A}"/>
    <cellStyle name="Style 82 3 3 2 2 2" xfId="13985" xr:uid="{95B621F0-A4C1-490C-9E1B-A38BD9F9E207}"/>
    <cellStyle name="Style 82 3 3 2 2 2 2" xfId="32727" xr:uid="{7767E3FA-9DA5-44DE-98F6-62555E919800}"/>
    <cellStyle name="Style 82 3 3 2 2 3" xfId="13986" xr:uid="{59F5CD8D-FF03-41D6-97B0-1F7F621EA9C9}"/>
    <cellStyle name="Style 82 3 3 2 2 3 2" xfId="32728" xr:uid="{791B64BA-6E13-4F3C-BEF5-933CA3B47768}"/>
    <cellStyle name="Style 82 3 3 2 3" xfId="7066" xr:uid="{D5413CAD-6CB3-4F4F-A3D7-6B0DD64A4A12}"/>
    <cellStyle name="Style 82 3 3 2 3 2" xfId="13987" xr:uid="{D6D35DD4-C68E-4F6E-8312-3FB5564BA23D}"/>
    <cellStyle name="Style 82 3 3 2 3 2 2" xfId="32729" xr:uid="{6B858046-BF4B-4E58-A7C4-E6F35CA05984}"/>
    <cellStyle name="Style 82 3 3 2 4" xfId="13988" xr:uid="{48B103F7-25B8-4C3B-A615-1CF8F1D51EBF}"/>
    <cellStyle name="Style 82 3 3 2 4 2" xfId="32730" xr:uid="{5A4A812E-6156-4AD7-857A-2B588B65093D}"/>
    <cellStyle name="Style 82 3 3 2 5" xfId="13989" xr:uid="{202F7B43-EE70-4076-9F6D-BDCBE2FB6056}"/>
    <cellStyle name="Style 82 3 3 2 5 2" xfId="32731" xr:uid="{FC8BDA7A-5CF5-4D63-A7B3-E9F4252D1DAD}"/>
    <cellStyle name="Style 82 3 3 2 6" xfId="13990" xr:uid="{AE116BA4-0C3E-479E-8F78-9EE74C26F49E}"/>
    <cellStyle name="Style 82 3 3 2 6 2" xfId="32732" xr:uid="{21741146-482B-447C-BDD2-0784859E48E0}"/>
    <cellStyle name="Style 82 3 3 2 7" xfId="13991" xr:uid="{954A3644-EB61-4D74-9C5A-989E4C456701}"/>
    <cellStyle name="Style 82 3 3 2 7 2" xfId="32733" xr:uid="{07A84E4D-8071-40BA-8A48-5B61D39CE23C}"/>
    <cellStyle name="Style 82 3 3 2 8" xfId="13992" xr:uid="{71802693-F0D0-4FE8-B836-BC51281E3856}"/>
    <cellStyle name="Style 82 3 3 2 8 2" xfId="32734" xr:uid="{647A7E35-8EFF-4A35-8041-8C8391B7998D}"/>
    <cellStyle name="Style 82 3 3 2 9" xfId="13993" xr:uid="{C624C483-DA4E-4269-B46A-BFEEC84D2655}"/>
    <cellStyle name="Style 82 3 3 2 9 2" xfId="32735" xr:uid="{B9EC591A-D84A-44C5-806C-F169BC21B444}"/>
    <cellStyle name="Style 82 3 3 3" xfId="7068" xr:uid="{019C6D91-F780-409A-AA3B-9C7341D73221}"/>
    <cellStyle name="Style 82 3 3 3 2" xfId="7069" xr:uid="{10FDB205-F0F9-4764-BEF5-F1CD0442DE5D}"/>
    <cellStyle name="Style 82 3 3 3 2 2" xfId="13994" xr:uid="{43C15424-A4E9-4168-B1A9-EE6E60FEFE0C}"/>
    <cellStyle name="Style 82 3 3 3 2 2 2" xfId="32736" xr:uid="{7933EA8B-8B8D-4018-AB71-B04BAD31697D}"/>
    <cellStyle name="Style 82 3 3 3 2 3" xfId="13995" xr:uid="{EBA6E02D-97F4-47F3-84EE-30C485EA9E40}"/>
    <cellStyle name="Style 82 3 3 3 2 3 2" xfId="32737" xr:uid="{DA26692B-6B3E-4288-B76C-E4E684969D79}"/>
    <cellStyle name="Style 82 3 3 3 3" xfId="13996" xr:uid="{4BBF57BC-D684-45D7-BBB1-706536E6EE85}"/>
    <cellStyle name="Style 82 3 3 3 3 2" xfId="32738" xr:uid="{DC639BF3-352D-48EE-A48D-F609BC741B81}"/>
    <cellStyle name="Style 82 3 3 3 4" xfId="13997" xr:uid="{7C3C05D3-4A0C-4DB0-A38E-3C2E9E733715}"/>
    <cellStyle name="Style 82 3 3 3 4 2" xfId="32739" xr:uid="{8BCBDAC0-3529-4FA8-B253-F730B2216BCD}"/>
    <cellStyle name="Style 82 3 3 3 5" xfId="13998" xr:uid="{71CDFA12-D7F2-4A4B-A8F6-3501C273D487}"/>
    <cellStyle name="Style 82 3 3 3 5 2" xfId="32740" xr:uid="{AABD101C-F8A8-4633-8151-2488362A44DA}"/>
    <cellStyle name="Style 82 3 3 3 6" xfId="24083" xr:uid="{E2820479-0D30-444D-8249-FB1BC7BFA3C6}"/>
    <cellStyle name="Style 82 3 3 4" xfId="7070" xr:uid="{97E178C7-0645-4263-9245-C0B1308EA012}"/>
    <cellStyle name="Style 82 3 3 4 2" xfId="13999" xr:uid="{DD90AAB5-044B-421E-892F-0673AE531E81}"/>
    <cellStyle name="Style 82 3 3 4 2 2" xfId="32741" xr:uid="{1FAD0767-78B2-40CA-96B2-77CAD9DE6A8D}"/>
    <cellStyle name="Style 82 3 3 4 3" xfId="14000" xr:uid="{33BE5DE2-45B1-4240-B423-1003FAA3567A}"/>
    <cellStyle name="Style 82 3 3 4 3 2" xfId="32742" xr:uid="{43A3C4BE-BA0B-4AED-9807-C321892963ED}"/>
    <cellStyle name="Style 82 3 3 5" xfId="7071" xr:uid="{7C1E7E29-04C3-43FA-B229-90A53C93FE7B}"/>
    <cellStyle name="Style 82 3 3 5 2" xfId="14001" xr:uid="{31EB37A2-FBCB-44F4-9F80-257418FE156A}"/>
    <cellStyle name="Style 82 3 3 5 2 2" xfId="32743" xr:uid="{6B03B4F9-8F8D-45A2-93E4-3FCD3BDC5F62}"/>
    <cellStyle name="Style 82 3 3 6" xfId="7065" xr:uid="{327BA3A0-3323-4DB4-877D-40ED083B2E8C}"/>
    <cellStyle name="Style 82 3 3 6 2" xfId="14002" xr:uid="{E66B692B-F91E-4EFC-BFF2-8213668B0BCD}"/>
    <cellStyle name="Style 82 3 3 6 2 2" xfId="32744" xr:uid="{CF7B5B8C-BF0F-479F-BC4A-2AB5D77D57C3}"/>
    <cellStyle name="Style 82 3 3 7" xfId="14003" xr:uid="{0A3352F0-A720-41EA-A3A0-7E58B9D30621}"/>
    <cellStyle name="Style 82 3 3 7 2" xfId="32745" xr:uid="{48BC8792-D18F-4C7B-A96C-D0A661734E6C}"/>
    <cellStyle name="Style 82 3 3 8" xfId="14004" xr:uid="{D180206A-82B3-4ED8-84A4-3A2B91A56A18}"/>
    <cellStyle name="Style 82 3 3 8 2" xfId="32746" xr:uid="{19616C68-4155-4A36-84C2-AF5ACAD00549}"/>
    <cellStyle name="Style 82 3 3 9" xfId="14005" xr:uid="{C4786F1A-01DE-4ACD-ACCB-74AB973E333F}"/>
    <cellStyle name="Style 82 3 3 9 2" xfId="32747" xr:uid="{CBC058A3-5CC0-4C0C-8026-15A3DCE47545}"/>
    <cellStyle name="Style 82 3 4" xfId="3479" xr:uid="{01A18B4E-14FE-4D56-8A91-6E97F8448A4B}"/>
    <cellStyle name="Style 82 3 4 10" xfId="14006" xr:uid="{B339AD43-58E6-44A0-801A-A199237D338B}"/>
    <cellStyle name="Style 82 3 4 10 2" xfId="32748" xr:uid="{3CCAF163-C64E-4699-BD77-C13727A36AF6}"/>
    <cellStyle name="Style 82 3 4 11" xfId="14007" xr:uid="{13141A2D-ACAC-4B64-B35B-ACBB1F614C2A}"/>
    <cellStyle name="Style 82 3 4 11 2" xfId="32749" xr:uid="{C10FC1B2-3F33-4FC9-A359-6C77FC17B92F}"/>
    <cellStyle name="Style 82 3 4 12" xfId="14008" xr:uid="{4354A6BC-9B7A-41EF-B056-F554EAC49AE0}"/>
    <cellStyle name="Style 82 3 4 12 2" xfId="32750" xr:uid="{48ED4184-533A-4164-A351-859E8517CDDE}"/>
    <cellStyle name="Style 82 3 4 13" xfId="14009" xr:uid="{B74B50CD-CFFD-4BDE-A7EB-59E08EA4174B}"/>
    <cellStyle name="Style 82 3 4 13 2" xfId="32751" xr:uid="{C64C6E79-D780-4A18-8D9B-05F68A24784D}"/>
    <cellStyle name="Style 82 3 4 14" xfId="14010" xr:uid="{D24EB3D7-1F1C-45B7-BB46-424BEB5B6E5D}"/>
    <cellStyle name="Style 82 3 4 14 2" xfId="32752" xr:uid="{D9687E1B-0698-461F-8BC2-A7BC658F3A6E}"/>
    <cellStyle name="Style 82 3 4 15" xfId="24084" xr:uid="{47A8765C-BE8E-440D-B06C-23D4AA8816FE}"/>
    <cellStyle name="Style 82 3 4 2" xfId="3480" xr:uid="{523B9EB6-600F-4C0D-AA7F-5FEADF81CE12}"/>
    <cellStyle name="Style 82 3 4 2 10" xfId="14011" xr:uid="{45C8CD44-F335-43B1-8EB2-94D2AC4359C6}"/>
    <cellStyle name="Style 82 3 4 2 10 2" xfId="32753" xr:uid="{FDB92FEE-218C-4DD7-A09E-70BED495122F}"/>
    <cellStyle name="Style 82 3 4 2 11" xfId="14012" xr:uid="{11056905-FC6A-4DB7-8E3A-BB2098A88F90}"/>
    <cellStyle name="Style 82 3 4 2 11 2" xfId="32754" xr:uid="{09D1DE52-3D2E-4AEA-8584-AE6A52FE23C5}"/>
    <cellStyle name="Style 82 3 4 2 12" xfId="14013" xr:uid="{5C4F0E34-DDA4-4A09-BCAD-ACB01361FFED}"/>
    <cellStyle name="Style 82 3 4 2 12 2" xfId="32755" xr:uid="{56402508-B279-4C68-A073-3EEAEE0908C5}"/>
    <cellStyle name="Style 82 3 4 2 13" xfId="14014" xr:uid="{3BA05E0C-3FE0-48AA-9401-221FEF77DCD7}"/>
    <cellStyle name="Style 82 3 4 2 13 2" xfId="32756" xr:uid="{DFBA3901-D4CC-493A-B58B-6ECA2F64003E}"/>
    <cellStyle name="Style 82 3 4 2 14" xfId="24085" xr:uid="{638CC350-2CCD-47B3-B16B-EB0ACC17BAAE}"/>
    <cellStyle name="Style 82 3 4 2 2" xfId="7074" xr:uid="{612E9616-6FDA-4C5F-926F-CB6CC1FEEC94}"/>
    <cellStyle name="Style 82 3 4 2 2 2" xfId="14015" xr:uid="{D14DEC58-5FED-4473-A74B-2878F4672DF6}"/>
    <cellStyle name="Style 82 3 4 2 2 2 2" xfId="32757" xr:uid="{777582A5-1C4C-4BA1-9FCB-04FD670BB4C5}"/>
    <cellStyle name="Style 82 3 4 2 2 3" xfId="14016" xr:uid="{B51D1105-C92C-4C37-8399-2C2E93995FBC}"/>
    <cellStyle name="Style 82 3 4 2 2 3 2" xfId="32758" xr:uid="{B483EBB1-D52E-4780-A638-E3213C9B7D46}"/>
    <cellStyle name="Style 82 3 4 2 3" xfId="7073" xr:uid="{0BF971C9-38C6-4BD7-875C-04529D67B814}"/>
    <cellStyle name="Style 82 3 4 2 3 2" xfId="14017" xr:uid="{D4FEDF0A-A0A2-4E5A-AE6F-AA4FF62894DB}"/>
    <cellStyle name="Style 82 3 4 2 3 2 2" xfId="32759" xr:uid="{713B4649-913F-458A-BB03-B06A86CB0CAB}"/>
    <cellStyle name="Style 82 3 4 2 4" xfId="14018" xr:uid="{4AE13860-542D-491D-9C70-082B92F33509}"/>
    <cellStyle name="Style 82 3 4 2 4 2" xfId="32760" xr:uid="{C03486EB-6BFD-4ECB-81FA-D2BBD8889A87}"/>
    <cellStyle name="Style 82 3 4 2 5" xfId="14019" xr:uid="{C2A3B2CC-AC97-4227-A227-AD2E34FE665E}"/>
    <cellStyle name="Style 82 3 4 2 5 2" xfId="32761" xr:uid="{5629F64B-260B-4963-A391-3CC6DDBFC19F}"/>
    <cellStyle name="Style 82 3 4 2 6" xfId="14020" xr:uid="{896704F0-E95A-49D7-BC96-FE1E43CF2689}"/>
    <cellStyle name="Style 82 3 4 2 6 2" xfId="32762" xr:uid="{8DCF49F6-980B-4B61-82D7-D3AADC9AA51B}"/>
    <cellStyle name="Style 82 3 4 2 7" xfId="14021" xr:uid="{844C9ADC-883D-439C-8505-4DE495DDECAB}"/>
    <cellStyle name="Style 82 3 4 2 7 2" xfId="32763" xr:uid="{2B6E46E2-CD1A-4572-96CC-33819990949F}"/>
    <cellStyle name="Style 82 3 4 2 8" xfId="14022" xr:uid="{3B093B1C-D2D9-4623-9706-10FE173DE0F3}"/>
    <cellStyle name="Style 82 3 4 2 8 2" xfId="32764" xr:uid="{046BE17C-AC76-4FEE-93CD-60A0BA260EFB}"/>
    <cellStyle name="Style 82 3 4 2 9" xfId="14023" xr:uid="{25F7D804-377F-4034-95D5-B54FDE90E9F5}"/>
    <cellStyle name="Style 82 3 4 2 9 2" xfId="32765" xr:uid="{E81A20FD-5DC3-430A-9F67-9F370BFA8C94}"/>
    <cellStyle name="Style 82 3 4 3" xfId="7075" xr:uid="{7796A28F-F07E-4860-BF58-48EFFBFBBAF2}"/>
    <cellStyle name="Style 82 3 4 3 2" xfId="14024" xr:uid="{8AE8EFA7-2682-4295-B0DA-BD95D760AD56}"/>
    <cellStyle name="Style 82 3 4 3 2 2" xfId="32766" xr:uid="{6ECF2E6F-D899-4ECD-BD27-0BA774C0B8BB}"/>
    <cellStyle name="Style 82 3 4 3 3" xfId="14025" xr:uid="{AEEB184A-FA1E-47C3-A2A8-D163C3FE6D46}"/>
    <cellStyle name="Style 82 3 4 3 3 2" xfId="32767" xr:uid="{B6708FD1-DB8C-4DCC-A57B-9851A7EEDB3A}"/>
    <cellStyle name="Style 82 3 4 4" xfId="7072" xr:uid="{434FB4A5-9B71-4E28-9AFF-0C741B532A18}"/>
    <cellStyle name="Style 82 3 4 4 2" xfId="14026" xr:uid="{D0374C7C-7D17-4A6B-AF34-85D8563957F4}"/>
    <cellStyle name="Style 82 3 4 4 2 2" xfId="32768" xr:uid="{E0C80762-671D-4F88-98C2-80139713916A}"/>
    <cellStyle name="Style 82 3 4 5" xfId="14027" xr:uid="{453C851A-11C5-43AF-AA72-071625F79764}"/>
    <cellStyle name="Style 82 3 4 5 2" xfId="32769" xr:uid="{857B7E30-71C2-4F90-8D4E-BCE4B4C571CA}"/>
    <cellStyle name="Style 82 3 4 6" xfId="14028" xr:uid="{F272F766-A276-4159-9D87-1B5ED8E1382E}"/>
    <cellStyle name="Style 82 3 4 6 2" xfId="32770" xr:uid="{7EC89169-671F-4A01-BD4D-BD3D22D6A142}"/>
    <cellStyle name="Style 82 3 4 7" xfId="14029" xr:uid="{FFE3225C-2E4E-4F93-B349-1D4379879FD5}"/>
    <cellStyle name="Style 82 3 4 7 2" xfId="32771" xr:uid="{259ADD49-C8C2-4045-B19C-659DC3698010}"/>
    <cellStyle name="Style 82 3 4 8" xfId="14030" xr:uid="{E500C946-C5DA-4EB8-98A0-94FA8877EB3E}"/>
    <cellStyle name="Style 82 3 4 8 2" xfId="32772" xr:uid="{8109D91D-5420-4323-8CBD-F21EC7C8D9A1}"/>
    <cellStyle name="Style 82 3 4 9" xfId="14031" xr:uid="{296A9907-E200-4E19-8B8B-0B3373CC623C}"/>
    <cellStyle name="Style 82 3 4 9 2" xfId="32773" xr:uid="{D6591615-3E2A-4195-B355-14A38DADAD75}"/>
    <cellStyle name="Style 82 3 5" xfId="7076" xr:uid="{8CA8C437-E68D-4AE1-9BB8-B3A43EAFED64}"/>
    <cellStyle name="Style 82 3 5 2" xfId="14032" xr:uid="{FD21E369-2EC3-4AA0-BC90-15CF9F0A8942}"/>
    <cellStyle name="Style 82 3 5 2 2" xfId="14033" xr:uid="{2EC423FF-6334-49A2-B186-663BF5A39E2A}"/>
    <cellStyle name="Style 82 3 5 2 2 2" xfId="32775" xr:uid="{AF3AC2E2-841C-4551-B881-DDBE89935EA7}"/>
    <cellStyle name="Style 82 3 5 2 3" xfId="32774" xr:uid="{2FB4719D-A9EC-4AB6-AD8A-EF108DF5D5EE}"/>
    <cellStyle name="Style 82 3 5 3" xfId="14034" xr:uid="{49FFC92A-DAD1-4973-A5E0-13F15FC0B959}"/>
    <cellStyle name="Style 82 3 5 3 2" xfId="32776" xr:uid="{1633B543-85C6-4924-AEF5-407776DB9D92}"/>
    <cellStyle name="Style 82 3 5 4" xfId="14035" xr:uid="{626E815E-E2D2-4D9D-B0ED-2197E6BA49FD}"/>
    <cellStyle name="Style 82 3 5 4 2" xfId="32777" xr:uid="{237C4C3D-A9B1-4155-B179-0EC6BF0C5080}"/>
    <cellStyle name="Style 82 3 5 5" xfId="14036" xr:uid="{33609983-7008-4470-956F-520E545196A5}"/>
    <cellStyle name="Style 82 3 5 5 2" xfId="32778" xr:uid="{CC4A7D9A-7F9F-4E22-A697-C57CD6944076}"/>
    <cellStyle name="Style 82 3 6" xfId="7077" xr:uid="{F9DD2297-EA73-4217-AD3B-2BA4376D8311}"/>
    <cellStyle name="Style 82 3 6 2" xfId="14037" xr:uid="{DBC7A847-5F00-421A-9AC0-0CE31EB2D703}"/>
    <cellStyle name="Style 82 3 6 2 2" xfId="32779" xr:uid="{199A9B2D-0EFC-49FA-9CE4-9EFFA5FF74D9}"/>
    <cellStyle name="Style 82 3 6 3" xfId="14038" xr:uid="{9145E705-A741-4B3B-8BB4-71116F776CA3}"/>
    <cellStyle name="Style 82 3 6 3 2" xfId="32780" xr:uid="{D1E32469-738C-41AE-8845-068F25D6BA20}"/>
    <cellStyle name="Style 82 3 7" xfId="7062" xr:uid="{9C3A83C5-8716-458D-AC3B-DE5E9CC27A9B}"/>
    <cellStyle name="Style 82 3 7 2" xfId="14039" xr:uid="{A6D5A694-AE29-4476-B315-70BA84F43EAF}"/>
    <cellStyle name="Style 82 3 7 2 2" xfId="32781" xr:uid="{BD14E4FA-4A1C-4F6D-B00B-B5DD4AA9BD11}"/>
    <cellStyle name="Style 82 3 8" xfId="14040" xr:uid="{8F4A26C3-6E66-47BF-9ADC-C727B7C90934}"/>
    <cellStyle name="Style 82 3 8 2" xfId="32782" xr:uid="{02729263-A64F-41D7-B049-3F4D23F51D1C}"/>
    <cellStyle name="Style 82 3 9" xfId="14041" xr:uid="{6F189A4D-9CED-4F97-BCBC-D79A1B954C80}"/>
    <cellStyle name="Style 82 3 9 2" xfId="32783" xr:uid="{A5C33F87-CE2D-4864-9E3D-0D6BCF9EA836}"/>
    <cellStyle name="Style 82 4" xfId="3481" xr:uid="{D323A5E0-32B9-4A5C-9953-C7A8A3FC1507}"/>
    <cellStyle name="Style 82 4 10" xfId="14042" xr:uid="{70A0C0BC-D637-4980-A0DB-3B6CF68FF60A}"/>
    <cellStyle name="Style 82 4 10 2" xfId="32784" xr:uid="{B4DB1843-3CC2-4E4F-B1C7-222B941B5F3C}"/>
    <cellStyle name="Style 82 4 11" xfId="14043" xr:uid="{CB66ACEF-9C7E-4F01-A743-7BE26DEA1B57}"/>
    <cellStyle name="Style 82 4 11 2" xfId="32785" xr:uid="{E738DD17-F850-40EA-A93C-16AA79A75761}"/>
    <cellStyle name="Style 82 4 12" xfId="14044" xr:uid="{1F1DD52F-88BC-41FF-979F-FA9F3698F28F}"/>
    <cellStyle name="Style 82 4 12 2" xfId="32786" xr:uid="{B216792C-E337-4FDE-A18D-B0465CD059BB}"/>
    <cellStyle name="Style 82 4 13" xfId="14045" xr:uid="{4446061B-3C8D-4D57-8549-9511115C622A}"/>
    <cellStyle name="Style 82 4 13 2" xfId="32787" xr:uid="{2139CFD5-D1E1-441C-8DEE-E00D5D83B559}"/>
    <cellStyle name="Style 82 4 14" xfId="14046" xr:uid="{4E69ED92-50A0-4C41-95CB-7339878D22EF}"/>
    <cellStyle name="Style 82 4 14 2" xfId="32788" xr:uid="{693698DC-3D1C-49FB-9BD4-1E3B0A3050BE}"/>
    <cellStyle name="Style 82 4 15" xfId="14047" xr:uid="{736B55CC-1117-4BF2-96A6-F50B299B4123}"/>
    <cellStyle name="Style 82 4 15 2" xfId="32789" xr:uid="{010E3B3C-B32F-4C12-A2A4-947628A8D47A}"/>
    <cellStyle name="Style 82 4 16" xfId="24086" xr:uid="{55D665C3-9B87-4BC0-A6F5-8AFE189D8675}"/>
    <cellStyle name="Style 82 4 2" xfId="3482" xr:uid="{837D65DE-1401-44D0-B44D-651ED7BC9744}"/>
    <cellStyle name="Style 82 4 2 10" xfId="14048" xr:uid="{12952145-8464-4D90-8CFB-203774A00181}"/>
    <cellStyle name="Style 82 4 2 10 2" xfId="32790" xr:uid="{9267E6DC-F799-4998-8583-925273203E34}"/>
    <cellStyle name="Style 82 4 2 11" xfId="14049" xr:uid="{CCBFD34C-29F9-49AA-976F-30B06315A493}"/>
    <cellStyle name="Style 82 4 2 11 2" xfId="32791" xr:uid="{38D9E2FB-73A6-4E50-BD0A-27440460C7E7}"/>
    <cellStyle name="Style 82 4 2 12" xfId="14050" xr:uid="{80B973D7-E0B7-4500-AF6F-A5A16F037E9F}"/>
    <cellStyle name="Style 82 4 2 12 2" xfId="32792" xr:uid="{53DFB68B-BF13-46C1-8B1B-FAED934B7ECC}"/>
    <cellStyle name="Style 82 4 2 13" xfId="14051" xr:uid="{DB6A3235-201D-49A3-8103-C5321E2106F7}"/>
    <cellStyle name="Style 82 4 2 13 2" xfId="32793" xr:uid="{4B844B3D-C0B6-41EE-A09A-875346A3E954}"/>
    <cellStyle name="Style 82 4 2 14" xfId="24087" xr:uid="{65EB8139-64DE-4791-AF9A-7073B01E1F38}"/>
    <cellStyle name="Style 82 4 2 2" xfId="7080" xr:uid="{0497E39B-81F3-40C9-A443-3F4CF0F77ABC}"/>
    <cellStyle name="Style 82 4 2 2 2" xfId="14052" xr:uid="{A8D18BB6-66D7-4CE5-A2E7-C051DF4CB924}"/>
    <cellStyle name="Style 82 4 2 2 2 2" xfId="32794" xr:uid="{58928369-E49C-4762-B2A6-F10CFCCE30F4}"/>
    <cellStyle name="Style 82 4 2 2 3" xfId="14053" xr:uid="{614B51E8-AAF1-4BBA-915B-C5639D5E4087}"/>
    <cellStyle name="Style 82 4 2 2 3 2" xfId="32795" xr:uid="{2913AC89-DE38-485D-81F3-F655F20CB62C}"/>
    <cellStyle name="Style 82 4 2 3" xfId="7079" xr:uid="{5A5A356B-FA03-4230-B7E4-8606DC58D354}"/>
    <cellStyle name="Style 82 4 2 3 2" xfId="14054" xr:uid="{91FE36F9-0E22-4880-8EBD-4DBD383B5A1A}"/>
    <cellStyle name="Style 82 4 2 3 2 2" xfId="32796" xr:uid="{75904060-A901-4564-8B3A-7AD01D4C0DCC}"/>
    <cellStyle name="Style 82 4 2 4" xfId="14055" xr:uid="{663CDF18-BDA7-4ABE-BF90-774192462EAD}"/>
    <cellStyle name="Style 82 4 2 4 2" xfId="32797" xr:uid="{0628E190-5A26-457B-9382-9AF49D2D8A95}"/>
    <cellStyle name="Style 82 4 2 5" xfId="14056" xr:uid="{0486517D-469E-45C9-9901-C1AFE0BA1BCB}"/>
    <cellStyle name="Style 82 4 2 5 2" xfId="32798" xr:uid="{CFBEA2B6-A7CE-4E57-8D04-1DDECC4C655B}"/>
    <cellStyle name="Style 82 4 2 6" xfId="14057" xr:uid="{FD47F757-B083-4018-8C72-A744485A3CD1}"/>
    <cellStyle name="Style 82 4 2 6 2" xfId="32799" xr:uid="{5CA9DD2E-26BF-4B39-A237-81F7BFAC0367}"/>
    <cellStyle name="Style 82 4 2 7" xfId="14058" xr:uid="{EB8E66FE-FF94-4871-981C-544A5E1B6EB7}"/>
    <cellStyle name="Style 82 4 2 7 2" xfId="32800" xr:uid="{5BD56E80-F1DE-448C-9640-FA4E3404C84C}"/>
    <cellStyle name="Style 82 4 2 8" xfId="14059" xr:uid="{862CB086-923A-4B4E-908B-59BFA3CFD852}"/>
    <cellStyle name="Style 82 4 2 8 2" xfId="32801" xr:uid="{116E302D-D479-4BDF-A110-D83FD90391F8}"/>
    <cellStyle name="Style 82 4 2 9" xfId="14060" xr:uid="{F4335378-391A-40A2-BC42-6EF3989B1C3B}"/>
    <cellStyle name="Style 82 4 2 9 2" xfId="32802" xr:uid="{7ECDB843-9DA6-4A01-9EFB-8D56927F1B47}"/>
    <cellStyle name="Style 82 4 3" xfId="7081" xr:uid="{333D0AB1-AABE-4A94-886E-7CBCDDB6532D}"/>
    <cellStyle name="Style 82 4 3 2" xfId="7082" xr:uid="{91CA1CC5-1F4E-43FA-9634-1FF197CA049A}"/>
    <cellStyle name="Style 82 4 3 2 2" xfId="14061" xr:uid="{C021AAA1-5CBC-415E-9D4F-67A89F5E0B99}"/>
    <cellStyle name="Style 82 4 3 2 2 2" xfId="32803" xr:uid="{30FDD799-C182-417C-812A-669535B5AB45}"/>
    <cellStyle name="Style 82 4 3 2 3" xfId="14062" xr:uid="{0BD4BFC9-FC2B-4888-B14A-B1C52872F6B2}"/>
    <cellStyle name="Style 82 4 3 2 3 2" xfId="32804" xr:uid="{33454C14-4021-4CA2-A2E4-01194B434245}"/>
    <cellStyle name="Style 82 4 3 3" xfId="14063" xr:uid="{318C68F1-C76E-4E73-91C2-4B98B20E623F}"/>
    <cellStyle name="Style 82 4 3 3 2" xfId="32805" xr:uid="{CFC25B5F-06E2-4937-BBF1-E4E725E7A696}"/>
    <cellStyle name="Style 82 4 3 4" xfId="14064" xr:uid="{9C05AC59-14BE-4776-8693-CFC3D0BCADD5}"/>
    <cellStyle name="Style 82 4 3 4 2" xfId="32806" xr:uid="{B207115E-8B15-4C70-9B55-5D2A5D7B6210}"/>
    <cellStyle name="Style 82 4 3 5" xfId="14065" xr:uid="{DD926704-EA52-4213-B724-7CFAD164C3BE}"/>
    <cellStyle name="Style 82 4 3 5 2" xfId="32807" xr:uid="{ACE06231-D7C5-4061-A9BC-1DFF16C256E5}"/>
    <cellStyle name="Style 82 4 3 6" xfId="24088" xr:uid="{948CDAE3-2AD9-407D-BA42-AA3FCA546D57}"/>
    <cellStyle name="Style 82 4 4" xfId="7083" xr:uid="{84454082-3900-4183-895B-09851C7654AE}"/>
    <cellStyle name="Style 82 4 4 2" xfId="14066" xr:uid="{233B1B47-25DC-482E-8E7D-4EBD60078998}"/>
    <cellStyle name="Style 82 4 4 2 2" xfId="32808" xr:uid="{849F2B21-2784-4E6D-AF80-4D7C5323AE71}"/>
    <cellStyle name="Style 82 4 4 3" xfId="14067" xr:uid="{B3BB6541-24FF-4BAD-904A-ADEF9A532D53}"/>
    <cellStyle name="Style 82 4 4 3 2" xfId="32809" xr:uid="{395AE2A8-C1E1-44B7-843F-2F1E1FED1952}"/>
    <cellStyle name="Style 82 4 5" xfId="7084" xr:uid="{721BFBCA-E12F-4BC0-BD2A-F4AB960B7D8F}"/>
    <cellStyle name="Style 82 4 5 2" xfId="14068" xr:uid="{D154BD8D-6FC3-433B-88BC-5028931F8A93}"/>
    <cellStyle name="Style 82 4 5 2 2" xfId="32810" xr:uid="{C3E15A11-5C98-4D27-ABF9-554C3FCF4AF2}"/>
    <cellStyle name="Style 82 4 6" xfId="7078" xr:uid="{FFC304A0-9282-42D4-B54B-1332BDB5B757}"/>
    <cellStyle name="Style 82 4 6 2" xfId="14069" xr:uid="{9948D7DF-BA8C-4107-A971-33FBB2E05FB8}"/>
    <cellStyle name="Style 82 4 6 2 2" xfId="32811" xr:uid="{6463A29F-8FD5-40DA-9BCC-2ADD637A168F}"/>
    <cellStyle name="Style 82 4 7" xfId="14070" xr:uid="{4A15DCB7-5650-4EFE-97ED-51A85AF3983D}"/>
    <cellStyle name="Style 82 4 7 2" xfId="32812" xr:uid="{C3E17B81-E21A-47C6-BBAE-54B9F9E4F388}"/>
    <cellStyle name="Style 82 4 8" xfId="14071" xr:uid="{F8742C22-F313-470F-9808-07BBD5550B1C}"/>
    <cellStyle name="Style 82 4 8 2" xfId="32813" xr:uid="{34CD5E05-8E9A-4E71-B1D4-139300703D6B}"/>
    <cellStyle name="Style 82 4 9" xfId="14072" xr:uid="{D049D385-B59D-4D81-A9D4-52AAB59D8C76}"/>
    <cellStyle name="Style 82 4 9 2" xfId="32814" xr:uid="{19F1F8B0-CC2B-4031-AC5A-79B9C35EB212}"/>
    <cellStyle name="Style 82 5" xfId="3483" xr:uid="{11B08DC6-2CE9-4B99-BC4E-D8785EBCCE11}"/>
    <cellStyle name="Style 82 5 10" xfId="14073" xr:uid="{85DFDCF9-6C54-433E-A782-9C0E8E7E662D}"/>
    <cellStyle name="Style 82 5 10 2" xfId="32815" xr:uid="{AC968934-9AA4-4E1A-A74A-96312E27C6F9}"/>
    <cellStyle name="Style 82 5 11" xfId="14074" xr:uid="{A7A19559-3228-4027-98EC-9DF888ED3995}"/>
    <cellStyle name="Style 82 5 11 2" xfId="32816" xr:uid="{0513C7D2-563F-409D-BEC8-E09492B49842}"/>
    <cellStyle name="Style 82 5 12" xfId="14075" xr:uid="{E432A20B-7CB7-4F0D-B6BA-99095D06A272}"/>
    <cellStyle name="Style 82 5 12 2" xfId="32817" xr:uid="{4CD22CDB-329B-43C1-A3B2-080750352649}"/>
    <cellStyle name="Style 82 5 13" xfId="14076" xr:uid="{12023169-7D7C-4B4D-92AD-0C2BD39DEA75}"/>
    <cellStyle name="Style 82 5 13 2" xfId="32818" xr:uid="{4D0B8671-1C79-46BB-84C5-FF8F3A399502}"/>
    <cellStyle name="Style 82 5 14" xfId="14077" xr:uid="{E28DD9EE-66D3-402D-A40D-C55A04666249}"/>
    <cellStyle name="Style 82 5 14 2" xfId="32819" xr:uid="{0F2E2312-2AD1-49FD-B8C6-CB95C79F966E}"/>
    <cellStyle name="Style 82 5 15" xfId="24089" xr:uid="{CA93C89A-D6EE-4027-ABF1-5C953587D3A8}"/>
    <cellStyle name="Style 82 5 2" xfId="3484" xr:uid="{1923E5A1-2886-4FA0-A698-2143D28876FC}"/>
    <cellStyle name="Style 82 5 2 10" xfId="14078" xr:uid="{D65FF28C-23A5-45E4-A8E5-18B2F5E35FDB}"/>
    <cellStyle name="Style 82 5 2 10 2" xfId="32820" xr:uid="{296F68EC-3D9A-4B3E-9B79-44A19FD3711F}"/>
    <cellStyle name="Style 82 5 2 11" xfId="14079" xr:uid="{94B41C1B-CF0B-489F-9D41-B68B7E720B84}"/>
    <cellStyle name="Style 82 5 2 11 2" xfId="32821" xr:uid="{38443C67-16BD-430C-8592-0B08548438CC}"/>
    <cellStyle name="Style 82 5 2 12" xfId="14080" xr:uid="{902B5B6F-1584-4DCA-A2C4-85EED9A4EEEA}"/>
    <cellStyle name="Style 82 5 2 12 2" xfId="32822" xr:uid="{A8EFD8B7-7390-426E-B672-5F36E0F006F9}"/>
    <cellStyle name="Style 82 5 2 13" xfId="14081" xr:uid="{10394F47-B176-4BE8-9FE3-1154D04E5F95}"/>
    <cellStyle name="Style 82 5 2 13 2" xfId="32823" xr:uid="{83A7D33D-EAB0-4DE3-A15E-EE165C756B51}"/>
    <cellStyle name="Style 82 5 2 14" xfId="24090" xr:uid="{2BFA6E14-3D69-4848-9AC9-87C71D16E772}"/>
    <cellStyle name="Style 82 5 2 2" xfId="7087" xr:uid="{2CF38C6A-4153-4856-B196-F71CFC2CE6B9}"/>
    <cellStyle name="Style 82 5 2 2 2" xfId="14082" xr:uid="{554475C5-2287-432E-9DA5-66F35DF68011}"/>
    <cellStyle name="Style 82 5 2 2 2 2" xfId="32824" xr:uid="{268202FF-A642-48F9-A074-9A7DD4993FEC}"/>
    <cellStyle name="Style 82 5 2 2 3" xfId="14083" xr:uid="{4E70C07F-6169-491D-8776-B3F209DE5F98}"/>
    <cellStyle name="Style 82 5 2 2 3 2" xfId="32825" xr:uid="{3C29031D-CE9A-4594-8A5D-60C1A310D2AB}"/>
    <cellStyle name="Style 82 5 2 3" xfId="7086" xr:uid="{0F386F04-C0D3-4C24-A0A8-EF8D9F7DF150}"/>
    <cellStyle name="Style 82 5 2 3 2" xfId="14084" xr:uid="{A1A3F19B-7657-4681-A37B-66918F011CC5}"/>
    <cellStyle name="Style 82 5 2 3 2 2" xfId="32826" xr:uid="{4B45F64E-3A61-4488-9442-E725FB1B2C62}"/>
    <cellStyle name="Style 82 5 2 4" xfId="14085" xr:uid="{72AEFEA9-A514-45CD-92C8-9FE83DAC64B9}"/>
    <cellStyle name="Style 82 5 2 4 2" xfId="32827" xr:uid="{C92E5F4E-C07F-4B47-94BB-1AF1094A88AB}"/>
    <cellStyle name="Style 82 5 2 5" xfId="14086" xr:uid="{13E30483-47AB-4FC6-954E-3E52FF4540DF}"/>
    <cellStyle name="Style 82 5 2 5 2" xfId="32828" xr:uid="{F2145AEF-905A-4C6E-890E-BC24930C8537}"/>
    <cellStyle name="Style 82 5 2 6" xfId="14087" xr:uid="{85658C9D-7CFA-4494-9282-6D3288D47054}"/>
    <cellStyle name="Style 82 5 2 6 2" xfId="32829" xr:uid="{5B2D2659-5218-4938-BA25-ADC43A294890}"/>
    <cellStyle name="Style 82 5 2 7" xfId="14088" xr:uid="{351B2AA4-32BA-4335-9DA4-6D3086D38CFF}"/>
    <cellStyle name="Style 82 5 2 7 2" xfId="32830" xr:uid="{4C758EB3-CFE6-46B6-B9CB-C16FE53A0AA1}"/>
    <cellStyle name="Style 82 5 2 8" xfId="14089" xr:uid="{FD9DC686-4790-439C-A1DF-D767C9894D54}"/>
    <cellStyle name="Style 82 5 2 8 2" xfId="32831" xr:uid="{3FAB51EB-9B86-4194-AC07-96E541DE58A8}"/>
    <cellStyle name="Style 82 5 2 9" xfId="14090" xr:uid="{CD4BF922-294C-4182-A7ED-817F54272BFB}"/>
    <cellStyle name="Style 82 5 2 9 2" xfId="32832" xr:uid="{24842657-066A-420C-A7D7-526D591D6BDB}"/>
    <cellStyle name="Style 82 5 3" xfId="7088" xr:uid="{E24B90D6-AA49-42BA-BDA5-CCB291CA0415}"/>
    <cellStyle name="Style 82 5 3 2" xfId="14091" xr:uid="{BBC3167C-3082-4810-817C-10C32AB6DBBF}"/>
    <cellStyle name="Style 82 5 3 2 2" xfId="32833" xr:uid="{A898F033-6649-4114-A1A8-6CEE401BA473}"/>
    <cellStyle name="Style 82 5 3 3" xfId="14092" xr:uid="{552A5BCF-CA1E-42D7-9956-179D2CBFF5C9}"/>
    <cellStyle name="Style 82 5 3 3 2" xfId="32834" xr:uid="{1B538008-1C58-4DDC-93E5-C125D1FA7D5F}"/>
    <cellStyle name="Style 82 5 4" xfId="7085" xr:uid="{07711D3C-F11C-4119-85D5-2DF335DEB54A}"/>
    <cellStyle name="Style 82 5 4 2" xfId="14093" xr:uid="{55B80F22-FC8E-427D-A5F8-592BEA7AE68D}"/>
    <cellStyle name="Style 82 5 4 2 2" xfId="32835" xr:uid="{9F029B0C-480E-4851-8A31-EB0CA54F2249}"/>
    <cellStyle name="Style 82 5 5" xfId="14094" xr:uid="{6AD78F81-1E50-4640-91CB-7D41F151F5E0}"/>
    <cellStyle name="Style 82 5 5 2" xfId="32836" xr:uid="{E9CF6199-BB42-4D3D-B25E-4B6ABF9322ED}"/>
    <cellStyle name="Style 82 5 6" xfId="14095" xr:uid="{AAF2E4B5-6D85-4850-A96C-7A8859905716}"/>
    <cellStyle name="Style 82 5 6 2" xfId="32837" xr:uid="{D18CD579-DCE1-4A8A-B943-DCD06D9BB801}"/>
    <cellStyle name="Style 82 5 7" xfId="14096" xr:uid="{28B4E3E8-062B-4515-8790-90E08D54BB1C}"/>
    <cellStyle name="Style 82 5 7 2" xfId="32838" xr:uid="{9CB27360-B374-4EDB-88AC-F49444F28294}"/>
    <cellStyle name="Style 82 5 8" xfId="14097" xr:uid="{DC7767AD-E956-48CF-8591-BA8598A30427}"/>
    <cellStyle name="Style 82 5 8 2" xfId="32839" xr:uid="{B41E6506-EE17-4977-B671-F671F53EB211}"/>
    <cellStyle name="Style 82 5 9" xfId="14098" xr:uid="{507C165F-FD62-4645-AE15-FB9F161DD725}"/>
    <cellStyle name="Style 82 5 9 2" xfId="32840" xr:uid="{8416485E-35A3-49F2-BCFC-2B523ECB57C1}"/>
    <cellStyle name="Style 82 6" xfId="3485" xr:uid="{5F7C4EB7-C430-40BE-8490-B983E9FEEBF9}"/>
    <cellStyle name="Style 82 6 10" xfId="14099" xr:uid="{871D727D-27D7-4BA1-8473-EC966A22E5EC}"/>
    <cellStyle name="Style 82 6 10 2" xfId="32841" xr:uid="{92A057E1-4B73-4202-A005-03B04DCB4247}"/>
    <cellStyle name="Style 82 6 11" xfId="14100" xr:uid="{B62FD693-EF15-4A4E-9EA5-9356F8CC7759}"/>
    <cellStyle name="Style 82 6 11 2" xfId="32842" xr:uid="{B551FCD6-B645-43AA-8DF7-B168D429248C}"/>
    <cellStyle name="Style 82 6 12" xfId="14101" xr:uid="{D28E9A33-419F-4868-999B-CD6550E52367}"/>
    <cellStyle name="Style 82 6 12 2" xfId="32843" xr:uid="{A8BF5DF5-ED52-4850-9EB3-E281F6A607DC}"/>
    <cellStyle name="Style 82 6 13" xfId="14102" xr:uid="{D31AF1BB-594C-4588-B016-3FE2769A65BC}"/>
    <cellStyle name="Style 82 6 13 2" xfId="32844" xr:uid="{A531AC0B-D65B-44B1-81C9-59F69ED93A41}"/>
    <cellStyle name="Style 82 6 14" xfId="14103" xr:uid="{895623EB-4300-4788-AF0B-260EC8BF9FED}"/>
    <cellStyle name="Style 82 6 14 2" xfId="32845" xr:uid="{FB1F75C2-5878-4042-993F-83F3906BE74B}"/>
    <cellStyle name="Style 82 6 15" xfId="24091" xr:uid="{26740C74-3911-42D0-9664-2C606415B688}"/>
    <cellStyle name="Style 82 6 2" xfId="3486" xr:uid="{54EE2FCE-8B58-499C-A2CB-E243C78CD950}"/>
    <cellStyle name="Style 82 6 2 10" xfId="14104" xr:uid="{E73226A8-AE8A-418A-AD5C-716FE7763419}"/>
    <cellStyle name="Style 82 6 2 10 2" xfId="32846" xr:uid="{5364CAD7-A994-400B-9018-D58949095854}"/>
    <cellStyle name="Style 82 6 2 11" xfId="14105" xr:uid="{2FAAB7AA-3820-4E33-8B6C-FBEDBA550901}"/>
    <cellStyle name="Style 82 6 2 11 2" xfId="32847" xr:uid="{BD5CF50C-87A3-4151-AF84-B2A23724AA32}"/>
    <cellStyle name="Style 82 6 2 12" xfId="14106" xr:uid="{3C97A4CD-648A-4AE2-8AF0-4734362A802E}"/>
    <cellStyle name="Style 82 6 2 12 2" xfId="32848" xr:uid="{4046D335-57C6-4867-9DF4-34AEDEF23A02}"/>
    <cellStyle name="Style 82 6 2 2" xfId="7090" xr:uid="{4494C668-2404-4EB1-81BA-24524DEA5E08}"/>
    <cellStyle name="Style 82 6 2 2 2" xfId="14107" xr:uid="{1C1118A8-B2E9-481D-9037-753D985D8FA4}"/>
    <cellStyle name="Style 82 6 2 2 2 2" xfId="32849" xr:uid="{ACA6C46B-10F6-4982-974B-956B583E14BB}"/>
    <cellStyle name="Style 82 6 2 2 3" xfId="14108" xr:uid="{B947970B-87D1-46C6-9B8E-30DAEC1C3EBC}"/>
    <cellStyle name="Style 82 6 2 2 3 2" xfId="32850" xr:uid="{7A4D4FD7-C6D0-431B-AF42-A9A2CEDE1329}"/>
    <cellStyle name="Style 82 6 2 3" xfId="14109" xr:uid="{E21C4008-48F6-4288-823F-B4CA3695E482}"/>
    <cellStyle name="Style 82 6 2 3 2" xfId="32851" xr:uid="{DA7418CC-6E9E-4934-BCD9-3D58D4DD9D16}"/>
    <cellStyle name="Style 82 6 2 4" xfId="14110" xr:uid="{8048B5DF-EAED-45CD-890A-F9223BEE519D}"/>
    <cellStyle name="Style 82 6 2 4 2" xfId="32852" xr:uid="{30718EB7-B293-48A8-996E-8AFC6A26A55D}"/>
    <cellStyle name="Style 82 6 2 5" xfId="14111" xr:uid="{01CF8516-D1D8-4ED0-831A-34744FC81319}"/>
    <cellStyle name="Style 82 6 2 5 2" xfId="32853" xr:uid="{5995546B-567E-476E-A617-A6A92EF136F5}"/>
    <cellStyle name="Style 82 6 2 6" xfId="14112" xr:uid="{FDC60C68-A973-403D-BC17-1C90686DCAE1}"/>
    <cellStyle name="Style 82 6 2 6 2" xfId="32854" xr:uid="{9A8E76CB-BE43-4B6A-9FFB-4C0CD79F1845}"/>
    <cellStyle name="Style 82 6 2 7" xfId="14113" xr:uid="{F10CD511-B45D-498B-A44F-087DF2C83844}"/>
    <cellStyle name="Style 82 6 2 7 2" xfId="32855" xr:uid="{7D95F098-C8B0-4A7D-B2DD-CD4437E5D7F9}"/>
    <cellStyle name="Style 82 6 2 8" xfId="14114" xr:uid="{1A1006A2-6B75-43F2-B792-71957A21657F}"/>
    <cellStyle name="Style 82 6 2 8 2" xfId="32856" xr:uid="{FEB0760B-347E-481D-A626-2A1C1AE97CA6}"/>
    <cellStyle name="Style 82 6 2 9" xfId="14115" xr:uid="{6CC3251F-092C-439D-8FD1-6AADCE4D3275}"/>
    <cellStyle name="Style 82 6 2 9 2" xfId="32857" xr:uid="{94DD47B0-4BE0-431F-8107-AAC44780093F}"/>
    <cellStyle name="Style 82 6 3" xfId="4209" xr:uid="{2F1EF038-B74D-42A0-A991-F436D76ED105}"/>
    <cellStyle name="Style 82 6 3 2" xfId="7091" xr:uid="{7D06D940-8BBF-407D-8B7B-C0685D5D2F20}"/>
    <cellStyle name="Style 82 6 3 2 2" xfId="14116" xr:uid="{7F5B30B5-E744-4153-9412-60ABF189052C}"/>
    <cellStyle name="Style 82 6 3 2 2 2" xfId="32858" xr:uid="{5AAE40BD-0754-4347-8B60-123B13B7C77C}"/>
    <cellStyle name="Style 82 6 3 2 3" xfId="28342" xr:uid="{18B68867-FC2B-45B6-BC0D-0995699BC67D}"/>
    <cellStyle name="Style 82 6 3 3" xfId="14117" xr:uid="{7144854D-D26D-49D8-95AB-44DDA84D3A2B}"/>
    <cellStyle name="Style 82 6 3 3 2" xfId="32859" xr:uid="{0DF3EA87-B276-4994-87FD-47C1C17711BC}"/>
    <cellStyle name="Style 82 6 4" xfId="7089" xr:uid="{47A93CA0-BEB0-4FA3-A609-99F8B9A8A4E1}"/>
    <cellStyle name="Style 82 6 4 2" xfId="14118" xr:uid="{924FB740-5959-44A7-955C-FF1E523E9E8B}"/>
    <cellStyle name="Style 82 6 4 2 2" xfId="32860" xr:uid="{6D035793-6864-4B3A-9AC4-11CAFE9F7D46}"/>
    <cellStyle name="Style 82 6 5" xfId="14119" xr:uid="{36B4835B-5AAC-40E2-9908-2FB73327695E}"/>
    <cellStyle name="Style 82 6 5 2" xfId="32861" xr:uid="{E30CFE58-78A8-402D-99D5-7FAB1A6C144A}"/>
    <cellStyle name="Style 82 6 6" xfId="14120" xr:uid="{20CAA459-3BB7-43D0-8630-71D37EEA1FA8}"/>
    <cellStyle name="Style 82 6 6 2" xfId="32862" xr:uid="{C76BE1EA-936C-4CFD-B719-CF73F5D7B7F0}"/>
    <cellStyle name="Style 82 6 7" xfId="14121" xr:uid="{6DC2FF61-13D8-480D-8EE1-7B87C1E3A23D}"/>
    <cellStyle name="Style 82 6 7 2" xfId="32863" xr:uid="{DDB39456-C42B-4F0C-BE0C-E0FB652133CF}"/>
    <cellStyle name="Style 82 6 8" xfId="14122" xr:uid="{A06C1B9B-B896-406C-B77D-FD1A6AF6717E}"/>
    <cellStyle name="Style 82 6 8 2" xfId="32864" xr:uid="{B2392205-58AC-4EA7-943C-13A3474CD364}"/>
    <cellStyle name="Style 82 6 9" xfId="14123" xr:uid="{65EAF4D5-3192-47B7-B44B-2CB3821A63D2}"/>
    <cellStyle name="Style 82 6 9 2" xfId="32865" xr:uid="{900BACD5-8B38-4C52-8747-FE5FA8E300FB}"/>
    <cellStyle name="Style 82 7" xfId="4208" xr:uid="{D71036BF-7488-4BD6-AC55-96D04D8A9A25}"/>
    <cellStyle name="Style 82 7 2" xfId="7093" xr:uid="{1BE46707-C3BF-4379-A62E-F237EECB0A7C}"/>
    <cellStyle name="Style 82 7 2 2" xfId="14124" xr:uid="{D63AC0C8-3BC3-47B9-8A48-A656C8C60F28}"/>
    <cellStyle name="Style 82 7 2 2 2" xfId="32866" xr:uid="{F3181892-3FE3-496E-AFE5-783AF8F3C102}"/>
    <cellStyle name="Style 82 7 3" xfId="7094" xr:uid="{24549B2D-9858-4BEA-A8A1-C83661FFDF5B}"/>
    <cellStyle name="Style 82 7 4" xfId="7092" xr:uid="{1313C82D-0599-4EF2-A531-416E2A89AEB9}"/>
    <cellStyle name="Style 82 7 4 2" xfId="28341" xr:uid="{9FD46025-3EBC-4942-BDAA-65DFF190C0EE}"/>
    <cellStyle name="Style 82 7 5" xfId="14125" xr:uid="{B81A9206-0A18-4C61-B33D-DF22FD974881}"/>
    <cellStyle name="Style 82 7 5 2" xfId="32867" xr:uid="{5EC153F8-B30A-45C6-A62C-8B9E73996407}"/>
    <cellStyle name="Style 82 7 6" xfId="24092" xr:uid="{5D873637-256B-49E7-81FB-C89BB5389F9F}"/>
    <cellStyle name="Style 82 8" xfId="7095" xr:uid="{FA1FFBFF-1025-4E6E-B60C-13BDACB16B16}"/>
    <cellStyle name="Style 82 8 2" xfId="14126" xr:uid="{FEC7A6E5-1AC1-4CC0-B0B2-6146CB60C1BA}"/>
    <cellStyle name="Style 82 8 2 2" xfId="32868" xr:uid="{6D255ADD-872D-4807-A16C-5B618A2A6400}"/>
    <cellStyle name="Style 82 9" xfId="7096" xr:uid="{E3A92D0D-EE51-4649-9CB7-DED106F3D19D}"/>
    <cellStyle name="Style 82 9 2" xfId="14127" xr:uid="{B314C106-45C9-4D1E-BFC8-AF8E8A0E9DE1}"/>
    <cellStyle name="Style 82 9 2 2" xfId="32869" xr:uid="{A3B6D7B1-0EF3-4F8B-B3A3-205F6B168C50}"/>
    <cellStyle name="Style 82_ADDON" xfId="25752" xr:uid="{12BED480-F92E-45BB-87E2-7FE288968D88}"/>
    <cellStyle name="Style 83" xfId="3487" xr:uid="{38B5DBF2-F181-4AC8-9517-A497F49E9DA0}"/>
    <cellStyle name="Style 83 10" xfId="7097" xr:uid="{7016D2DC-0D81-45E1-96CC-ABB81EBD7393}"/>
    <cellStyle name="Style 83 10 2" xfId="14128" xr:uid="{89E5E238-0C48-421B-A05A-439A058F7B31}"/>
    <cellStyle name="Style 83 10 2 2" xfId="32870" xr:uid="{58FEEE84-6595-4901-B1F5-76C5B7983BA6}"/>
    <cellStyle name="Style 83 11" xfId="14129" xr:uid="{BFBDA43E-D7A7-4D9D-8F78-99CFA5AF4E4E}"/>
    <cellStyle name="Style 83 11 2" xfId="14130" xr:uid="{9D681FF3-EACD-4AA6-A8DE-0C8CEA540CF8}"/>
    <cellStyle name="Style 83 11 2 2" xfId="32871" xr:uid="{9A620E83-5909-4EF8-8FF5-DC6C01F0288D}"/>
    <cellStyle name="Style 83 11 3" xfId="26708" xr:uid="{498C94CD-DDB9-4B6D-869A-281B624CD92E}"/>
    <cellStyle name="Style 83 12" xfId="14131" xr:uid="{4C3F14F5-4DE1-44ED-BFB5-DF644A283585}"/>
    <cellStyle name="Style 83 12 2" xfId="32872" xr:uid="{44C9A145-4C97-4DAD-A816-87760F328632}"/>
    <cellStyle name="Style 83 13" xfId="14132" xr:uid="{1EFFD361-6E83-4408-9757-3D254FAAD55E}"/>
    <cellStyle name="Style 83 13 2" xfId="32873" xr:uid="{2AE92A79-7A60-406E-83B1-844639A9F408}"/>
    <cellStyle name="Style 83 14" xfId="14133" xr:uid="{B10BC493-8C34-41D7-8F07-8D02E5116E67}"/>
    <cellStyle name="Style 83 14 2" xfId="32874" xr:uid="{48C5C5F2-5534-434E-8117-E847304CF5EA}"/>
    <cellStyle name="Style 83 15" xfId="14134" xr:uid="{0D7EECB8-D563-4FA9-9480-C31132E9CBAF}"/>
    <cellStyle name="Style 83 15 2" xfId="32875" xr:uid="{1B162631-2455-4C9B-8CC5-87480620A8DF}"/>
    <cellStyle name="Style 83 16" xfId="14135" xr:uid="{04D70CDE-138B-4CB3-A7EC-2DA59839D7B0}"/>
    <cellStyle name="Style 83 16 2" xfId="32876" xr:uid="{A1D785AC-6D06-46F0-8200-38A5103E9737}"/>
    <cellStyle name="Style 83 17" xfId="14136" xr:uid="{5BAD5DCD-DC74-453D-BBC5-79EB8B2FC859}"/>
    <cellStyle name="Style 83 17 2" xfId="32877" xr:uid="{64AA3CE7-3DC8-4A74-B924-AF5B59DE5E06}"/>
    <cellStyle name="Style 83 18" xfId="14137" xr:uid="{20663303-2451-4160-A928-38193B2B63AA}"/>
    <cellStyle name="Style 83 18 2" xfId="32878" xr:uid="{E8D26410-9640-475E-8A1B-7D51C1199434}"/>
    <cellStyle name="Style 83 19" xfId="14138" xr:uid="{7B76019E-B85A-4469-8CA0-EFEE5174668B}"/>
    <cellStyle name="Style 83 19 2" xfId="32879" xr:uid="{EDB857B0-C626-4557-9CAE-B698859D1372}"/>
    <cellStyle name="Style 83 2" xfId="3488" xr:uid="{476AC7A4-9EE0-433F-B854-3B1BA7C0CC83}"/>
    <cellStyle name="Style 83 2 10" xfId="14139" xr:uid="{15BC4C62-0A9A-4497-BFED-148ACA07BC37}"/>
    <cellStyle name="Style 83 2 10 2" xfId="32880" xr:uid="{29100FD5-2B16-4F3D-8A65-999AFD8A3596}"/>
    <cellStyle name="Style 83 2 11" xfId="14140" xr:uid="{2DF1C880-8FD0-4B8E-B6CD-5EA68F8122F5}"/>
    <cellStyle name="Style 83 2 11 2" xfId="32881" xr:uid="{AD0BC9D4-CD8A-4A1D-96C2-7F2759E9A843}"/>
    <cellStyle name="Style 83 2 12" xfId="14141" xr:uid="{E7D9F191-C2CD-49C7-8642-82EEFC8CD321}"/>
    <cellStyle name="Style 83 2 12 2" xfId="32882" xr:uid="{742F191F-A8E4-4C72-9B90-FBFAB4CE16FE}"/>
    <cellStyle name="Style 83 2 13" xfId="14142" xr:uid="{C986E02C-2A23-454A-9311-2FDBF1580917}"/>
    <cellStyle name="Style 83 2 13 2" xfId="32883" xr:uid="{EE9D0D9B-0412-422E-994B-C3B219D91E8F}"/>
    <cellStyle name="Style 83 2 14" xfId="14143" xr:uid="{90B2FDD3-FC00-4C1F-8292-D17E4741A5F8}"/>
    <cellStyle name="Style 83 2 14 2" xfId="32884" xr:uid="{4D3FF9B0-7083-4170-A8EB-65C4E83E112A}"/>
    <cellStyle name="Style 83 2 15" xfId="14144" xr:uid="{2C7F7FFF-E332-4598-B22E-657365390C49}"/>
    <cellStyle name="Style 83 2 15 2" xfId="32885" xr:uid="{F22C3BD5-DD5A-4E5C-B7B9-1AEE048EA38B}"/>
    <cellStyle name="Style 83 2 16" xfId="14145" xr:uid="{999BF838-AFDC-4B6E-AD02-0D0980B462DE}"/>
    <cellStyle name="Style 83 2 16 2" xfId="32886" xr:uid="{DEAAA9F8-9787-448B-A123-0E5C5BE98039}"/>
    <cellStyle name="Style 83 2 17" xfId="14146" xr:uid="{C74F4B62-01FA-4059-B42C-5D40A938DCA8}"/>
    <cellStyle name="Style 83 2 17 2" xfId="32887" xr:uid="{1131FC83-57C4-4D58-BCE1-4021A6C41EFF}"/>
    <cellStyle name="Style 83 2 2" xfId="3489" xr:uid="{14516707-6405-46EF-98E5-2F0CC7130331}"/>
    <cellStyle name="Style 83 2 2 10" xfId="14147" xr:uid="{2532C922-6509-42C4-98DB-9002F8319769}"/>
    <cellStyle name="Style 83 2 2 10 2" xfId="32888" xr:uid="{B2AEFD0E-0F1B-47AF-8FD2-C392C52F138E}"/>
    <cellStyle name="Style 83 2 2 11" xfId="14148" xr:uid="{7C876CB8-8F51-4A34-B661-CCCCBD46E343}"/>
    <cellStyle name="Style 83 2 2 11 2" xfId="32889" xr:uid="{D35068BD-FE82-4153-8206-39EAF0EB9C90}"/>
    <cellStyle name="Style 83 2 2 12" xfId="14149" xr:uid="{6D7A236A-29CA-4C42-B78B-C4CD2D85500A}"/>
    <cellStyle name="Style 83 2 2 12 2" xfId="32890" xr:uid="{50BFC94B-8DC5-4C43-86CE-DB638422DB2C}"/>
    <cellStyle name="Style 83 2 2 13" xfId="14150" xr:uid="{8441C526-CC6F-4F48-BC5A-1B68D1A3CA83}"/>
    <cellStyle name="Style 83 2 2 13 2" xfId="32891" xr:uid="{5C4B186C-ABFF-4760-A7B3-5B38599719B9}"/>
    <cellStyle name="Style 83 2 2 14" xfId="14151" xr:uid="{3DA00FCF-6779-48A1-B018-B51904B7E4B6}"/>
    <cellStyle name="Style 83 2 2 14 2" xfId="32892" xr:uid="{30807840-0907-4C66-A778-114B89BC7231}"/>
    <cellStyle name="Style 83 2 2 15" xfId="14152" xr:uid="{B08C2B87-D862-4CD7-AC3E-4B47C34D3101}"/>
    <cellStyle name="Style 83 2 2 15 2" xfId="32893" xr:uid="{6DC745A9-34A0-4260-AC2D-11ABC6D5794A}"/>
    <cellStyle name="Style 83 2 2 16" xfId="14153" xr:uid="{A639071C-D734-406D-B0A5-F8A013C00F10}"/>
    <cellStyle name="Style 83 2 2 16 2" xfId="32894" xr:uid="{8D49FAD1-7323-46A5-B3B8-B312E9F20213}"/>
    <cellStyle name="Style 83 2 2 2" xfId="3490" xr:uid="{D525508B-1895-4A5B-96B0-77E44A929EE9}"/>
    <cellStyle name="Style 83 2 2 2 10" xfId="14154" xr:uid="{A3EE9EC0-D54A-459F-93D3-BE3136EFAADC}"/>
    <cellStyle name="Style 83 2 2 2 10 2" xfId="32895" xr:uid="{EC5315FD-291A-445C-A420-893CC19D5951}"/>
    <cellStyle name="Style 83 2 2 2 11" xfId="14155" xr:uid="{E91526C8-8613-4AEB-8A01-18372D61BE2A}"/>
    <cellStyle name="Style 83 2 2 2 11 2" xfId="32896" xr:uid="{5732ECC6-93D3-442B-8826-DADEDDF6FCAC}"/>
    <cellStyle name="Style 83 2 2 2 12" xfId="14156" xr:uid="{692CD3FA-7233-4881-9D38-AC8549168BE4}"/>
    <cellStyle name="Style 83 2 2 2 12 2" xfId="32897" xr:uid="{3283BDE8-97EF-4AD7-93AA-445AA78CD43C}"/>
    <cellStyle name="Style 83 2 2 2 13" xfId="14157" xr:uid="{47AEB29E-CD77-464F-B9EF-C886F0C652C1}"/>
    <cellStyle name="Style 83 2 2 2 13 2" xfId="32898" xr:uid="{F4AFE6D8-D175-4E37-9966-DA5A6E6D213E}"/>
    <cellStyle name="Style 83 2 2 2 14" xfId="14158" xr:uid="{CF5E3A5B-E010-49BD-AC9A-78EC1C5CB99C}"/>
    <cellStyle name="Style 83 2 2 2 14 2" xfId="32899" xr:uid="{21DC2EE0-5827-4631-8511-1C9E7D607197}"/>
    <cellStyle name="Style 83 2 2 2 15" xfId="14159" xr:uid="{8151AC21-8343-4AF8-B1E0-568DEC11B5B1}"/>
    <cellStyle name="Style 83 2 2 2 15 2" xfId="32900" xr:uid="{231CAAFC-AEC4-4E2B-B46A-578AB5D3E9B5}"/>
    <cellStyle name="Style 83 2 2 2 2" xfId="3491" xr:uid="{136590A1-D6E1-4DB0-8641-61005A8673CC}"/>
    <cellStyle name="Style 83 2 2 2 2 10" xfId="14160" xr:uid="{92751C7D-E124-4E44-A433-370D9189CA53}"/>
    <cellStyle name="Style 83 2 2 2 2 10 2" xfId="32901" xr:uid="{12870D05-9520-4B0C-A3B8-18F3569230C0}"/>
    <cellStyle name="Style 83 2 2 2 2 11" xfId="14161" xr:uid="{A61FA619-F1EF-4CDB-A482-FEC1D1C06F3B}"/>
    <cellStyle name="Style 83 2 2 2 2 11 2" xfId="32902" xr:uid="{EEF31352-650C-4DB3-9C05-FA46E7F2DAD2}"/>
    <cellStyle name="Style 83 2 2 2 2 12" xfId="14162" xr:uid="{A55134AC-C595-4E82-B01B-F6A1363A6824}"/>
    <cellStyle name="Style 83 2 2 2 2 12 2" xfId="32903" xr:uid="{A4500F5D-7742-4C5A-AD0D-7F6644EEC619}"/>
    <cellStyle name="Style 83 2 2 2 2 13" xfId="14163" xr:uid="{50C3B486-085D-4B7C-A1C8-836552FB99D7}"/>
    <cellStyle name="Style 83 2 2 2 2 13 2" xfId="32904" xr:uid="{22CF3674-F9F1-459B-8F71-C58CC0600570}"/>
    <cellStyle name="Style 83 2 2 2 2 14" xfId="14164" xr:uid="{CD5048C7-CCF4-4041-89C6-C39628F9F8E6}"/>
    <cellStyle name="Style 83 2 2 2 2 14 2" xfId="32905" xr:uid="{284EFE2F-0EDB-452F-9120-FE2A4ED5BCEB}"/>
    <cellStyle name="Style 83 2 2 2 2 2" xfId="3492" xr:uid="{41F23CC7-9963-4A87-90F2-3E12A48B6997}"/>
    <cellStyle name="Style 83 2 2 2 2 2 10" xfId="14165" xr:uid="{681D3EC9-4DC7-47A7-B8D9-CE56C892E29B}"/>
    <cellStyle name="Style 83 2 2 2 2 2 10 2" xfId="32906" xr:uid="{D4D68A3D-3C75-472D-AE12-12E09D4C2FEA}"/>
    <cellStyle name="Style 83 2 2 2 2 2 11" xfId="14166" xr:uid="{B5732B2F-1A86-4513-A7CE-D343B2136712}"/>
    <cellStyle name="Style 83 2 2 2 2 2 11 2" xfId="32907" xr:uid="{915D561D-6EAE-48FC-A465-1FAD7C5225CA}"/>
    <cellStyle name="Style 83 2 2 2 2 2 12" xfId="14167" xr:uid="{542E86A0-686E-4105-A4B7-F5177CA1AECF}"/>
    <cellStyle name="Style 83 2 2 2 2 2 12 2" xfId="32908" xr:uid="{E1DA7F81-4D78-4A34-BDF1-58B4C3F2E78C}"/>
    <cellStyle name="Style 83 2 2 2 2 2 2" xfId="7102" xr:uid="{FA818595-F378-4771-9825-B82528C88D26}"/>
    <cellStyle name="Style 83 2 2 2 2 2 2 2" xfId="14168" xr:uid="{1AEEE49B-2F36-469C-B35F-71D3832B08CC}"/>
    <cellStyle name="Style 83 2 2 2 2 2 2 2 2" xfId="32909" xr:uid="{F5EEFD2C-6AD1-4422-AE3B-F502212B2B56}"/>
    <cellStyle name="Style 83 2 2 2 2 2 2 3" xfId="14169" xr:uid="{356CE821-8BDD-41CA-B8D0-722CB347BCC4}"/>
    <cellStyle name="Style 83 2 2 2 2 2 2 3 2" xfId="32910" xr:uid="{6131EC7A-3458-4A7C-86C6-5D882DFE1E6A}"/>
    <cellStyle name="Style 83 2 2 2 2 2 3" xfId="14170" xr:uid="{C42B232B-7786-43DF-905A-A61654EB0244}"/>
    <cellStyle name="Style 83 2 2 2 2 2 3 2" xfId="14171" xr:uid="{903C0D93-A0DF-4C69-B499-F31AFD81F779}"/>
    <cellStyle name="Style 83 2 2 2 2 2 3 2 2" xfId="32911" xr:uid="{298CB935-24DB-4191-940F-1C6B39E9E6EC}"/>
    <cellStyle name="Style 83 2 2 2 2 2 4" xfId="14172" xr:uid="{4332B4E0-E4EA-4FDC-92FA-E67391991B40}"/>
    <cellStyle name="Style 83 2 2 2 2 2 4 2" xfId="32912" xr:uid="{57543D7C-F943-4BCE-A564-59C84D174B64}"/>
    <cellStyle name="Style 83 2 2 2 2 2 5" xfId="14173" xr:uid="{A34C9B5F-A07E-472E-956C-426F34CCF16F}"/>
    <cellStyle name="Style 83 2 2 2 2 2 5 2" xfId="32913" xr:uid="{C585C3E6-3DBE-43E7-B006-CCA3893E3044}"/>
    <cellStyle name="Style 83 2 2 2 2 2 6" xfId="14174" xr:uid="{77AB0B07-713D-4E61-A53E-9AC82247BA0D}"/>
    <cellStyle name="Style 83 2 2 2 2 2 6 2" xfId="32914" xr:uid="{42ECB690-29CC-4D14-AEBC-1D1E7CC887D7}"/>
    <cellStyle name="Style 83 2 2 2 2 2 7" xfId="14175" xr:uid="{28E789E3-5B38-4A9E-9BF7-9FA133F11841}"/>
    <cellStyle name="Style 83 2 2 2 2 2 7 2" xfId="32915" xr:uid="{E26C1ABA-948F-478D-9317-014B67FFC940}"/>
    <cellStyle name="Style 83 2 2 2 2 2 8" xfId="14176" xr:uid="{9DAFCEA0-801A-4968-8A98-CF32270D901C}"/>
    <cellStyle name="Style 83 2 2 2 2 2 8 2" xfId="32916" xr:uid="{A6CCDB08-7AB0-4946-A490-7ECE2A928E3C}"/>
    <cellStyle name="Style 83 2 2 2 2 2 9" xfId="14177" xr:uid="{A0E4D234-7121-4C44-9714-412E2ECED383}"/>
    <cellStyle name="Style 83 2 2 2 2 2 9 2" xfId="32917" xr:uid="{A3261498-64F8-46A1-8388-31CF943BE2E8}"/>
    <cellStyle name="Style 83 2 2 2 2 3" xfId="7101" xr:uid="{3210E950-30C3-4B70-822D-9B5F7EB76658}"/>
    <cellStyle name="Style 83 2 2 2 2 3 2" xfId="14178" xr:uid="{517C196C-56E3-4ADC-B2D9-50D224950197}"/>
    <cellStyle name="Style 83 2 2 2 2 3 2 2" xfId="32918" xr:uid="{6C79A906-22E5-45FC-B955-2A0CE2FCA945}"/>
    <cellStyle name="Style 83 2 2 2 2 3 3" xfId="14179" xr:uid="{7E5BD9D3-4C3B-421D-8F50-52952AEEBFCB}"/>
    <cellStyle name="Style 83 2 2 2 2 3 3 2" xfId="32919" xr:uid="{7C7A0086-920D-45D5-8E38-628FFE8C54D0}"/>
    <cellStyle name="Style 83 2 2 2 2 4" xfId="14180" xr:uid="{516B2FC7-65C4-4EC2-88F7-A128FF331532}"/>
    <cellStyle name="Style 83 2 2 2 2 4 2" xfId="14181" xr:uid="{C780157E-7408-4109-AA12-55B140ADD8A4}"/>
    <cellStyle name="Style 83 2 2 2 2 4 2 2" xfId="32920" xr:uid="{BB3E040C-FAEC-4AEF-B032-8317529DD587}"/>
    <cellStyle name="Style 83 2 2 2 2 5" xfId="14182" xr:uid="{0FBE5B3D-DD30-4A3F-AFFE-0F125927C8BA}"/>
    <cellStyle name="Style 83 2 2 2 2 5 2" xfId="32921" xr:uid="{8EEE56FB-9DDD-4CB0-907B-E3E96A98BCE4}"/>
    <cellStyle name="Style 83 2 2 2 2 6" xfId="14183" xr:uid="{7283D350-0371-440B-AD18-ADA0D253DF14}"/>
    <cellStyle name="Style 83 2 2 2 2 6 2" xfId="32922" xr:uid="{40E05E8A-BDB5-45AA-973B-F7C73597D7E0}"/>
    <cellStyle name="Style 83 2 2 2 2 7" xfId="14184" xr:uid="{3538D8D3-D619-4330-877F-43C6722C31B1}"/>
    <cellStyle name="Style 83 2 2 2 2 7 2" xfId="32923" xr:uid="{4FB546CF-55B0-40D6-938D-F5B583CE9D50}"/>
    <cellStyle name="Style 83 2 2 2 2 8" xfId="14185" xr:uid="{B5903981-4EB9-4BBD-870B-07FE5D8E2457}"/>
    <cellStyle name="Style 83 2 2 2 2 8 2" xfId="32924" xr:uid="{9F21C292-C266-4FCD-A6F6-A546AF7612E9}"/>
    <cellStyle name="Style 83 2 2 2 2 9" xfId="14186" xr:uid="{B3170D86-2594-4E60-8FBA-A05C92778155}"/>
    <cellStyle name="Style 83 2 2 2 2 9 2" xfId="32925" xr:uid="{41FD0DD8-25DF-4F66-9630-C4BF8A835198}"/>
    <cellStyle name="Style 83 2 2 2 3" xfId="3493" xr:uid="{F46CF6B5-B9CB-465B-B765-168D61A4A76C}"/>
    <cellStyle name="Style 83 2 2 2 3 10" xfId="14187" xr:uid="{2AF8DF3B-D65F-47E8-AB69-BA23A0DC7E5D}"/>
    <cellStyle name="Style 83 2 2 2 3 10 2" xfId="32926" xr:uid="{852F934C-B965-40D5-9C51-86BAF29667C2}"/>
    <cellStyle name="Style 83 2 2 2 3 11" xfId="14188" xr:uid="{1854FE71-3B94-4F2D-A860-4B0036325854}"/>
    <cellStyle name="Style 83 2 2 2 3 11 2" xfId="32927" xr:uid="{41AE7D76-E6B9-4BEA-B731-53E3B2631E5D}"/>
    <cellStyle name="Style 83 2 2 2 3 12" xfId="14189" xr:uid="{11BEB0F7-FD2D-4231-ACA3-4E2847931A35}"/>
    <cellStyle name="Style 83 2 2 2 3 12 2" xfId="32928" xr:uid="{F42B74F3-2991-4311-A18F-069938AF4439}"/>
    <cellStyle name="Style 83 2 2 2 3 2" xfId="7103" xr:uid="{2A98B27B-10FD-468A-A361-0AFC4B365529}"/>
    <cellStyle name="Style 83 2 2 2 3 2 2" xfId="14190" xr:uid="{8A909A71-9D61-474F-9CA2-B841CAC80415}"/>
    <cellStyle name="Style 83 2 2 2 3 2 2 2" xfId="32929" xr:uid="{12DD876C-FC2B-4740-8C51-CD88AAE90E69}"/>
    <cellStyle name="Style 83 2 2 2 3 2 3" xfId="14191" xr:uid="{E7A96473-364F-4AD0-94C5-5D80A6F819D2}"/>
    <cellStyle name="Style 83 2 2 2 3 2 3 2" xfId="32930" xr:uid="{2478573A-C19B-401C-B48E-F46B3825AFD7}"/>
    <cellStyle name="Style 83 2 2 2 3 3" xfId="14192" xr:uid="{1A7FAB99-0FBC-4536-99A3-583976AB37B6}"/>
    <cellStyle name="Style 83 2 2 2 3 3 2" xfId="14193" xr:uid="{544B3F95-35AA-49F3-AE0B-42FEBB2BBC77}"/>
    <cellStyle name="Style 83 2 2 2 3 3 2 2" xfId="32931" xr:uid="{86994BA4-0BC6-4B64-90F5-02FFC50B814E}"/>
    <cellStyle name="Style 83 2 2 2 3 4" xfId="14194" xr:uid="{DE914226-1BC5-4DD8-B006-37EBCACC1B9C}"/>
    <cellStyle name="Style 83 2 2 2 3 4 2" xfId="32932" xr:uid="{630FCC72-4793-4B1E-A630-265C0397F82C}"/>
    <cellStyle name="Style 83 2 2 2 3 5" xfId="14195" xr:uid="{62AF6101-A80E-4BBA-A248-24DDB7512E0C}"/>
    <cellStyle name="Style 83 2 2 2 3 5 2" xfId="32933" xr:uid="{A6B24AD3-692B-4619-B169-C6FDCD1B0BCC}"/>
    <cellStyle name="Style 83 2 2 2 3 6" xfId="14196" xr:uid="{9DAF4B02-345F-433D-805C-450A075CA7CB}"/>
    <cellStyle name="Style 83 2 2 2 3 6 2" xfId="32934" xr:uid="{C410A7A2-D5CB-4199-9ABE-B43E291C78B3}"/>
    <cellStyle name="Style 83 2 2 2 3 7" xfId="14197" xr:uid="{6AF50290-310C-480F-BD6F-E0892DE38CF5}"/>
    <cellStyle name="Style 83 2 2 2 3 7 2" xfId="32935" xr:uid="{36B7AD94-F43C-4FA4-A614-07A65566662A}"/>
    <cellStyle name="Style 83 2 2 2 3 8" xfId="14198" xr:uid="{0383165B-09A7-4B83-B6F0-4EAE407D5CB7}"/>
    <cellStyle name="Style 83 2 2 2 3 8 2" xfId="32936" xr:uid="{4497E354-BC58-4CF9-9579-EF5D5B35AF92}"/>
    <cellStyle name="Style 83 2 2 2 3 9" xfId="14199" xr:uid="{EC818802-2B48-497A-8D05-D37DD29F7F58}"/>
    <cellStyle name="Style 83 2 2 2 3 9 2" xfId="32937" xr:uid="{B52880D7-AFCE-47A0-98BD-6A40FD993BFE}"/>
    <cellStyle name="Style 83 2 2 2 4" xfId="7100" xr:uid="{4691B6F3-B391-4A2E-BA7F-53CEF4E87FC3}"/>
    <cellStyle name="Style 83 2 2 2 4 2" xfId="14200" xr:uid="{FAD12F1B-959E-405B-BBCE-0AA59F460189}"/>
    <cellStyle name="Style 83 2 2 2 4 2 2" xfId="32938" xr:uid="{412F5176-16D4-4DF3-8192-86EC4ACABC32}"/>
    <cellStyle name="Style 83 2 2 2 4 3" xfId="14201" xr:uid="{8319721B-E586-4280-A09A-616B34D0DE7C}"/>
    <cellStyle name="Style 83 2 2 2 4 3 2" xfId="32939" xr:uid="{CF0E3E36-6686-44FC-A02B-4AD0559F9A44}"/>
    <cellStyle name="Style 83 2 2 2 5" xfId="14202" xr:uid="{233B1C2B-0C7E-4B54-B898-3A4D9B05E06C}"/>
    <cellStyle name="Style 83 2 2 2 5 2" xfId="14203" xr:uid="{9B8B6B00-7817-48C4-AD0D-8B7631348C04}"/>
    <cellStyle name="Style 83 2 2 2 5 2 2" xfId="32940" xr:uid="{6E322F5C-6AA8-4FEF-81C3-0A9FB6F91E4D}"/>
    <cellStyle name="Style 83 2 2 2 6" xfId="14204" xr:uid="{46A4539F-431C-4929-933E-CB45EF6C8876}"/>
    <cellStyle name="Style 83 2 2 2 6 2" xfId="32941" xr:uid="{CCDB5906-E4B9-4653-8A7F-7EF5305A8357}"/>
    <cellStyle name="Style 83 2 2 2 7" xfId="14205" xr:uid="{E88BF013-73F3-4B26-9F2E-CEE02DAABCB3}"/>
    <cellStyle name="Style 83 2 2 2 7 2" xfId="32942" xr:uid="{89DCB675-4B52-40B4-A90C-05A8D1612A31}"/>
    <cellStyle name="Style 83 2 2 2 8" xfId="14206" xr:uid="{05F41DF3-BD2F-42D6-96C2-D3644EDDF20C}"/>
    <cellStyle name="Style 83 2 2 2 8 2" xfId="32943" xr:uid="{AAD3A62D-9C76-4005-ADFF-087A1449D5F2}"/>
    <cellStyle name="Style 83 2 2 2 9" xfId="14207" xr:uid="{ECE7FF80-DE47-4600-AFA0-C41A4A73ECE4}"/>
    <cellStyle name="Style 83 2 2 2 9 2" xfId="32944" xr:uid="{D9DA9D66-072A-4538-A0C1-E180528929F1}"/>
    <cellStyle name="Style 83 2 2 3" xfId="3494" xr:uid="{FE9DA184-0C12-4E0B-99FB-18A0F903F077}"/>
    <cellStyle name="Style 83 2 2 3 10" xfId="14208" xr:uid="{089032A3-42CE-467A-9448-F5CA49B5004F}"/>
    <cellStyle name="Style 83 2 2 3 10 2" xfId="32945" xr:uid="{D46AFB93-F216-4626-A719-2DD06F4DF399}"/>
    <cellStyle name="Style 83 2 2 3 11" xfId="14209" xr:uid="{27C1D6C9-8358-4385-92E2-CA68AA1AE89A}"/>
    <cellStyle name="Style 83 2 2 3 11 2" xfId="32946" xr:uid="{B782CA69-4F14-4CA4-AB26-47D41FDDA69A}"/>
    <cellStyle name="Style 83 2 2 3 12" xfId="14210" xr:uid="{38C58F2C-3A9C-4AFC-8091-1A60E25735F6}"/>
    <cellStyle name="Style 83 2 2 3 12 2" xfId="32947" xr:uid="{78FEAB9E-1C29-43E4-BACB-F9B323BF45D9}"/>
    <cellStyle name="Style 83 2 2 3 13" xfId="14211" xr:uid="{03A48BBF-BD37-46EB-8506-670126DC398E}"/>
    <cellStyle name="Style 83 2 2 3 13 2" xfId="32948" xr:uid="{F52BD292-1DDD-4057-B2C9-A1196E4D51D7}"/>
    <cellStyle name="Style 83 2 2 3 14" xfId="14212" xr:uid="{BFBF560B-575B-48BD-9626-B010E3157D33}"/>
    <cellStyle name="Style 83 2 2 3 14 2" xfId="32949" xr:uid="{952FA171-E747-4A50-91E8-79A3B8E0C35D}"/>
    <cellStyle name="Style 83 2 2 3 2" xfId="3495" xr:uid="{B8767CB4-1A10-4F8C-B246-6FCE18F027F3}"/>
    <cellStyle name="Style 83 2 2 3 2 10" xfId="14213" xr:uid="{3D0DDB47-6796-48EE-8B1C-7D9E97605912}"/>
    <cellStyle name="Style 83 2 2 3 2 10 2" xfId="32950" xr:uid="{046C631E-7B1B-4BB2-9E6C-2209A3DB6B23}"/>
    <cellStyle name="Style 83 2 2 3 2 11" xfId="14214" xr:uid="{F709EDB3-9EE4-4369-A919-4E5429C660B4}"/>
    <cellStyle name="Style 83 2 2 3 2 11 2" xfId="32951" xr:uid="{94CED223-F8A9-4493-BD98-139FAE6E2A54}"/>
    <cellStyle name="Style 83 2 2 3 2 12" xfId="14215" xr:uid="{4AD3B924-9027-4ECA-B4B7-FB582AF9D200}"/>
    <cellStyle name="Style 83 2 2 3 2 12 2" xfId="32952" xr:uid="{1A3D38F1-8E8C-4433-A087-622A0DEDA02B}"/>
    <cellStyle name="Style 83 2 2 3 2 2" xfId="7105" xr:uid="{9345E2BB-AFB0-4551-BE5D-22DEE5AB0ECD}"/>
    <cellStyle name="Style 83 2 2 3 2 2 2" xfId="14216" xr:uid="{F0520264-F281-47D9-BC2D-7F19E0444947}"/>
    <cellStyle name="Style 83 2 2 3 2 2 2 2" xfId="32953" xr:uid="{8F217FB6-41CC-4D74-ACF2-35834FF904D8}"/>
    <cellStyle name="Style 83 2 2 3 2 2 3" xfId="14217" xr:uid="{2703E7EF-2DF0-48BE-A817-EC00BE689243}"/>
    <cellStyle name="Style 83 2 2 3 2 2 3 2" xfId="32954" xr:uid="{8BF7989C-3E80-49C1-B7C2-B267C2032FC4}"/>
    <cellStyle name="Style 83 2 2 3 2 3" xfId="14218" xr:uid="{EF90C7E7-3F7F-4041-ADCA-3EFE685D1D44}"/>
    <cellStyle name="Style 83 2 2 3 2 3 2" xfId="14219" xr:uid="{BDF45764-9A35-4C60-B3DD-0C0A9E974F71}"/>
    <cellStyle name="Style 83 2 2 3 2 3 2 2" xfId="32955" xr:uid="{EEFCD59D-8DD4-4BAE-B719-A3A0F25E358F}"/>
    <cellStyle name="Style 83 2 2 3 2 4" xfId="14220" xr:uid="{B7BBA6E5-2FD5-4206-AA3A-C611B46F3904}"/>
    <cellStyle name="Style 83 2 2 3 2 4 2" xfId="32956" xr:uid="{84066807-B458-4CCB-86DD-FF9D1B7A03BC}"/>
    <cellStyle name="Style 83 2 2 3 2 5" xfId="14221" xr:uid="{BCBBE04F-6776-45D1-B4CB-AD1CDACCF19B}"/>
    <cellStyle name="Style 83 2 2 3 2 5 2" xfId="32957" xr:uid="{09B27A04-ABE6-4A7A-9494-F5BF05C05C5C}"/>
    <cellStyle name="Style 83 2 2 3 2 6" xfId="14222" xr:uid="{F1115356-7A6A-4595-A06C-F13C4BF83285}"/>
    <cellStyle name="Style 83 2 2 3 2 6 2" xfId="32958" xr:uid="{F222390A-2E8B-4AB2-8CA4-E32B169F062A}"/>
    <cellStyle name="Style 83 2 2 3 2 7" xfId="14223" xr:uid="{3EA18D82-B2AF-48AC-BD91-AD567294C768}"/>
    <cellStyle name="Style 83 2 2 3 2 7 2" xfId="32959" xr:uid="{A24F0407-E646-4FB0-BF2D-589BDEC31608}"/>
    <cellStyle name="Style 83 2 2 3 2 8" xfId="14224" xr:uid="{A65ED09E-3E81-4CB6-A7F7-8DD29B52F2D5}"/>
    <cellStyle name="Style 83 2 2 3 2 8 2" xfId="32960" xr:uid="{6D2BA1B9-A524-4B6F-8CAD-DDCED0CDE361}"/>
    <cellStyle name="Style 83 2 2 3 2 9" xfId="14225" xr:uid="{49626A97-6212-42AD-B38C-7C36C900911B}"/>
    <cellStyle name="Style 83 2 2 3 2 9 2" xfId="32961" xr:uid="{D2246B07-850C-4190-B3B6-DF13C880289B}"/>
    <cellStyle name="Style 83 2 2 3 3" xfId="7104" xr:uid="{019F9BD4-096B-4977-9521-8370C4D6D364}"/>
    <cellStyle name="Style 83 2 2 3 3 2" xfId="14226" xr:uid="{370D3F4B-0288-4DBA-B0E1-AC470C2B92EA}"/>
    <cellStyle name="Style 83 2 2 3 3 2 2" xfId="32962" xr:uid="{D4A95E23-7A5F-4F2A-912A-E0FBA35DE5A8}"/>
    <cellStyle name="Style 83 2 2 3 3 3" xfId="14227" xr:uid="{0B2EC142-7D23-4E28-AEC0-98F7EF09B459}"/>
    <cellStyle name="Style 83 2 2 3 3 3 2" xfId="32963" xr:uid="{746BB48D-9621-4514-8F89-95C2B1141803}"/>
    <cellStyle name="Style 83 2 2 3 4" xfId="14228" xr:uid="{53B01038-D43E-46D3-B6B3-B461971C7FE7}"/>
    <cellStyle name="Style 83 2 2 3 4 2" xfId="14229" xr:uid="{A342B2CD-453C-4700-8E89-03B1389FB787}"/>
    <cellStyle name="Style 83 2 2 3 4 2 2" xfId="32964" xr:uid="{1ED3F484-5C01-467F-B3DE-A011F0C35EE1}"/>
    <cellStyle name="Style 83 2 2 3 5" xfId="14230" xr:uid="{160BE95A-D8D3-48FC-A48B-C2D298D36F64}"/>
    <cellStyle name="Style 83 2 2 3 5 2" xfId="32965" xr:uid="{1D5BC8C4-025F-4B3C-9EA6-EE9A90F0DB34}"/>
    <cellStyle name="Style 83 2 2 3 6" xfId="14231" xr:uid="{55BD8794-2801-448C-9F29-C5EA01F4A00B}"/>
    <cellStyle name="Style 83 2 2 3 6 2" xfId="32966" xr:uid="{E431DF72-D234-4C19-B31A-1F7D8FFDAABD}"/>
    <cellStyle name="Style 83 2 2 3 7" xfId="14232" xr:uid="{A0AEAD32-D883-4CEF-AE9C-3D4238B1FC61}"/>
    <cellStyle name="Style 83 2 2 3 7 2" xfId="32967" xr:uid="{5EA24D1C-5780-49B5-BF39-E18AFB00E24A}"/>
    <cellStyle name="Style 83 2 2 3 8" xfId="14233" xr:uid="{F2060774-7B58-4109-93DC-FC259B37CF73}"/>
    <cellStyle name="Style 83 2 2 3 8 2" xfId="32968" xr:uid="{532503C7-7F5F-4177-BA08-1ED293BFB100}"/>
    <cellStyle name="Style 83 2 2 3 9" xfId="14234" xr:uid="{3B0AF655-399C-488C-A834-E9FE55C73466}"/>
    <cellStyle name="Style 83 2 2 3 9 2" xfId="32969" xr:uid="{E0B8CEB5-55BF-4228-84F4-01750B736518}"/>
    <cellStyle name="Style 83 2 2 4" xfId="3496" xr:uid="{3AD17EC4-1249-44A6-81F4-2B9D2B26C5E1}"/>
    <cellStyle name="Style 83 2 2 4 10" xfId="14235" xr:uid="{C7826244-E54A-4B00-8856-625BA20F6E9A}"/>
    <cellStyle name="Style 83 2 2 4 10 2" xfId="32970" xr:uid="{D57B14E1-2E94-4DBF-B9C8-07F4350F56CA}"/>
    <cellStyle name="Style 83 2 2 4 11" xfId="14236" xr:uid="{B5A81E5B-DFEE-4DB9-BA41-E0EF9F567154}"/>
    <cellStyle name="Style 83 2 2 4 11 2" xfId="32971" xr:uid="{EC17F399-DC4D-41E9-8BF3-C88A85849045}"/>
    <cellStyle name="Style 83 2 2 4 12" xfId="14237" xr:uid="{90C62779-C360-4456-99EA-FD8DDB59AC55}"/>
    <cellStyle name="Style 83 2 2 4 12 2" xfId="32972" xr:uid="{0C16E89A-3E4A-4186-A945-0FBFED9AA933}"/>
    <cellStyle name="Style 83 2 2 4 2" xfId="7106" xr:uid="{064C304D-80B5-4011-AC0F-C1D12D9140C0}"/>
    <cellStyle name="Style 83 2 2 4 2 2" xfId="14238" xr:uid="{3C80477B-DB7E-428E-9415-B60D67FA7528}"/>
    <cellStyle name="Style 83 2 2 4 2 2 2" xfId="32973" xr:uid="{EC5D8C81-7B95-4B2A-9AB7-E87B7D07A3B2}"/>
    <cellStyle name="Style 83 2 2 4 2 3" xfId="14239" xr:uid="{8DD23B62-5372-439A-AE80-2C3A615AF8F3}"/>
    <cellStyle name="Style 83 2 2 4 2 3 2" xfId="32974" xr:uid="{0B5A7545-282D-47DD-A1C4-990B35B37CEA}"/>
    <cellStyle name="Style 83 2 2 4 3" xfId="14240" xr:uid="{A9E43BFE-2780-47EB-AF20-7EA4909489DB}"/>
    <cellStyle name="Style 83 2 2 4 3 2" xfId="14241" xr:uid="{BDA6CFF1-DAFB-47B4-B5C8-D4B9592DE8C3}"/>
    <cellStyle name="Style 83 2 2 4 3 2 2" xfId="32975" xr:uid="{3DB4A49E-D240-4306-B8C5-EB270C8C832E}"/>
    <cellStyle name="Style 83 2 2 4 4" xfId="14242" xr:uid="{4C901368-C71B-41D4-8A6C-547DDDA1C964}"/>
    <cellStyle name="Style 83 2 2 4 4 2" xfId="32976" xr:uid="{37CF52B6-19C8-484A-BAAD-A594675A180C}"/>
    <cellStyle name="Style 83 2 2 4 5" xfId="14243" xr:uid="{DAF3A482-C11E-4E27-A3EE-C9C7F8494F96}"/>
    <cellStyle name="Style 83 2 2 4 5 2" xfId="32977" xr:uid="{E68BAB9E-38A6-4045-9180-05CC0D593BBB}"/>
    <cellStyle name="Style 83 2 2 4 6" xfId="14244" xr:uid="{3337ACF0-79F5-4363-BF04-1C3EB5EDB3DC}"/>
    <cellStyle name="Style 83 2 2 4 6 2" xfId="32978" xr:uid="{B324403A-4C26-4636-86D8-FFB0B9F22DFA}"/>
    <cellStyle name="Style 83 2 2 4 7" xfId="14245" xr:uid="{6AC58E9D-15CA-4BE9-A62D-530FEC9CAF50}"/>
    <cellStyle name="Style 83 2 2 4 7 2" xfId="32979" xr:uid="{80A350E6-17E1-4ADF-9C64-CB548DF64D18}"/>
    <cellStyle name="Style 83 2 2 4 8" xfId="14246" xr:uid="{B7957E43-CAFC-4816-BD34-13B04D4B2CD9}"/>
    <cellStyle name="Style 83 2 2 4 8 2" xfId="32980" xr:uid="{D6B90FAE-8975-4CEF-8334-9D7F9404B87C}"/>
    <cellStyle name="Style 83 2 2 4 9" xfId="14247" xr:uid="{F7FDD9BC-5D5C-4757-8971-7E0F2F6A6C77}"/>
    <cellStyle name="Style 83 2 2 4 9 2" xfId="32981" xr:uid="{2C341EC4-458B-4B7D-9FC3-732A3F1D6A75}"/>
    <cellStyle name="Style 83 2 2 5" xfId="7099" xr:uid="{DFF6BBE8-197D-47CB-83B5-4EE6F2708E7C}"/>
    <cellStyle name="Style 83 2 2 5 2" xfId="14248" xr:uid="{8EF2B4A2-F965-4138-9B02-3DD9D202FCC3}"/>
    <cellStyle name="Style 83 2 2 5 2 2" xfId="32982" xr:uid="{C4768DEA-486A-45C8-BEB3-B336B82AF24A}"/>
    <cellStyle name="Style 83 2 2 5 3" xfId="14249" xr:uid="{138E6453-6B3E-4ADC-8C7A-892C2CB5614C}"/>
    <cellStyle name="Style 83 2 2 5 3 2" xfId="32983" xr:uid="{31EF9772-7DB8-4EB2-AE17-B837125B7C1B}"/>
    <cellStyle name="Style 83 2 2 6" xfId="14250" xr:uid="{3746CE0C-DC08-4359-A802-064C7A5B41F0}"/>
    <cellStyle name="Style 83 2 2 6 2" xfId="14251" xr:uid="{DEF6F4AC-0360-4BFD-ACFB-8774BD03C66B}"/>
    <cellStyle name="Style 83 2 2 6 2 2" xfId="32984" xr:uid="{8513F937-7FE2-4971-9910-9A968B3B8D01}"/>
    <cellStyle name="Style 83 2 2 7" xfId="14252" xr:uid="{12D41192-927B-4B23-BC59-4771BE799EF3}"/>
    <cellStyle name="Style 83 2 2 7 2" xfId="32985" xr:uid="{8F27BC5D-0CA7-4C74-88C6-BC9DEAD25D58}"/>
    <cellStyle name="Style 83 2 2 8" xfId="14253" xr:uid="{64E23146-3DC2-4E12-A3AB-96C31A8C7890}"/>
    <cellStyle name="Style 83 2 2 8 2" xfId="32986" xr:uid="{11E74278-4AF3-484B-8BAD-E5D86DE3047F}"/>
    <cellStyle name="Style 83 2 2 9" xfId="14254" xr:uid="{8138A3B1-F4C9-4A54-AA5F-2F71D51EFED9}"/>
    <cellStyle name="Style 83 2 2 9 2" xfId="32987" xr:uid="{E41E039C-BE9B-4ED6-91A6-64345B7A16EF}"/>
    <cellStyle name="Style 83 2 3" xfId="3497" xr:uid="{91CA555C-7AF0-4AD5-9097-050A3943C572}"/>
    <cellStyle name="Style 83 2 3 10" xfId="14255" xr:uid="{BD7311BE-6238-41D7-B516-BCD04AF48D83}"/>
    <cellStyle name="Style 83 2 3 10 2" xfId="32988" xr:uid="{4248758E-5084-4D20-83DE-64B64E0747A2}"/>
    <cellStyle name="Style 83 2 3 11" xfId="14256" xr:uid="{8FA10395-DD29-48E7-89D1-291B0F089882}"/>
    <cellStyle name="Style 83 2 3 11 2" xfId="32989" xr:uid="{DDBAAD51-6366-4992-9597-42ABF2DE9C8F}"/>
    <cellStyle name="Style 83 2 3 12" xfId="14257" xr:uid="{1F45E30A-D8FE-4CD4-83AF-68E2CD48419F}"/>
    <cellStyle name="Style 83 2 3 12 2" xfId="32990" xr:uid="{8930AE73-B839-4673-8AE5-C9ADD1C46759}"/>
    <cellStyle name="Style 83 2 3 13" xfId="14258" xr:uid="{9957608F-0AAC-4AFA-8818-FE5974BD4EE7}"/>
    <cellStyle name="Style 83 2 3 13 2" xfId="32991" xr:uid="{98467525-E974-4BBE-B19B-86E6B6E25B29}"/>
    <cellStyle name="Style 83 2 3 14" xfId="14259" xr:uid="{DD7139E7-76AD-4571-B65C-6566B35540FE}"/>
    <cellStyle name="Style 83 2 3 14 2" xfId="32992" xr:uid="{262E6F2F-569D-4600-9697-E68420F722AD}"/>
    <cellStyle name="Style 83 2 3 15" xfId="14260" xr:uid="{88A23A2C-6D29-4CB5-A77C-D61360B51840}"/>
    <cellStyle name="Style 83 2 3 15 2" xfId="32993" xr:uid="{2B67B5AD-1B52-4EC1-A5F9-185BF459802F}"/>
    <cellStyle name="Style 83 2 3 2" xfId="3498" xr:uid="{7CEEC06C-B464-41E3-8A7F-4A20E03928EE}"/>
    <cellStyle name="Style 83 2 3 2 10" xfId="14261" xr:uid="{A267B9CA-66AA-4838-9515-4B65361260C6}"/>
    <cellStyle name="Style 83 2 3 2 10 2" xfId="32994" xr:uid="{0B75738D-4AA9-4DC8-B3EF-AAEB7865AEDD}"/>
    <cellStyle name="Style 83 2 3 2 11" xfId="14262" xr:uid="{342026D0-335D-4709-AA1C-628BAA281517}"/>
    <cellStyle name="Style 83 2 3 2 11 2" xfId="32995" xr:uid="{32CEA25E-DE12-4383-9304-C35F9C608E81}"/>
    <cellStyle name="Style 83 2 3 2 12" xfId="14263" xr:uid="{DD22A7CB-AF11-47B0-AFEA-B59C0125260D}"/>
    <cellStyle name="Style 83 2 3 2 12 2" xfId="32996" xr:uid="{91A30DA1-8BF5-4F61-AA7F-84C453F9535E}"/>
    <cellStyle name="Style 83 2 3 2 13" xfId="14264" xr:uid="{A998DC20-B639-4615-83FC-7809336E93D1}"/>
    <cellStyle name="Style 83 2 3 2 13 2" xfId="32997" xr:uid="{8B8752C3-0A39-42F6-8A3B-A197374034B6}"/>
    <cellStyle name="Style 83 2 3 2 14" xfId="14265" xr:uid="{C76A38A2-2E64-4974-97CF-7F0ADEF65AC9}"/>
    <cellStyle name="Style 83 2 3 2 14 2" xfId="32998" xr:uid="{ED37B96A-B8E2-402D-8A0F-1E181BC2E4EF}"/>
    <cellStyle name="Style 83 2 3 2 2" xfId="3499" xr:uid="{88A19B2A-8D07-4E72-9C7E-0020A8BE48D7}"/>
    <cellStyle name="Style 83 2 3 2 2 10" xfId="14266" xr:uid="{A30C680A-CB44-4E21-8026-EC53EE1FE249}"/>
    <cellStyle name="Style 83 2 3 2 2 10 2" xfId="32999" xr:uid="{B7B941AF-3536-4187-A026-5BFFE9CDEBAC}"/>
    <cellStyle name="Style 83 2 3 2 2 11" xfId="14267" xr:uid="{CD22DF01-716B-43AC-850F-8D595C87A68F}"/>
    <cellStyle name="Style 83 2 3 2 2 11 2" xfId="33000" xr:uid="{9476C8E8-D044-4B8F-8CA0-6207415FB6A6}"/>
    <cellStyle name="Style 83 2 3 2 2 12" xfId="14268" xr:uid="{BEB73316-FB7A-43D4-8A01-7C3B02A7ACDA}"/>
    <cellStyle name="Style 83 2 3 2 2 12 2" xfId="33001" xr:uid="{ED2E12C3-5A47-47E6-8524-433F98EB91B9}"/>
    <cellStyle name="Style 83 2 3 2 2 2" xfId="7109" xr:uid="{0EFBC368-EDD9-4F7B-A873-12F359B9B981}"/>
    <cellStyle name="Style 83 2 3 2 2 2 2" xfId="14269" xr:uid="{1648051F-3FF7-4F41-AE2B-2D378606B7D4}"/>
    <cellStyle name="Style 83 2 3 2 2 2 2 2" xfId="33002" xr:uid="{7D3E069F-722A-4201-838E-DAC89C37002C}"/>
    <cellStyle name="Style 83 2 3 2 2 2 3" xfId="14270" xr:uid="{3C3D5156-8C55-44E4-ADDE-9A9DB9F22C4C}"/>
    <cellStyle name="Style 83 2 3 2 2 2 3 2" xfId="33003" xr:uid="{AADEBC7C-7D33-4CA5-924B-62835C370003}"/>
    <cellStyle name="Style 83 2 3 2 2 3" xfId="14271" xr:uid="{96532A11-81B7-4723-876A-8ADBE729866B}"/>
    <cellStyle name="Style 83 2 3 2 2 3 2" xfId="14272" xr:uid="{F78F8F23-4474-4ED2-9130-EFABA586B07B}"/>
    <cellStyle name="Style 83 2 3 2 2 3 2 2" xfId="33004" xr:uid="{4CB4664B-6D05-44F1-9AE8-77B348A66760}"/>
    <cellStyle name="Style 83 2 3 2 2 4" xfId="14273" xr:uid="{08FE0DD4-6794-457F-B4E1-ECC424D18EFC}"/>
    <cellStyle name="Style 83 2 3 2 2 4 2" xfId="33005" xr:uid="{E4D61DB0-D017-4D0D-8B38-58B4472E2157}"/>
    <cellStyle name="Style 83 2 3 2 2 5" xfId="14274" xr:uid="{7408193E-383E-4EC8-98AE-E898EB309AE8}"/>
    <cellStyle name="Style 83 2 3 2 2 5 2" xfId="33006" xr:uid="{BF0F0435-AF18-48E7-846E-80C0AEEC444E}"/>
    <cellStyle name="Style 83 2 3 2 2 6" xfId="14275" xr:uid="{BEFD6666-0D46-4409-8798-41B4C93779EF}"/>
    <cellStyle name="Style 83 2 3 2 2 6 2" xfId="33007" xr:uid="{66E4DFE5-AAAB-475A-B441-93A067A03421}"/>
    <cellStyle name="Style 83 2 3 2 2 7" xfId="14276" xr:uid="{8BF7852D-54FC-453E-B5F5-B4213C3E94B2}"/>
    <cellStyle name="Style 83 2 3 2 2 7 2" xfId="33008" xr:uid="{2EB0C16F-75E8-47A4-9246-64DD751997C1}"/>
    <cellStyle name="Style 83 2 3 2 2 8" xfId="14277" xr:uid="{70AFC16E-7600-45BB-9A97-0AD6D816EA56}"/>
    <cellStyle name="Style 83 2 3 2 2 8 2" xfId="33009" xr:uid="{52AB622E-76C2-477F-ABC5-4BCDA0739633}"/>
    <cellStyle name="Style 83 2 3 2 2 9" xfId="14278" xr:uid="{DF7CB319-686B-43C5-8A01-63FE2EA98008}"/>
    <cellStyle name="Style 83 2 3 2 2 9 2" xfId="33010" xr:uid="{29140CED-4557-4747-8BF7-1F135173CF90}"/>
    <cellStyle name="Style 83 2 3 2 3" xfId="7108" xr:uid="{EDBCD67B-2443-47E3-B5B3-CC23063F0E6C}"/>
    <cellStyle name="Style 83 2 3 2 3 2" xfId="14279" xr:uid="{4FBFE250-D93F-44C7-80A3-1D458687E4C0}"/>
    <cellStyle name="Style 83 2 3 2 3 2 2" xfId="33011" xr:uid="{1E8263EC-4262-4DCF-8631-54CEA787F5E6}"/>
    <cellStyle name="Style 83 2 3 2 3 3" xfId="14280" xr:uid="{CE7D9D7A-25DC-4F95-A694-8F3ACEB9D3FB}"/>
    <cellStyle name="Style 83 2 3 2 3 3 2" xfId="33012" xr:uid="{398E9DB0-DBCE-43B5-9264-5FCC3C177F15}"/>
    <cellStyle name="Style 83 2 3 2 4" xfId="14281" xr:uid="{4775850E-5A29-4ABB-AF3C-15D0952B0A20}"/>
    <cellStyle name="Style 83 2 3 2 4 2" xfId="14282" xr:uid="{BB31D764-6230-402E-8EF6-1DBF9E597049}"/>
    <cellStyle name="Style 83 2 3 2 4 2 2" xfId="33013" xr:uid="{6D73B6E3-4423-4DDF-BE9B-680AD3CE8791}"/>
    <cellStyle name="Style 83 2 3 2 5" xfId="14283" xr:uid="{2CE76056-D9C5-476E-8BAD-5E3C3E49982E}"/>
    <cellStyle name="Style 83 2 3 2 5 2" xfId="33014" xr:uid="{BE40E797-7F89-4370-AD91-48C98CBDB179}"/>
    <cellStyle name="Style 83 2 3 2 6" xfId="14284" xr:uid="{2262D4BE-7049-4A9B-AE25-F10E7208EB9A}"/>
    <cellStyle name="Style 83 2 3 2 6 2" xfId="33015" xr:uid="{EE1B32FB-FF8B-4881-95A8-13EAF95B923C}"/>
    <cellStyle name="Style 83 2 3 2 7" xfId="14285" xr:uid="{8C203CB8-84DB-4EF8-9EF2-66FD39406AD3}"/>
    <cellStyle name="Style 83 2 3 2 7 2" xfId="33016" xr:uid="{79FDC26A-64E5-45AE-A416-B3902D409961}"/>
    <cellStyle name="Style 83 2 3 2 8" xfId="14286" xr:uid="{6099EF33-AED3-4FDC-958D-70027D7B03ED}"/>
    <cellStyle name="Style 83 2 3 2 8 2" xfId="33017" xr:uid="{27108428-B122-483B-9248-DE12B2F6048E}"/>
    <cellStyle name="Style 83 2 3 2 9" xfId="14287" xr:uid="{0DDAE8FF-DFAE-4EED-8381-CBC2F6F62211}"/>
    <cellStyle name="Style 83 2 3 2 9 2" xfId="33018" xr:uid="{D4074298-4C88-4578-A741-B7B1BEC2E4C4}"/>
    <cellStyle name="Style 83 2 3 3" xfId="3500" xr:uid="{0847B6CD-B501-483D-954C-A3622EBE665C}"/>
    <cellStyle name="Style 83 2 3 3 10" xfId="14288" xr:uid="{75962289-9E10-4BE5-96E4-51A69F499CD3}"/>
    <cellStyle name="Style 83 2 3 3 10 2" xfId="33019" xr:uid="{63DC9E4A-9900-459D-8A68-8865AA850D75}"/>
    <cellStyle name="Style 83 2 3 3 11" xfId="14289" xr:uid="{AB82DEF8-7600-48B1-9FD4-B9ED3B3D2B01}"/>
    <cellStyle name="Style 83 2 3 3 11 2" xfId="33020" xr:uid="{1FFB500D-2F82-44EA-885A-86FB64836E62}"/>
    <cellStyle name="Style 83 2 3 3 12" xfId="14290" xr:uid="{F5B15D44-FA14-43F5-8344-E525DCC65F2D}"/>
    <cellStyle name="Style 83 2 3 3 12 2" xfId="33021" xr:uid="{2A71E54A-84D3-4EAD-B07C-8BEF6AE9CFBE}"/>
    <cellStyle name="Style 83 2 3 3 2" xfId="7110" xr:uid="{1A832F0A-1B4B-4B17-B91D-EFACB44E703F}"/>
    <cellStyle name="Style 83 2 3 3 2 2" xfId="14291" xr:uid="{5C472B5A-2150-45B3-A781-C9441EA49060}"/>
    <cellStyle name="Style 83 2 3 3 2 2 2" xfId="33022" xr:uid="{5FB4CEC8-3D49-4357-9988-893C57857D3F}"/>
    <cellStyle name="Style 83 2 3 3 2 3" xfId="14292" xr:uid="{1D4E1A40-FA3B-4064-BA61-A00B7E1071E0}"/>
    <cellStyle name="Style 83 2 3 3 2 3 2" xfId="33023" xr:uid="{FE3D7464-1DCA-4594-9FEA-3F1FC0EFE67C}"/>
    <cellStyle name="Style 83 2 3 3 3" xfId="14293" xr:uid="{2195D4E6-7232-4872-85BE-A3232DE64E47}"/>
    <cellStyle name="Style 83 2 3 3 3 2" xfId="14294" xr:uid="{C8528111-4F16-479C-BA88-899AE115D6C1}"/>
    <cellStyle name="Style 83 2 3 3 3 2 2" xfId="33024" xr:uid="{968369E9-60A8-42B9-8FAA-61A2B44CCE54}"/>
    <cellStyle name="Style 83 2 3 3 4" xfId="14295" xr:uid="{41C44DC4-D882-4377-95CD-5A0D778FDC0C}"/>
    <cellStyle name="Style 83 2 3 3 4 2" xfId="33025" xr:uid="{12D47EEF-0097-49AE-A059-BB418C324B45}"/>
    <cellStyle name="Style 83 2 3 3 5" xfId="14296" xr:uid="{F42B5FA0-0E83-4090-9CD1-1CFB47AA45BB}"/>
    <cellStyle name="Style 83 2 3 3 5 2" xfId="33026" xr:uid="{19904B22-CA1B-41E7-ADE3-EA59B5D4737B}"/>
    <cellStyle name="Style 83 2 3 3 6" xfId="14297" xr:uid="{E6F87772-913E-40E2-AF9B-49435FE5A7D2}"/>
    <cellStyle name="Style 83 2 3 3 6 2" xfId="33027" xr:uid="{68FD6DA3-BDF5-4299-9217-B9440E07F5A1}"/>
    <cellStyle name="Style 83 2 3 3 7" xfId="14298" xr:uid="{CCEE118F-C929-4C0F-8BDF-11C50AC27327}"/>
    <cellStyle name="Style 83 2 3 3 7 2" xfId="33028" xr:uid="{18555495-3EF7-45D8-9D76-E26AF54F14AD}"/>
    <cellStyle name="Style 83 2 3 3 8" xfId="14299" xr:uid="{7217364E-9FEA-4FE3-AE75-40B5F4C7D016}"/>
    <cellStyle name="Style 83 2 3 3 8 2" xfId="33029" xr:uid="{4A9CF031-1B3D-4BD3-8DD1-131E0FD63912}"/>
    <cellStyle name="Style 83 2 3 3 9" xfId="14300" xr:uid="{1160DFAA-E074-4E70-9305-C8BDF39F22AA}"/>
    <cellStyle name="Style 83 2 3 3 9 2" xfId="33030" xr:uid="{D072263E-EBE1-48C2-91FB-6106304A4037}"/>
    <cellStyle name="Style 83 2 3 4" xfId="7107" xr:uid="{5A3B3508-80F3-43D4-8505-1DEDEDD3447E}"/>
    <cellStyle name="Style 83 2 3 4 2" xfId="14301" xr:uid="{77D224CF-1ED2-4D95-A881-DAC379C2D4C9}"/>
    <cellStyle name="Style 83 2 3 4 2 2" xfId="33031" xr:uid="{9A19FDC1-2FCC-4B16-8438-A3E67364CD2D}"/>
    <cellStyle name="Style 83 2 3 4 3" xfId="14302" xr:uid="{8EDEED8D-8F22-45B4-A45B-BF7A6CC0C3C8}"/>
    <cellStyle name="Style 83 2 3 4 3 2" xfId="33032" xr:uid="{4FFFEA68-0A52-4871-AFA5-20B06CE78E04}"/>
    <cellStyle name="Style 83 2 3 5" xfId="14303" xr:uid="{6A2A80A5-73E7-4C35-9384-9E919645B11C}"/>
    <cellStyle name="Style 83 2 3 5 2" xfId="14304" xr:uid="{DDF2DCEA-2263-41E8-BD46-BD13A4C85E8D}"/>
    <cellStyle name="Style 83 2 3 5 2 2" xfId="33033" xr:uid="{150C09AD-5B77-4518-BFD8-282884DAA47A}"/>
    <cellStyle name="Style 83 2 3 6" xfId="14305" xr:uid="{852ABCA4-D777-4EE1-B141-5A314329B955}"/>
    <cellStyle name="Style 83 2 3 6 2" xfId="33034" xr:uid="{914FD2BF-7363-45EA-9550-A562679FF377}"/>
    <cellStyle name="Style 83 2 3 7" xfId="14306" xr:uid="{5FEF68FF-E00B-4E66-A027-7EF7320D9954}"/>
    <cellStyle name="Style 83 2 3 7 2" xfId="33035" xr:uid="{58C3154A-41E7-4A0A-807B-F65ECD43970F}"/>
    <cellStyle name="Style 83 2 3 8" xfId="14307" xr:uid="{0C612014-49DA-41AC-BB0C-735E6F1F5E03}"/>
    <cellStyle name="Style 83 2 3 8 2" xfId="33036" xr:uid="{F806DCA2-22DC-405B-88E0-C921301E0F5E}"/>
    <cellStyle name="Style 83 2 3 9" xfId="14308" xr:uid="{0CCB6363-5841-4D89-BD0F-C3CE1DE9F8D2}"/>
    <cellStyle name="Style 83 2 3 9 2" xfId="33037" xr:uid="{8386346C-B49C-4B41-89ED-8C5E1C6F625A}"/>
    <cellStyle name="Style 83 2 4" xfId="3501" xr:uid="{6EDF317C-D416-44FE-85A4-D723CAE6B9D5}"/>
    <cellStyle name="Style 83 2 4 10" xfId="14309" xr:uid="{C3866FED-95E0-4ADA-91DC-930E85CD60D6}"/>
    <cellStyle name="Style 83 2 4 10 2" xfId="33038" xr:uid="{54C0BE92-9517-4287-9B9D-7DE188E769EA}"/>
    <cellStyle name="Style 83 2 4 11" xfId="14310" xr:uid="{986E7E0F-D5D0-412B-BD9A-06914BEDD456}"/>
    <cellStyle name="Style 83 2 4 11 2" xfId="33039" xr:uid="{4AE362FC-B8A9-493F-9494-9DF6CF31B827}"/>
    <cellStyle name="Style 83 2 4 12" xfId="14311" xr:uid="{CCF15A55-FEDE-4261-B787-B3F1F3ECC03E}"/>
    <cellStyle name="Style 83 2 4 12 2" xfId="33040" xr:uid="{CCA021C7-3119-4373-ABF0-18521BFA7F23}"/>
    <cellStyle name="Style 83 2 4 13" xfId="14312" xr:uid="{DB470718-41BA-47DF-8BD5-A0E7BAB6DBAA}"/>
    <cellStyle name="Style 83 2 4 13 2" xfId="33041" xr:uid="{E098BF98-EF59-4809-A689-1ADE46E32A67}"/>
    <cellStyle name="Style 83 2 4 14" xfId="14313" xr:uid="{2EEF03A6-CCCA-473B-9B55-E03F2CE4BE6D}"/>
    <cellStyle name="Style 83 2 4 14 2" xfId="33042" xr:uid="{EFAC6432-387E-4C5B-B189-E1A59DC97BBF}"/>
    <cellStyle name="Style 83 2 4 2" xfId="3502" xr:uid="{8140B88B-9DD9-4012-BE16-055BD07ED51F}"/>
    <cellStyle name="Style 83 2 4 2 10" xfId="14314" xr:uid="{FD370CBC-2A1A-47CF-9A12-E80005AC57EB}"/>
    <cellStyle name="Style 83 2 4 2 10 2" xfId="33043" xr:uid="{2AC495EF-F91B-4E05-96C2-50E844F8AE4C}"/>
    <cellStyle name="Style 83 2 4 2 11" xfId="14315" xr:uid="{AE877479-D665-4669-94AF-6893A37333E7}"/>
    <cellStyle name="Style 83 2 4 2 11 2" xfId="33044" xr:uid="{83E147B6-1640-437D-8EB9-6A9DA55EE579}"/>
    <cellStyle name="Style 83 2 4 2 12" xfId="14316" xr:uid="{274A62B8-22B3-4D86-A911-74BE0ECAE258}"/>
    <cellStyle name="Style 83 2 4 2 12 2" xfId="33045" xr:uid="{4C1E8848-B24D-4635-AFCA-62909D38C6EE}"/>
    <cellStyle name="Style 83 2 4 2 2" xfId="7112" xr:uid="{EEB219C7-0961-415D-B48C-4F2670C16037}"/>
    <cellStyle name="Style 83 2 4 2 2 2" xfId="14317" xr:uid="{B6D7E726-CAE9-4E51-8436-5038070573C2}"/>
    <cellStyle name="Style 83 2 4 2 2 2 2" xfId="33046" xr:uid="{6055E0B7-6E07-46F4-93FB-426411641735}"/>
    <cellStyle name="Style 83 2 4 2 2 3" xfId="14318" xr:uid="{571668C9-1E31-4E93-B514-D60FAB397DAB}"/>
    <cellStyle name="Style 83 2 4 2 2 3 2" xfId="33047" xr:uid="{A582D983-48AF-47EA-8071-B999A104702D}"/>
    <cellStyle name="Style 83 2 4 2 3" xfId="14319" xr:uid="{CE245238-6489-4E08-B263-5AA09840D493}"/>
    <cellStyle name="Style 83 2 4 2 3 2" xfId="14320" xr:uid="{FE2FAE48-7ED7-4A22-A0D5-BD9762FD6ED9}"/>
    <cellStyle name="Style 83 2 4 2 3 2 2" xfId="33048" xr:uid="{12B2E147-7818-4D56-9458-E14B7D200355}"/>
    <cellStyle name="Style 83 2 4 2 4" xfId="14321" xr:uid="{97B9C126-EC0E-48BC-AFCE-5BA21C7C134E}"/>
    <cellStyle name="Style 83 2 4 2 4 2" xfId="33049" xr:uid="{B0EF8914-1018-4B80-ABFC-F80C54A2508C}"/>
    <cellStyle name="Style 83 2 4 2 5" xfId="14322" xr:uid="{D09B02BB-AD63-4875-9F90-D47EB8CC49E5}"/>
    <cellStyle name="Style 83 2 4 2 5 2" xfId="33050" xr:uid="{2654F213-8380-4B1E-99EE-F5D099E65795}"/>
    <cellStyle name="Style 83 2 4 2 6" xfId="14323" xr:uid="{1D07468F-B514-4840-AAB1-00BE52ABB88C}"/>
    <cellStyle name="Style 83 2 4 2 6 2" xfId="33051" xr:uid="{610CFA50-6FF9-43FE-9208-8F21F6FB963F}"/>
    <cellStyle name="Style 83 2 4 2 7" xfId="14324" xr:uid="{8D408152-6533-4F38-8E72-FAA9A96A1499}"/>
    <cellStyle name="Style 83 2 4 2 7 2" xfId="33052" xr:uid="{CF88AFB3-A3A7-4088-B2D6-86038B79FDCE}"/>
    <cellStyle name="Style 83 2 4 2 8" xfId="14325" xr:uid="{929FF86E-8F4E-4AD3-930A-4DBB10890641}"/>
    <cellStyle name="Style 83 2 4 2 8 2" xfId="33053" xr:uid="{54D6C03D-EDE5-475E-9911-E469C3433F1B}"/>
    <cellStyle name="Style 83 2 4 2 9" xfId="14326" xr:uid="{671D727F-D431-45B1-8F3E-97DEBBBF927B}"/>
    <cellStyle name="Style 83 2 4 2 9 2" xfId="33054" xr:uid="{0F166267-E122-47B2-9B2F-EDEA0D221BD2}"/>
    <cellStyle name="Style 83 2 4 3" xfId="7111" xr:uid="{82FAA6CA-9370-4CE3-988A-D372D5F3DB27}"/>
    <cellStyle name="Style 83 2 4 3 2" xfId="14327" xr:uid="{76645E92-7E92-4ADC-8A26-4F399077958B}"/>
    <cellStyle name="Style 83 2 4 3 2 2" xfId="33055" xr:uid="{CCB588A8-BD83-410C-8F59-447E9B952641}"/>
    <cellStyle name="Style 83 2 4 3 3" xfId="14328" xr:uid="{3FCB987C-05E3-41BE-9024-D24B8476E125}"/>
    <cellStyle name="Style 83 2 4 3 3 2" xfId="33056" xr:uid="{505BDE45-590E-44CB-9228-DB7B560A2E8F}"/>
    <cellStyle name="Style 83 2 4 4" xfId="14329" xr:uid="{F9CD5FBD-5B7E-4FB8-AA62-41B62725F595}"/>
    <cellStyle name="Style 83 2 4 4 2" xfId="14330" xr:uid="{C5EAECBE-406B-4017-A67A-C7BBDB877F0B}"/>
    <cellStyle name="Style 83 2 4 4 2 2" xfId="33057" xr:uid="{87DD6E21-BE09-44C6-91CB-EDDEB79DC8E6}"/>
    <cellStyle name="Style 83 2 4 5" xfId="14331" xr:uid="{B1DD529E-EFE5-4CC4-A811-66C17271479C}"/>
    <cellStyle name="Style 83 2 4 5 2" xfId="33058" xr:uid="{67F81AF6-7698-4857-8274-D4725370AD46}"/>
    <cellStyle name="Style 83 2 4 6" xfId="14332" xr:uid="{718B5671-478C-4309-B39C-12F3BDFA1988}"/>
    <cellStyle name="Style 83 2 4 6 2" xfId="33059" xr:uid="{7722366C-AD77-46C1-B51F-93B819F7B228}"/>
    <cellStyle name="Style 83 2 4 7" xfId="14333" xr:uid="{A738709F-563F-4F7E-BF8E-2ED98DD7456B}"/>
    <cellStyle name="Style 83 2 4 7 2" xfId="33060" xr:uid="{BAF358D5-DDF6-4645-8045-984F35CB82E3}"/>
    <cellStyle name="Style 83 2 4 8" xfId="14334" xr:uid="{C5AAA147-DAB5-4478-8A6E-5E321B666FF6}"/>
    <cellStyle name="Style 83 2 4 8 2" xfId="33061" xr:uid="{2BAEC021-BE32-4ED6-885A-2514E7A1ABD3}"/>
    <cellStyle name="Style 83 2 4 9" xfId="14335" xr:uid="{BEFB6D78-DF1B-4F90-BE47-90CE36166DE2}"/>
    <cellStyle name="Style 83 2 4 9 2" xfId="33062" xr:uid="{2C10F9EE-B048-4126-AFF4-5B91249A2637}"/>
    <cellStyle name="Style 83 2 5" xfId="3503" xr:uid="{DA27B816-470E-466E-ACA0-EECA798728F2}"/>
    <cellStyle name="Style 83 2 5 10" xfId="14336" xr:uid="{970226C5-72AF-4A7E-8028-45B99707915D}"/>
    <cellStyle name="Style 83 2 5 10 2" xfId="33063" xr:uid="{C4F5BE00-A40E-4863-BF58-E72AC8113936}"/>
    <cellStyle name="Style 83 2 5 11" xfId="14337" xr:uid="{6B8DE22F-F214-4881-BE04-33B6838340C0}"/>
    <cellStyle name="Style 83 2 5 11 2" xfId="33064" xr:uid="{75616657-6BF1-4056-8C7F-8F8D7C35D6AA}"/>
    <cellStyle name="Style 83 2 5 12" xfId="14338" xr:uid="{42B984C8-A1DA-4970-A87F-9EC9F7448C23}"/>
    <cellStyle name="Style 83 2 5 12 2" xfId="33065" xr:uid="{DB01C2F4-5926-4782-BCA5-639B80691343}"/>
    <cellStyle name="Style 83 2 5 2" xfId="7113" xr:uid="{2527027F-4E1C-4FF6-A37B-BC779BF1AD6F}"/>
    <cellStyle name="Style 83 2 5 2 2" xfId="14339" xr:uid="{6BE2C1A6-61E9-474C-80E0-76248BF02BF8}"/>
    <cellStyle name="Style 83 2 5 2 2 2" xfId="33066" xr:uid="{B83C96C5-DCA2-45AD-AFE7-F4FF0004823F}"/>
    <cellStyle name="Style 83 2 5 2 3" xfId="14340" xr:uid="{7185DE19-A2C9-40B8-A5C1-0CA7CDF03A77}"/>
    <cellStyle name="Style 83 2 5 2 3 2" xfId="33067" xr:uid="{01D1B8D5-0033-4017-A03A-16B3C34C8517}"/>
    <cellStyle name="Style 83 2 5 3" xfId="14341" xr:uid="{68ECF1F4-198A-45E7-AB87-74B010ED52ED}"/>
    <cellStyle name="Style 83 2 5 3 2" xfId="14342" xr:uid="{7FA46E22-0EBF-4012-A530-A133EA89949A}"/>
    <cellStyle name="Style 83 2 5 3 2 2" xfId="33068" xr:uid="{EEF92622-C78E-4A68-AFA4-557BF6314E3B}"/>
    <cellStyle name="Style 83 2 5 4" xfId="14343" xr:uid="{BAEE1CC8-137C-409F-932E-B90F2B7E07AE}"/>
    <cellStyle name="Style 83 2 5 4 2" xfId="33069" xr:uid="{ADE7128B-D6F8-4D18-8C50-028AFBF38C6A}"/>
    <cellStyle name="Style 83 2 5 5" xfId="14344" xr:uid="{EC98643C-75D0-4D25-A48A-0DA04474D1CA}"/>
    <cellStyle name="Style 83 2 5 5 2" xfId="33070" xr:uid="{40136758-AE66-4AA3-B9A9-C98FF79AFC43}"/>
    <cellStyle name="Style 83 2 5 6" xfId="14345" xr:uid="{5C1A2186-02BE-4F84-902D-3DBC4D9D6316}"/>
    <cellStyle name="Style 83 2 5 6 2" xfId="33071" xr:uid="{5DC0EA73-8DCA-4EA1-A215-429D548037F5}"/>
    <cellStyle name="Style 83 2 5 7" xfId="14346" xr:uid="{AF8CCF41-4A3B-4F03-BC09-716F036CFA97}"/>
    <cellStyle name="Style 83 2 5 7 2" xfId="33072" xr:uid="{08383A2D-309E-4044-BAE1-65D36681DEE2}"/>
    <cellStyle name="Style 83 2 5 8" xfId="14347" xr:uid="{A2184C66-628C-412C-AED6-FCE24598C294}"/>
    <cellStyle name="Style 83 2 5 8 2" xfId="33073" xr:uid="{A51EC551-3331-4F55-B2E9-E77E815D1DDE}"/>
    <cellStyle name="Style 83 2 5 9" xfId="14348" xr:uid="{FD5AD81E-095C-4FCD-968F-F2B0B7066E2A}"/>
    <cellStyle name="Style 83 2 5 9 2" xfId="33074" xr:uid="{BAFD4FE0-9D71-4D04-B7B4-448DEBF189C5}"/>
    <cellStyle name="Style 83 2 6" xfId="7098" xr:uid="{341DE11B-FEA3-4C3C-AF05-0BF166A6DFFA}"/>
    <cellStyle name="Style 83 2 6 2" xfId="14349" xr:uid="{16D5B061-F46F-458C-9A1C-638C88FFE803}"/>
    <cellStyle name="Style 83 2 6 2 2" xfId="33075" xr:uid="{BF8CF8C3-2DAF-4451-91CA-1337E890BFD3}"/>
    <cellStyle name="Style 83 2 6 3" xfId="14350" xr:uid="{2F98595A-9DFD-4CE7-8C41-7B45AEC68971}"/>
    <cellStyle name="Style 83 2 6 3 2" xfId="33076" xr:uid="{FEB29E34-6AC6-4B3C-BF1D-6F46F2A6F03B}"/>
    <cellStyle name="Style 83 2 7" xfId="14351" xr:uid="{6821B262-8131-48DE-A10A-89D50C2AC5E3}"/>
    <cellStyle name="Style 83 2 7 2" xfId="14352" xr:uid="{99E2A704-DD57-4F92-9A9F-50DD242E0189}"/>
    <cellStyle name="Style 83 2 7 2 2" xfId="33077" xr:uid="{22CE37F0-64AF-40F0-A2F8-9E16D817043B}"/>
    <cellStyle name="Style 83 2 8" xfId="14353" xr:uid="{73084A01-1898-4E4C-9F9B-AF8F2C6F48CE}"/>
    <cellStyle name="Style 83 2 8 2" xfId="33078" xr:uid="{15DB4809-4A9D-45A7-844A-7397FB7B91F1}"/>
    <cellStyle name="Style 83 2 9" xfId="14354" xr:uid="{15AFE569-323B-4DEB-894D-FD9EDD58F467}"/>
    <cellStyle name="Style 83 2 9 2" xfId="33079" xr:uid="{9E519749-17E2-4B4F-BCF1-FE1A0E19E589}"/>
    <cellStyle name="Style 83 3" xfId="3504" xr:uid="{6EBE5159-9FEE-42E4-B0BB-D5DF29609E2B}"/>
    <cellStyle name="Style 83 3 10" xfId="14355" xr:uid="{41044572-9339-4A48-A970-BAED59F41C7B}"/>
    <cellStyle name="Style 83 3 10 2" xfId="33080" xr:uid="{94936CA9-4F08-4EE6-B502-F9EF9858A0B3}"/>
    <cellStyle name="Style 83 3 11" xfId="14356" xr:uid="{75539920-6A59-4AE9-841B-81E032158B31}"/>
    <cellStyle name="Style 83 3 11 2" xfId="33081" xr:uid="{5FE11C2F-F0A0-4FA8-8183-292A5F58D44D}"/>
    <cellStyle name="Style 83 3 12" xfId="14357" xr:uid="{EA3C4562-0BB6-4184-AEA5-0EF84AB68882}"/>
    <cellStyle name="Style 83 3 12 2" xfId="33082" xr:uid="{9F840DB0-F193-43AC-A325-E381E39812DC}"/>
    <cellStyle name="Style 83 3 13" xfId="14358" xr:uid="{F663B80C-398D-43E3-AB47-7BC628A8612C}"/>
    <cellStyle name="Style 83 3 13 2" xfId="33083" xr:uid="{C7B0DEC6-33A6-434A-B5AD-EA6FE71DFCFA}"/>
    <cellStyle name="Style 83 3 14" xfId="14359" xr:uid="{2D816DBB-A26D-459F-9B95-5AA24EAE4BFE}"/>
    <cellStyle name="Style 83 3 14 2" xfId="33084" xr:uid="{0844715A-9E6B-42D4-A899-D87813B4FF63}"/>
    <cellStyle name="Style 83 3 15" xfId="14360" xr:uid="{50745716-5508-4AA0-B7C8-84D017B6CE22}"/>
    <cellStyle name="Style 83 3 15 2" xfId="33085" xr:uid="{F6292A9B-AB46-42D5-8ED8-4898916EA565}"/>
    <cellStyle name="Style 83 3 16" xfId="14361" xr:uid="{006AE54C-B30C-4A6C-863A-255C7DD111C9}"/>
    <cellStyle name="Style 83 3 16 2" xfId="33086" xr:uid="{A1E63F00-7E86-498C-9BA0-651BBB2E3C6A}"/>
    <cellStyle name="Style 83 3 17" xfId="14362" xr:uid="{50C825B4-CDB3-4608-A1A4-A0BE4576A295}"/>
    <cellStyle name="Style 83 3 17 2" xfId="33087" xr:uid="{18ED4045-24FF-4557-9444-69B749C41CB7}"/>
    <cellStyle name="Style 83 3 2" xfId="3505" xr:uid="{0655EF67-EE58-4666-87E9-9080D4AEE533}"/>
    <cellStyle name="Style 83 3 2 10" xfId="14363" xr:uid="{8274E810-E0FC-4C81-AD30-8E82A4E59771}"/>
    <cellStyle name="Style 83 3 2 10 2" xfId="33088" xr:uid="{4886C498-A334-46FA-877B-107408A337D5}"/>
    <cellStyle name="Style 83 3 2 11" xfId="14364" xr:uid="{CDFC8244-094A-4BEB-806E-FFDD94527E91}"/>
    <cellStyle name="Style 83 3 2 11 2" xfId="33089" xr:uid="{4B5ED3C0-30EF-44C8-B4B4-6B4F286ADAF9}"/>
    <cellStyle name="Style 83 3 2 12" xfId="14365" xr:uid="{E456D30B-28C6-4132-97BF-DB9CD02A9D1F}"/>
    <cellStyle name="Style 83 3 2 12 2" xfId="33090" xr:uid="{013AF975-8AFC-4774-BB34-9A6583AA1AFC}"/>
    <cellStyle name="Style 83 3 2 13" xfId="14366" xr:uid="{287D80E8-C447-4DA1-A6CC-937262205291}"/>
    <cellStyle name="Style 83 3 2 13 2" xfId="33091" xr:uid="{5427ED24-8815-47DF-98DB-4C46DD89737D}"/>
    <cellStyle name="Style 83 3 2 14" xfId="14367" xr:uid="{0E6726A5-787E-4F2F-B8CB-132F50DBE341}"/>
    <cellStyle name="Style 83 3 2 14 2" xfId="33092" xr:uid="{16B6459B-EF55-4B17-9604-86F6C0088FF8}"/>
    <cellStyle name="Style 83 3 2 15" xfId="14368" xr:uid="{9EA2691E-C187-4A85-BFC3-6F0D61EF1494}"/>
    <cellStyle name="Style 83 3 2 15 2" xfId="33093" xr:uid="{275D70A4-4286-4593-AAC0-31E65FDFE52A}"/>
    <cellStyle name="Style 83 3 2 16" xfId="14369" xr:uid="{312BC0B4-452B-4923-8632-8ED3747EF686}"/>
    <cellStyle name="Style 83 3 2 16 2" xfId="33094" xr:uid="{62EC7165-A122-4C45-BBAE-1B8169EF7E2D}"/>
    <cellStyle name="Style 83 3 2 2" xfId="3506" xr:uid="{5FAACBFC-9CE2-4C84-ACEF-C5601751FE37}"/>
    <cellStyle name="Style 83 3 2 2 10" xfId="14370" xr:uid="{B999BC64-1E5C-42F8-83FB-B2C58BE07A7A}"/>
    <cellStyle name="Style 83 3 2 2 10 2" xfId="33095" xr:uid="{DA415EB5-6432-45A0-BC6A-F44CBA97C9B0}"/>
    <cellStyle name="Style 83 3 2 2 11" xfId="14371" xr:uid="{BC8C8D02-EBD3-46C9-A355-B019C6BA9ABF}"/>
    <cellStyle name="Style 83 3 2 2 11 2" xfId="33096" xr:uid="{1F9089DA-06E5-4850-B396-571A124FE588}"/>
    <cellStyle name="Style 83 3 2 2 12" xfId="14372" xr:uid="{BBB9ED3B-6D33-4418-A0F0-A500F1ADBB77}"/>
    <cellStyle name="Style 83 3 2 2 12 2" xfId="33097" xr:uid="{EB0FE058-40D1-4A74-8F48-1D4089FD3E8D}"/>
    <cellStyle name="Style 83 3 2 2 13" xfId="14373" xr:uid="{18D79927-2D03-41E4-9793-A149E705C04C}"/>
    <cellStyle name="Style 83 3 2 2 13 2" xfId="33098" xr:uid="{7CAD9B88-9E6F-4346-A980-03A53EC1C16B}"/>
    <cellStyle name="Style 83 3 2 2 14" xfId="14374" xr:uid="{714C07E5-8B55-4385-8A61-BE3C87EDBFD7}"/>
    <cellStyle name="Style 83 3 2 2 14 2" xfId="33099" xr:uid="{BD26EFF8-658E-46AC-9849-B0647F9A7248}"/>
    <cellStyle name="Style 83 3 2 2 15" xfId="14375" xr:uid="{F7A96027-D38C-4D16-9E09-65D0613B0B7E}"/>
    <cellStyle name="Style 83 3 2 2 15 2" xfId="33100" xr:uid="{04FE73EE-BFAD-4730-B2D3-C40F61406464}"/>
    <cellStyle name="Style 83 3 2 2 2" xfId="3507" xr:uid="{F1B0B013-26D3-4FE7-A339-C0EE37E834A7}"/>
    <cellStyle name="Style 83 3 2 2 2 10" xfId="14376" xr:uid="{246F1F75-94AE-4423-AB3B-82751FC60563}"/>
    <cellStyle name="Style 83 3 2 2 2 10 2" xfId="33101" xr:uid="{16AD45AD-10DF-4C4D-9643-7F146CD54B54}"/>
    <cellStyle name="Style 83 3 2 2 2 11" xfId="14377" xr:uid="{2843A055-D983-4A62-A866-09A7AC496029}"/>
    <cellStyle name="Style 83 3 2 2 2 11 2" xfId="33102" xr:uid="{E57B2134-4028-4782-96E4-E1CCE3376C09}"/>
    <cellStyle name="Style 83 3 2 2 2 12" xfId="14378" xr:uid="{8A227EA0-ACA8-4759-AB57-02D1ABE5E907}"/>
    <cellStyle name="Style 83 3 2 2 2 12 2" xfId="33103" xr:uid="{D107D37E-6B97-4A45-A995-0884A2E2C13E}"/>
    <cellStyle name="Style 83 3 2 2 2 13" xfId="14379" xr:uid="{EC777B39-4301-4140-BFA1-DEB8166BA7CF}"/>
    <cellStyle name="Style 83 3 2 2 2 13 2" xfId="33104" xr:uid="{52D45174-F62F-45D5-BDCC-681AA279A316}"/>
    <cellStyle name="Style 83 3 2 2 2 14" xfId="14380" xr:uid="{857A575A-C725-4159-AE4D-395BD35F4D53}"/>
    <cellStyle name="Style 83 3 2 2 2 14 2" xfId="33105" xr:uid="{27887771-CB7F-429D-A1CB-B7083B02EF23}"/>
    <cellStyle name="Style 83 3 2 2 2 2" xfId="3508" xr:uid="{069A8F48-F562-4CAD-9C6D-82C1EB1D4EAD}"/>
    <cellStyle name="Style 83 3 2 2 2 2 10" xfId="14381" xr:uid="{9E5CDA08-E319-494D-BF30-FCF337773DA2}"/>
    <cellStyle name="Style 83 3 2 2 2 2 10 2" xfId="33106" xr:uid="{4AFC84CD-1A61-40AA-BDCD-98D25889E814}"/>
    <cellStyle name="Style 83 3 2 2 2 2 11" xfId="14382" xr:uid="{468450E3-5A2F-4769-8050-1D7F1E91E245}"/>
    <cellStyle name="Style 83 3 2 2 2 2 11 2" xfId="33107" xr:uid="{4C0EE91E-C3B6-47CC-81FF-E1AF4CDAC164}"/>
    <cellStyle name="Style 83 3 2 2 2 2 12" xfId="14383" xr:uid="{3847F3C9-3E10-49BB-91BE-BB00921B9264}"/>
    <cellStyle name="Style 83 3 2 2 2 2 12 2" xfId="33108" xr:uid="{9BB5172F-E475-4C5A-AD6B-183696814D6D}"/>
    <cellStyle name="Style 83 3 2 2 2 2 2" xfId="7118" xr:uid="{4D4EC92B-3AA6-435C-9AA9-EDC88E3B0748}"/>
    <cellStyle name="Style 83 3 2 2 2 2 2 2" xfId="14384" xr:uid="{A1A76EEF-9BF6-4649-B727-58BC64D05EF1}"/>
    <cellStyle name="Style 83 3 2 2 2 2 2 2 2" xfId="33109" xr:uid="{E9C5F1BD-31EC-4138-81FC-26CEDBFE173A}"/>
    <cellStyle name="Style 83 3 2 2 2 2 2 3" xfId="14385" xr:uid="{F6434598-6EB2-480B-8A97-0820719308FC}"/>
    <cellStyle name="Style 83 3 2 2 2 2 2 3 2" xfId="33110" xr:uid="{0EB576F6-C0B2-4891-88B0-3FA0B63BE2CA}"/>
    <cellStyle name="Style 83 3 2 2 2 2 3" xfId="14386" xr:uid="{4AD27CD1-D0DE-4E7B-93BE-BDD8D5D958A7}"/>
    <cellStyle name="Style 83 3 2 2 2 2 3 2" xfId="14387" xr:uid="{28894F3B-022E-4A04-9079-0D5649FE805A}"/>
    <cellStyle name="Style 83 3 2 2 2 2 3 2 2" xfId="33111" xr:uid="{53AF6F5F-34F9-41B6-B57A-D5E01B6A0B0D}"/>
    <cellStyle name="Style 83 3 2 2 2 2 4" xfId="14388" xr:uid="{F58B2BED-B5D8-4905-A5A2-6DE2CE5E38DA}"/>
    <cellStyle name="Style 83 3 2 2 2 2 4 2" xfId="33112" xr:uid="{DD58AA5B-24E1-470D-9754-EF5EFBF61745}"/>
    <cellStyle name="Style 83 3 2 2 2 2 5" xfId="14389" xr:uid="{E11B7DC2-7D0E-4B32-B876-911ED3DC6858}"/>
    <cellStyle name="Style 83 3 2 2 2 2 5 2" xfId="33113" xr:uid="{19C144CB-2542-4C4E-A30F-32E8ADB2B2BA}"/>
    <cellStyle name="Style 83 3 2 2 2 2 6" xfId="14390" xr:uid="{68D6ABB9-F13E-42F5-8748-97AB128F81D3}"/>
    <cellStyle name="Style 83 3 2 2 2 2 6 2" xfId="33114" xr:uid="{4749CB3B-1D40-46A2-883C-48AB464B899A}"/>
    <cellStyle name="Style 83 3 2 2 2 2 7" xfId="14391" xr:uid="{B16372CB-B33C-414D-AE4B-1B02D7890927}"/>
    <cellStyle name="Style 83 3 2 2 2 2 7 2" xfId="33115" xr:uid="{7AC60588-3ECA-45B3-8732-3A34869D1291}"/>
    <cellStyle name="Style 83 3 2 2 2 2 8" xfId="14392" xr:uid="{2850598A-5BCE-4B08-A005-543F071DBF4A}"/>
    <cellStyle name="Style 83 3 2 2 2 2 8 2" xfId="33116" xr:uid="{D1AEA1F6-BC3A-42C7-8EA2-A326F8A922C8}"/>
    <cellStyle name="Style 83 3 2 2 2 2 9" xfId="14393" xr:uid="{F80C29C6-AE8F-4DAD-9979-D5605C0EE939}"/>
    <cellStyle name="Style 83 3 2 2 2 2 9 2" xfId="33117" xr:uid="{53480699-C65E-4169-A5DC-6EB314CDB73D}"/>
    <cellStyle name="Style 83 3 2 2 2 3" xfId="7117" xr:uid="{416C9B9F-1299-4ECA-A792-8AC389016EDB}"/>
    <cellStyle name="Style 83 3 2 2 2 3 2" xfId="14394" xr:uid="{227E5443-3C6F-4905-B577-EEDE0B586369}"/>
    <cellStyle name="Style 83 3 2 2 2 3 2 2" xfId="33118" xr:uid="{175CF5E5-E49E-4ECE-A3A2-18F78B36FE38}"/>
    <cellStyle name="Style 83 3 2 2 2 3 3" xfId="14395" xr:uid="{D4DDABB5-2210-48C1-ABC0-00342427022B}"/>
    <cellStyle name="Style 83 3 2 2 2 3 3 2" xfId="33119" xr:uid="{8D0746E8-E561-4AB0-BDDC-2D57C1AE0212}"/>
    <cellStyle name="Style 83 3 2 2 2 4" xfId="14396" xr:uid="{25CE7E4D-9AB5-422E-83B2-9C90298C996C}"/>
    <cellStyle name="Style 83 3 2 2 2 4 2" xfId="14397" xr:uid="{75B578E6-5BA4-4F91-A5AD-A2C455C0D21C}"/>
    <cellStyle name="Style 83 3 2 2 2 4 2 2" xfId="33120" xr:uid="{586C6E75-EA80-4E6D-82B1-93D43CD79BB2}"/>
    <cellStyle name="Style 83 3 2 2 2 5" xfId="14398" xr:uid="{8B15DF99-BF9D-45C5-88A8-CC32A7560E3C}"/>
    <cellStyle name="Style 83 3 2 2 2 5 2" xfId="33121" xr:uid="{B876204F-D63E-4B5F-88C6-B23D3F3458C2}"/>
    <cellStyle name="Style 83 3 2 2 2 6" xfId="14399" xr:uid="{BEAE67B1-3CD6-4C33-8D09-DFAC1EAC4654}"/>
    <cellStyle name="Style 83 3 2 2 2 6 2" xfId="33122" xr:uid="{5C1DCBB1-876A-4514-A5A0-6FE8E7FC5665}"/>
    <cellStyle name="Style 83 3 2 2 2 7" xfId="14400" xr:uid="{03E94BF3-5BF0-47CA-9253-3F06998E8C14}"/>
    <cellStyle name="Style 83 3 2 2 2 7 2" xfId="33123" xr:uid="{23C2F784-9847-46F5-B8A5-33D734C5140C}"/>
    <cellStyle name="Style 83 3 2 2 2 8" xfId="14401" xr:uid="{F2648604-2191-408E-BD9B-A97B457926E2}"/>
    <cellStyle name="Style 83 3 2 2 2 8 2" xfId="33124" xr:uid="{6D5DFD91-353F-4F52-BF03-6256D3F246DA}"/>
    <cellStyle name="Style 83 3 2 2 2 9" xfId="14402" xr:uid="{E6847A65-2C82-4526-AF1C-0AEB4E6AF51C}"/>
    <cellStyle name="Style 83 3 2 2 2 9 2" xfId="33125" xr:uid="{C954AB4C-4CFE-4782-8370-FF18B7B14514}"/>
    <cellStyle name="Style 83 3 2 2 3" xfId="3509" xr:uid="{92A2E936-68EA-4C6B-BC8E-12D6CF8705D7}"/>
    <cellStyle name="Style 83 3 2 2 3 10" xfId="14403" xr:uid="{C8CD35EB-5C37-4365-864D-BCF4E3983F58}"/>
    <cellStyle name="Style 83 3 2 2 3 10 2" xfId="33126" xr:uid="{BD8E350A-B1A7-45B0-804D-BF5A6C57E9F8}"/>
    <cellStyle name="Style 83 3 2 2 3 11" xfId="14404" xr:uid="{566DA812-374F-415C-85E3-46E417A79A09}"/>
    <cellStyle name="Style 83 3 2 2 3 11 2" xfId="33127" xr:uid="{00F027AD-BEAB-4F51-BB47-78A615ACBEBC}"/>
    <cellStyle name="Style 83 3 2 2 3 12" xfId="14405" xr:uid="{7E301AEF-C7CB-4B4F-836A-17189A206B47}"/>
    <cellStyle name="Style 83 3 2 2 3 12 2" xfId="33128" xr:uid="{34EC6635-AF84-4AA9-8EC9-6D3DA65247BF}"/>
    <cellStyle name="Style 83 3 2 2 3 2" xfId="7119" xr:uid="{AAA5FBD5-D820-4CD6-A5A1-7CDA96BBA5FD}"/>
    <cellStyle name="Style 83 3 2 2 3 2 2" xfId="14406" xr:uid="{40DE4A1F-3AE1-423C-B50B-91DE12805610}"/>
    <cellStyle name="Style 83 3 2 2 3 2 2 2" xfId="33129" xr:uid="{A89A95A9-1474-4E87-AA13-0A889B8D10A8}"/>
    <cellStyle name="Style 83 3 2 2 3 2 3" xfId="14407" xr:uid="{CEF3563E-143A-41B5-B317-DD82FBA97BEB}"/>
    <cellStyle name="Style 83 3 2 2 3 2 3 2" xfId="33130" xr:uid="{FAACD8CF-21D0-48EF-8408-974E8ED7034A}"/>
    <cellStyle name="Style 83 3 2 2 3 3" xfId="14408" xr:uid="{086D849A-A262-4402-BE17-CE230C27AFF6}"/>
    <cellStyle name="Style 83 3 2 2 3 3 2" xfId="14409" xr:uid="{4AF4A05A-E721-4F0A-85C6-42CBA3B6B890}"/>
    <cellStyle name="Style 83 3 2 2 3 3 2 2" xfId="33131" xr:uid="{ED16A97C-273A-4241-9643-A46FB6B1E2D7}"/>
    <cellStyle name="Style 83 3 2 2 3 4" xfId="14410" xr:uid="{63EE807E-C2B8-4941-B438-AAB7AE3BB525}"/>
    <cellStyle name="Style 83 3 2 2 3 4 2" xfId="33132" xr:uid="{A2A10ADB-CD53-4CAA-B8A1-9E53EDC086E4}"/>
    <cellStyle name="Style 83 3 2 2 3 5" xfId="14411" xr:uid="{7A6065C9-1B28-4DAF-AE91-7784514D84AC}"/>
    <cellStyle name="Style 83 3 2 2 3 5 2" xfId="33133" xr:uid="{810DCA1C-9BAA-4D1C-A5F9-182036196FC4}"/>
    <cellStyle name="Style 83 3 2 2 3 6" xfId="14412" xr:uid="{DDF5463B-4D9D-47E5-97A1-E0F5EEE2498E}"/>
    <cellStyle name="Style 83 3 2 2 3 6 2" xfId="33134" xr:uid="{CD5C89B7-F3C2-4A82-AA29-465287C63F7D}"/>
    <cellStyle name="Style 83 3 2 2 3 7" xfId="14413" xr:uid="{2D5F7BB0-5964-43CD-81A9-E1F2714D3A9F}"/>
    <cellStyle name="Style 83 3 2 2 3 7 2" xfId="33135" xr:uid="{13FCDE95-39E4-4A1C-8E37-2AE7FF40C0A6}"/>
    <cellStyle name="Style 83 3 2 2 3 8" xfId="14414" xr:uid="{983D4D90-99CD-4699-BF76-6FD4026818C8}"/>
    <cellStyle name="Style 83 3 2 2 3 8 2" xfId="33136" xr:uid="{E0F83C62-8A86-46F2-8220-2B193E47C19E}"/>
    <cellStyle name="Style 83 3 2 2 3 9" xfId="14415" xr:uid="{260373AA-95A9-4C63-BDAA-8F2FBB2B1DF2}"/>
    <cellStyle name="Style 83 3 2 2 3 9 2" xfId="33137" xr:uid="{87BBC417-4969-48FE-BF9B-2CFF4DAC983A}"/>
    <cellStyle name="Style 83 3 2 2 4" xfId="7116" xr:uid="{766886B2-1BF9-4C39-89EA-AF1C920A5E9D}"/>
    <cellStyle name="Style 83 3 2 2 4 2" xfId="14416" xr:uid="{AB9F42C7-67D5-4842-9210-09460DF84E77}"/>
    <cellStyle name="Style 83 3 2 2 4 2 2" xfId="33138" xr:uid="{4C5198F4-4FBA-42AB-8D2C-E4B39CA64119}"/>
    <cellStyle name="Style 83 3 2 2 4 3" xfId="14417" xr:uid="{A12389DA-B0ED-43D4-9F3C-EA66D34CE68C}"/>
    <cellStyle name="Style 83 3 2 2 4 3 2" xfId="33139" xr:uid="{79649ABA-C129-41CB-8829-7A1DDD1A2744}"/>
    <cellStyle name="Style 83 3 2 2 5" xfId="14418" xr:uid="{371AA7D7-C489-442C-8D9E-C002927D7737}"/>
    <cellStyle name="Style 83 3 2 2 5 2" xfId="14419" xr:uid="{94F5AF0B-BE63-4197-93AE-EB79FBDD7888}"/>
    <cellStyle name="Style 83 3 2 2 5 2 2" xfId="33140" xr:uid="{573AE757-3EF1-4A15-8A12-F1297AF00DF1}"/>
    <cellStyle name="Style 83 3 2 2 6" xfId="14420" xr:uid="{0C63DB42-F99C-41FC-A608-CB1DF47E99AE}"/>
    <cellStyle name="Style 83 3 2 2 6 2" xfId="33141" xr:uid="{54FE9B10-C02F-4F61-B96F-FDFE1FC7739C}"/>
    <cellStyle name="Style 83 3 2 2 7" xfId="14421" xr:uid="{B58E69F5-390C-4DF8-9898-B350E9630F95}"/>
    <cellStyle name="Style 83 3 2 2 7 2" xfId="33142" xr:uid="{3826A0E5-FFD5-4960-B8EE-753591F4C61A}"/>
    <cellStyle name="Style 83 3 2 2 8" xfId="14422" xr:uid="{08E9A606-1D6C-432D-BB74-BA879F08534F}"/>
    <cellStyle name="Style 83 3 2 2 8 2" xfId="33143" xr:uid="{4E78A1F2-7D5B-4B42-84B2-36C240E998F9}"/>
    <cellStyle name="Style 83 3 2 2 9" xfId="14423" xr:uid="{04F92036-B4FE-46D5-AEE1-5664F0734324}"/>
    <cellStyle name="Style 83 3 2 2 9 2" xfId="33144" xr:uid="{99A5BA2F-9EAE-43E9-878B-D12918A2C5BD}"/>
    <cellStyle name="Style 83 3 2 3" xfId="3510" xr:uid="{BDEC1867-9671-4D5C-9A6C-D77D78688486}"/>
    <cellStyle name="Style 83 3 2 3 10" xfId="14424" xr:uid="{A6AA355C-E0E4-499F-8732-C81F4AE62290}"/>
    <cellStyle name="Style 83 3 2 3 10 2" xfId="33145" xr:uid="{26FE06D4-27E5-4A39-BCBD-C3FC20BDF72D}"/>
    <cellStyle name="Style 83 3 2 3 11" xfId="14425" xr:uid="{F4814EB6-539F-4A3D-B14C-8CE3182061B2}"/>
    <cellStyle name="Style 83 3 2 3 11 2" xfId="33146" xr:uid="{8A4890DD-9910-4027-B894-EC4E492FFF38}"/>
    <cellStyle name="Style 83 3 2 3 12" xfId="14426" xr:uid="{1114EF4B-04A0-4976-BB2A-AF69FB29543D}"/>
    <cellStyle name="Style 83 3 2 3 12 2" xfId="33147" xr:uid="{DA1023FD-28A2-4146-8204-D80898AFC4DC}"/>
    <cellStyle name="Style 83 3 2 3 13" xfId="14427" xr:uid="{9AA26D82-55E1-4844-9C92-36EAF44FB45E}"/>
    <cellStyle name="Style 83 3 2 3 13 2" xfId="33148" xr:uid="{10B074EB-5ABB-4A63-A848-4EA4BFBF329D}"/>
    <cellStyle name="Style 83 3 2 3 14" xfId="14428" xr:uid="{593D3B85-FA1F-484A-9CAE-7BEF2C27A50D}"/>
    <cellStyle name="Style 83 3 2 3 14 2" xfId="33149" xr:uid="{7FB90B64-D67B-46C5-8846-2A78BFBE2DB7}"/>
    <cellStyle name="Style 83 3 2 3 2" xfId="3511" xr:uid="{18077176-38F1-4B44-8E62-42E011FF2949}"/>
    <cellStyle name="Style 83 3 2 3 2 10" xfId="14429" xr:uid="{68660B92-6705-4233-ABAE-D6D7F4A772D0}"/>
    <cellStyle name="Style 83 3 2 3 2 10 2" xfId="33150" xr:uid="{7ACD990C-01D9-41D9-AECC-7610B74B1DA4}"/>
    <cellStyle name="Style 83 3 2 3 2 11" xfId="14430" xr:uid="{796E1FEF-F0E6-4B08-A9C4-9971A7EFA7B9}"/>
    <cellStyle name="Style 83 3 2 3 2 11 2" xfId="33151" xr:uid="{E2CD6D5F-FBAB-4526-A450-B3667B5314A8}"/>
    <cellStyle name="Style 83 3 2 3 2 12" xfId="14431" xr:uid="{34BD448E-7AF0-4C44-AF85-857130C668E4}"/>
    <cellStyle name="Style 83 3 2 3 2 12 2" xfId="33152" xr:uid="{48BA8083-7502-474F-BAC4-E3AE6B3BCB4D}"/>
    <cellStyle name="Style 83 3 2 3 2 2" xfId="7121" xr:uid="{F0770440-E6D0-4AED-B4D3-985B4FEE7936}"/>
    <cellStyle name="Style 83 3 2 3 2 2 2" xfId="14432" xr:uid="{D359AAB6-EBF7-4F2D-A5E8-F860964E72B6}"/>
    <cellStyle name="Style 83 3 2 3 2 2 2 2" xfId="33153" xr:uid="{9C2844B1-F218-48A9-AE28-FE4369F759A7}"/>
    <cellStyle name="Style 83 3 2 3 2 2 3" xfId="14433" xr:uid="{D665E788-31FF-447F-AB03-21F49646F0B6}"/>
    <cellStyle name="Style 83 3 2 3 2 2 3 2" xfId="33154" xr:uid="{7A9A6348-7E2B-4C05-80AB-D2B0780F0634}"/>
    <cellStyle name="Style 83 3 2 3 2 3" xfId="14434" xr:uid="{079AA88B-7F81-4FCE-A298-3C92C03B01DE}"/>
    <cellStyle name="Style 83 3 2 3 2 3 2" xfId="14435" xr:uid="{16DF6D08-DB8D-49F3-8280-89A2E4B08C24}"/>
    <cellStyle name="Style 83 3 2 3 2 3 2 2" xfId="33155" xr:uid="{033FAFF9-98C2-4239-990C-A000B6C164CF}"/>
    <cellStyle name="Style 83 3 2 3 2 4" xfId="14436" xr:uid="{5E87EAFB-17CE-40AF-A930-C80E9CAB7A15}"/>
    <cellStyle name="Style 83 3 2 3 2 4 2" xfId="33156" xr:uid="{4E666AE4-4932-4238-88F9-9A6DF33D9002}"/>
    <cellStyle name="Style 83 3 2 3 2 5" xfId="14437" xr:uid="{AF9E7DDC-2058-4A23-9FED-8CD615B7FF1F}"/>
    <cellStyle name="Style 83 3 2 3 2 5 2" xfId="33157" xr:uid="{7A19F83A-47CF-4215-9DD2-617ABC98A2A8}"/>
    <cellStyle name="Style 83 3 2 3 2 6" xfId="14438" xr:uid="{9B184E8A-BCBC-4064-9CCA-644334FAE122}"/>
    <cellStyle name="Style 83 3 2 3 2 6 2" xfId="33158" xr:uid="{3635C625-166F-4190-A896-0405D0A03138}"/>
    <cellStyle name="Style 83 3 2 3 2 7" xfId="14439" xr:uid="{00DB57D9-E2BE-4D32-A296-B4E30CA1FCF1}"/>
    <cellStyle name="Style 83 3 2 3 2 7 2" xfId="33159" xr:uid="{A59351AD-367F-43E3-B8BE-F1F6EC6C80C4}"/>
    <cellStyle name="Style 83 3 2 3 2 8" xfId="14440" xr:uid="{454F1B16-4F18-4E19-AD72-2674F1882535}"/>
    <cellStyle name="Style 83 3 2 3 2 8 2" xfId="33160" xr:uid="{20343FAF-5225-4E48-A511-8327FB05C090}"/>
    <cellStyle name="Style 83 3 2 3 2 9" xfId="14441" xr:uid="{81BECB2C-F5F4-4AAB-ABB2-EB99F62E41AF}"/>
    <cellStyle name="Style 83 3 2 3 2 9 2" xfId="33161" xr:uid="{9933F6A4-83AB-4D74-B1AF-52A0EE971B72}"/>
    <cellStyle name="Style 83 3 2 3 3" xfId="7120" xr:uid="{CDC8CD4F-C223-4A4D-B56E-39E7E5D80F84}"/>
    <cellStyle name="Style 83 3 2 3 3 2" xfId="14442" xr:uid="{C015224E-927B-4D3C-9154-211643DA9198}"/>
    <cellStyle name="Style 83 3 2 3 3 2 2" xfId="33162" xr:uid="{2110264F-7F15-45F6-9B23-80F79120C5AF}"/>
    <cellStyle name="Style 83 3 2 3 3 3" xfId="14443" xr:uid="{6BA78079-B538-455F-9D80-8EA6C0AD5CD2}"/>
    <cellStyle name="Style 83 3 2 3 3 3 2" xfId="33163" xr:uid="{E489627D-9C40-44AE-83DD-8E84E4F29742}"/>
    <cellStyle name="Style 83 3 2 3 4" xfId="14444" xr:uid="{CB273DC9-6224-4876-AB64-D3A2D7236877}"/>
    <cellStyle name="Style 83 3 2 3 4 2" xfId="14445" xr:uid="{090F8691-C682-4A33-9FBB-565FFF086390}"/>
    <cellStyle name="Style 83 3 2 3 4 2 2" xfId="33164" xr:uid="{BA646094-3288-4729-8438-B0822FAFFCFC}"/>
    <cellStyle name="Style 83 3 2 3 5" xfId="14446" xr:uid="{BF3F75F5-D9F0-4FF8-ABB1-5A12A07FAA4C}"/>
    <cellStyle name="Style 83 3 2 3 5 2" xfId="33165" xr:uid="{DC5CA7E5-095F-49B7-81D3-D1742485A990}"/>
    <cellStyle name="Style 83 3 2 3 6" xfId="14447" xr:uid="{60737FC2-DE06-40CB-9D7A-CA3B11105054}"/>
    <cellStyle name="Style 83 3 2 3 6 2" xfId="33166" xr:uid="{6ED1296E-E1DD-4A07-9DBC-B7ABF1099911}"/>
    <cellStyle name="Style 83 3 2 3 7" xfId="14448" xr:uid="{93187F32-52A5-413C-9DE1-F2E1E9863D39}"/>
    <cellStyle name="Style 83 3 2 3 7 2" xfId="33167" xr:uid="{307C8C29-9FC4-4F8E-B0DC-54835E51AA01}"/>
    <cellStyle name="Style 83 3 2 3 8" xfId="14449" xr:uid="{2BEBADC9-E468-46B8-8635-6040D1D6F0BF}"/>
    <cellStyle name="Style 83 3 2 3 8 2" xfId="33168" xr:uid="{58103F74-07F6-4062-BC5C-86EC761BF9BC}"/>
    <cellStyle name="Style 83 3 2 3 9" xfId="14450" xr:uid="{73B87641-2DA7-4E8B-A2FA-AC458062678D}"/>
    <cellStyle name="Style 83 3 2 3 9 2" xfId="33169" xr:uid="{03A7F416-B88E-472B-BA3E-2E29D9FB0282}"/>
    <cellStyle name="Style 83 3 2 4" xfId="3512" xr:uid="{3CE36F72-D6B6-42CD-AEB9-B9BBF4746D8D}"/>
    <cellStyle name="Style 83 3 2 4 10" xfId="14451" xr:uid="{B6E27A31-E96A-4B25-916B-1100373BCAD9}"/>
    <cellStyle name="Style 83 3 2 4 10 2" xfId="33170" xr:uid="{588C1A35-42C2-4668-920D-345D50271FF2}"/>
    <cellStyle name="Style 83 3 2 4 11" xfId="14452" xr:uid="{BD663040-51CB-43D1-AC1D-CDFEE8FCC3FA}"/>
    <cellStyle name="Style 83 3 2 4 11 2" xfId="33171" xr:uid="{44BD2E8D-072D-4E5F-B2EE-C73BC345C42A}"/>
    <cellStyle name="Style 83 3 2 4 12" xfId="14453" xr:uid="{4BA68C2B-4837-46F3-AF30-0E624BFDEB8A}"/>
    <cellStyle name="Style 83 3 2 4 12 2" xfId="33172" xr:uid="{C9B3687B-8B6B-4CB9-A179-99ED7111BB7B}"/>
    <cellStyle name="Style 83 3 2 4 2" xfId="7122" xr:uid="{474A58BD-489D-4D4A-BD60-8B7BFEB70F83}"/>
    <cellStyle name="Style 83 3 2 4 2 2" xfId="14454" xr:uid="{9F19BEF8-91A1-4D50-8988-D3603C993F43}"/>
    <cellStyle name="Style 83 3 2 4 2 2 2" xfId="33173" xr:uid="{9695C8BF-EFE7-4D90-9DD1-41021BA21E2E}"/>
    <cellStyle name="Style 83 3 2 4 2 3" xfId="14455" xr:uid="{B0A79CAC-24AF-442A-B13B-E6693C5BB403}"/>
    <cellStyle name="Style 83 3 2 4 2 3 2" xfId="33174" xr:uid="{1C20AF30-CE26-4B2B-8B2F-493A8E20AD9C}"/>
    <cellStyle name="Style 83 3 2 4 3" xfId="14456" xr:uid="{7921DB03-18D9-45BF-BE58-D1B082417873}"/>
    <cellStyle name="Style 83 3 2 4 3 2" xfId="14457" xr:uid="{533294AF-0A84-4B0C-88F7-4D902EC020EE}"/>
    <cellStyle name="Style 83 3 2 4 3 2 2" xfId="33175" xr:uid="{570747B3-4D2A-4C7F-91FC-30DE3F963E14}"/>
    <cellStyle name="Style 83 3 2 4 4" xfId="14458" xr:uid="{32715600-18A3-4D3A-BF10-E4349D78BF75}"/>
    <cellStyle name="Style 83 3 2 4 4 2" xfId="33176" xr:uid="{43361564-BB9A-4E39-B21B-A618CBE8F8F2}"/>
    <cellStyle name="Style 83 3 2 4 5" xfId="14459" xr:uid="{2257354F-ECD6-4617-9CE4-3B607CC95D2B}"/>
    <cellStyle name="Style 83 3 2 4 5 2" xfId="33177" xr:uid="{55F9DAA7-3F2F-495F-BDE9-81AF5B1E302A}"/>
    <cellStyle name="Style 83 3 2 4 6" xfId="14460" xr:uid="{0E692867-FD90-41EE-B187-4D3525B0D65A}"/>
    <cellStyle name="Style 83 3 2 4 6 2" xfId="33178" xr:uid="{B92190FE-65A1-4DB6-AE31-04564DA1B425}"/>
    <cellStyle name="Style 83 3 2 4 7" xfId="14461" xr:uid="{EE14B4B4-1392-47C3-B25D-4672FF020E99}"/>
    <cellStyle name="Style 83 3 2 4 7 2" xfId="33179" xr:uid="{96A0E1B0-792B-4FC4-9398-1355A1E1804C}"/>
    <cellStyle name="Style 83 3 2 4 8" xfId="14462" xr:uid="{19E85265-745E-4124-9D51-9E0CFCB0EB89}"/>
    <cellStyle name="Style 83 3 2 4 8 2" xfId="33180" xr:uid="{6AC65628-DDB4-4225-8F71-58D710682FCC}"/>
    <cellStyle name="Style 83 3 2 4 9" xfId="14463" xr:uid="{21E2BAD6-931D-4F09-B7E4-179F6EEA3AA5}"/>
    <cellStyle name="Style 83 3 2 4 9 2" xfId="33181" xr:uid="{553D0A54-07F6-48A0-812D-8D15574D8C09}"/>
    <cellStyle name="Style 83 3 2 5" xfId="7115" xr:uid="{AC39BCFE-A30E-4E84-95C5-993DBDAF50F8}"/>
    <cellStyle name="Style 83 3 2 5 2" xfId="14464" xr:uid="{1D098423-6ED3-4911-BE61-D4D9B6BEF648}"/>
    <cellStyle name="Style 83 3 2 5 2 2" xfId="33182" xr:uid="{924E22EE-E88E-4E67-A6C7-EC6929E9DA39}"/>
    <cellStyle name="Style 83 3 2 5 3" xfId="14465" xr:uid="{9150AA75-407F-4B2F-B06C-EBDDCF8B3409}"/>
    <cellStyle name="Style 83 3 2 5 3 2" xfId="33183" xr:uid="{D7994513-91BC-4B2B-817F-49D4CA486222}"/>
    <cellStyle name="Style 83 3 2 6" xfId="14466" xr:uid="{22C65AC4-3C4F-4AE8-ABC8-A6D055D2C749}"/>
    <cellStyle name="Style 83 3 2 6 2" xfId="14467" xr:uid="{85FF8E41-AC72-467C-951F-DB9EBD65B5CE}"/>
    <cellStyle name="Style 83 3 2 6 2 2" xfId="33184" xr:uid="{4AF60570-7DCB-4CEB-AFAC-01BEEFD0C9E9}"/>
    <cellStyle name="Style 83 3 2 7" xfId="14468" xr:uid="{355CBDCF-77E6-4A12-AE48-02FB15EEAC71}"/>
    <cellStyle name="Style 83 3 2 7 2" xfId="33185" xr:uid="{22BDA8EB-7FB8-41B8-85F7-D3080535B9A0}"/>
    <cellStyle name="Style 83 3 2 8" xfId="14469" xr:uid="{05876ECC-1F17-4AC6-AEB7-03856A4E09E3}"/>
    <cellStyle name="Style 83 3 2 8 2" xfId="33186" xr:uid="{011EF2AE-0ED3-4724-B91D-6F36E06FB870}"/>
    <cellStyle name="Style 83 3 2 9" xfId="14470" xr:uid="{5D0CCAB5-F4EF-4A60-BE9B-0F1795235D8A}"/>
    <cellStyle name="Style 83 3 2 9 2" xfId="33187" xr:uid="{915DC1BC-0E5F-40B4-B1BF-B9230FBAB26C}"/>
    <cellStyle name="Style 83 3 3" xfId="3513" xr:uid="{C7CEA38C-FC4E-4F0C-9E9F-D14531DC3430}"/>
    <cellStyle name="Style 83 3 3 10" xfId="14471" xr:uid="{FF0FD46F-12F9-4ABA-8B40-C48741955EC6}"/>
    <cellStyle name="Style 83 3 3 10 2" xfId="33188" xr:uid="{8D01D589-9EC7-46A9-AC15-0C9746E04DDD}"/>
    <cellStyle name="Style 83 3 3 11" xfId="14472" xr:uid="{D39B690F-BCB6-4EDE-A718-8858D1931FC8}"/>
    <cellStyle name="Style 83 3 3 11 2" xfId="33189" xr:uid="{6382EAC9-FE7B-4D7B-86D2-D24A259D6C79}"/>
    <cellStyle name="Style 83 3 3 12" xfId="14473" xr:uid="{55C994AE-E9A2-42B8-9E52-CF74A99C3C00}"/>
    <cellStyle name="Style 83 3 3 12 2" xfId="33190" xr:uid="{05258597-1235-40F4-96D0-EEFBF2A2A5E7}"/>
    <cellStyle name="Style 83 3 3 13" xfId="14474" xr:uid="{F0D015C2-BA94-4F29-80D3-E487D721288F}"/>
    <cellStyle name="Style 83 3 3 13 2" xfId="33191" xr:uid="{8CD74FB3-A824-477E-9768-D76F8DE902CE}"/>
    <cellStyle name="Style 83 3 3 14" xfId="14475" xr:uid="{E3534692-2838-4084-B05A-7E96C30BDBC2}"/>
    <cellStyle name="Style 83 3 3 14 2" xfId="33192" xr:uid="{59F3408D-DC46-4AF0-9BCB-A5287598B1B6}"/>
    <cellStyle name="Style 83 3 3 15" xfId="14476" xr:uid="{2B04C052-8609-4947-8834-E43804B8350B}"/>
    <cellStyle name="Style 83 3 3 15 2" xfId="33193" xr:uid="{9C5B74F2-45EC-4320-82EC-179F5ED2C7BA}"/>
    <cellStyle name="Style 83 3 3 2" xfId="3514" xr:uid="{4715463D-55FF-4E45-B256-F80FE594E58B}"/>
    <cellStyle name="Style 83 3 3 2 10" xfId="14477" xr:uid="{0E59B532-E85F-4CFC-ACFB-3256C782B412}"/>
    <cellStyle name="Style 83 3 3 2 10 2" xfId="33194" xr:uid="{DA4ED55E-72F0-46E8-A916-1B14490D63E4}"/>
    <cellStyle name="Style 83 3 3 2 11" xfId="14478" xr:uid="{A706000A-DF37-401B-A268-F9B63CA91526}"/>
    <cellStyle name="Style 83 3 3 2 11 2" xfId="33195" xr:uid="{B9A3A40D-B967-4A78-9406-0CC2E2C6FB1E}"/>
    <cellStyle name="Style 83 3 3 2 12" xfId="14479" xr:uid="{B3702439-DBB4-4A8E-9F9A-F978349B6E4E}"/>
    <cellStyle name="Style 83 3 3 2 12 2" xfId="33196" xr:uid="{F79E6ED1-906A-4288-9371-DFAA8A9E0180}"/>
    <cellStyle name="Style 83 3 3 2 13" xfId="14480" xr:uid="{1A9C4B72-8100-4102-8CEE-9EA973AE8CE2}"/>
    <cellStyle name="Style 83 3 3 2 13 2" xfId="33197" xr:uid="{A42D7405-712E-4371-A222-EA598C75EA2E}"/>
    <cellStyle name="Style 83 3 3 2 14" xfId="14481" xr:uid="{23DCF0A1-AEC0-4081-A37E-28C4A5D8573A}"/>
    <cellStyle name="Style 83 3 3 2 14 2" xfId="33198" xr:uid="{55D30994-6585-45A8-B98D-1F8CAA8E0849}"/>
    <cellStyle name="Style 83 3 3 2 15" xfId="14482" xr:uid="{5478D601-0805-46D2-BBEB-EDBC7D53837C}"/>
    <cellStyle name="Style 83 3 3 2 15 2" xfId="33199" xr:uid="{8BC79CC7-6438-4034-910D-5C543AC56B4D}"/>
    <cellStyle name="Style 83 3 3 2 2" xfId="3515" xr:uid="{A2D548CE-9019-465E-8A77-876EA055BAF3}"/>
    <cellStyle name="Style 83 3 3 2 2 10" xfId="14483" xr:uid="{69EEF92C-3819-4675-B3F4-96D617B0A4F4}"/>
    <cellStyle name="Style 83 3 3 2 2 10 2" xfId="33200" xr:uid="{B40034B5-8522-4120-8DA2-0276DB942699}"/>
    <cellStyle name="Style 83 3 3 2 2 11" xfId="14484" xr:uid="{98789F5A-F81F-41F5-BA12-2C2B88BB569B}"/>
    <cellStyle name="Style 83 3 3 2 2 11 2" xfId="33201" xr:uid="{4BF37949-E533-4B81-A762-E3FEF23509D9}"/>
    <cellStyle name="Style 83 3 3 2 2 12" xfId="14485" xr:uid="{F5B126AD-B94B-4739-B734-6759E1B2F47B}"/>
    <cellStyle name="Style 83 3 3 2 2 12 2" xfId="33202" xr:uid="{7944F761-98BA-40B0-8215-4D64ADEB3EAC}"/>
    <cellStyle name="Style 83 3 3 2 2 13" xfId="14486" xr:uid="{4C3DF65F-52BC-424F-B2EC-327D188B3AF3}"/>
    <cellStyle name="Style 83 3 3 2 2 13 2" xfId="33203" xr:uid="{7D4809B4-CFD5-467F-8E48-A5C3988C248F}"/>
    <cellStyle name="Style 83 3 3 2 2 14" xfId="14487" xr:uid="{12483D1F-ECB1-4C9C-97F9-092A8BFB01E1}"/>
    <cellStyle name="Style 83 3 3 2 2 14 2" xfId="33204" xr:uid="{029B6388-5EED-40FF-A827-D8EA89BCFD20}"/>
    <cellStyle name="Style 83 3 3 2 2 2" xfId="3516" xr:uid="{6B8160E3-65E6-43DD-B162-4D2F7290D38F}"/>
    <cellStyle name="Style 83 3 3 2 2 2 10" xfId="14488" xr:uid="{DD065D3C-74AA-43D8-8776-DF4DEB76BF04}"/>
    <cellStyle name="Style 83 3 3 2 2 2 10 2" xfId="33205" xr:uid="{97DA275B-C7AE-48EF-A60B-D1D7F5C2C019}"/>
    <cellStyle name="Style 83 3 3 2 2 2 11" xfId="14489" xr:uid="{5DDBA4CF-02AD-4742-9F0F-5A0729C38C88}"/>
    <cellStyle name="Style 83 3 3 2 2 2 11 2" xfId="33206" xr:uid="{DBED9EA8-D7B8-4151-A380-DF009E15075C}"/>
    <cellStyle name="Style 83 3 3 2 2 2 12" xfId="14490" xr:uid="{F7B6C0D1-CAAE-4486-B932-2CE751DE4CEA}"/>
    <cellStyle name="Style 83 3 3 2 2 2 12 2" xfId="33207" xr:uid="{B78854C2-0088-4FD8-8CC8-5EC09F61A35A}"/>
    <cellStyle name="Style 83 3 3 2 2 2 2" xfId="7126" xr:uid="{7587C954-3E74-47CC-84A5-9DBBFEEADFB4}"/>
    <cellStyle name="Style 83 3 3 2 2 2 2 2" xfId="14491" xr:uid="{3B27F11E-F4E8-4E3B-9DDE-9F88939FCCC5}"/>
    <cellStyle name="Style 83 3 3 2 2 2 2 2 2" xfId="33208" xr:uid="{124D3232-B3AD-41D0-AC44-F4C3699095DC}"/>
    <cellStyle name="Style 83 3 3 2 2 2 2 3" xfId="14492" xr:uid="{B7C81C2F-E596-4B7B-9464-EC57D3FB8748}"/>
    <cellStyle name="Style 83 3 3 2 2 2 2 3 2" xfId="33209" xr:uid="{A2176343-B056-43A4-92B3-9A037059360F}"/>
    <cellStyle name="Style 83 3 3 2 2 2 3" xfId="14493" xr:uid="{D65AD35C-4649-41F8-838E-F338AA0CC751}"/>
    <cellStyle name="Style 83 3 3 2 2 2 3 2" xfId="14494" xr:uid="{8C8B15D8-57B8-4113-AFEE-2E13AC590CD0}"/>
    <cellStyle name="Style 83 3 3 2 2 2 3 2 2" xfId="33210" xr:uid="{BA663AC2-970D-437F-B9F8-6A27A6FDEAE6}"/>
    <cellStyle name="Style 83 3 3 2 2 2 4" xfId="14495" xr:uid="{92A7C285-D623-4082-B878-5CCEBDF90FE2}"/>
    <cellStyle name="Style 83 3 3 2 2 2 4 2" xfId="33211" xr:uid="{966AC801-3C66-4774-AA62-2C55CEE29B90}"/>
    <cellStyle name="Style 83 3 3 2 2 2 5" xfId="14496" xr:uid="{4D73DE43-4362-4207-8AE8-099B7258C74B}"/>
    <cellStyle name="Style 83 3 3 2 2 2 5 2" xfId="33212" xr:uid="{5ED895E0-AE4B-4143-8302-707B7FCFD249}"/>
    <cellStyle name="Style 83 3 3 2 2 2 6" xfId="14497" xr:uid="{B6D87DAF-E10A-484C-92C5-73070BA55C1A}"/>
    <cellStyle name="Style 83 3 3 2 2 2 6 2" xfId="33213" xr:uid="{3B11ABE1-8C21-48B8-8720-8ABE953A1E7F}"/>
    <cellStyle name="Style 83 3 3 2 2 2 7" xfId="14498" xr:uid="{5D69FF65-B5D9-4107-8958-1CE78D63981A}"/>
    <cellStyle name="Style 83 3 3 2 2 2 7 2" xfId="33214" xr:uid="{53370071-68E9-4EB7-A6A8-BACF12587360}"/>
    <cellStyle name="Style 83 3 3 2 2 2 8" xfId="14499" xr:uid="{5CD748CF-6689-4AD4-AAEF-46C624C7343B}"/>
    <cellStyle name="Style 83 3 3 2 2 2 8 2" xfId="33215" xr:uid="{F5DDCD47-67D7-422F-AE29-E31FE6131ABF}"/>
    <cellStyle name="Style 83 3 3 2 2 2 9" xfId="14500" xr:uid="{F176D195-ED99-41BE-B26A-C5C71E65DD79}"/>
    <cellStyle name="Style 83 3 3 2 2 2 9 2" xfId="33216" xr:uid="{4F069557-3198-4CE8-AF1E-C4699808E1E4}"/>
    <cellStyle name="Style 83 3 3 2 2 3" xfId="7125" xr:uid="{8197C22A-C198-490E-A356-62D3C74B56C2}"/>
    <cellStyle name="Style 83 3 3 2 2 3 2" xfId="14501" xr:uid="{799B6C69-F9E4-4736-9F5D-8A37801E387D}"/>
    <cellStyle name="Style 83 3 3 2 2 3 2 2" xfId="33217" xr:uid="{D65BB930-EA4E-4C1F-8BF7-AE05E5DAF93E}"/>
    <cellStyle name="Style 83 3 3 2 2 3 3" xfId="14502" xr:uid="{F23BB901-E842-4D81-8740-F1CBDF0BF3C4}"/>
    <cellStyle name="Style 83 3 3 2 2 3 3 2" xfId="33218" xr:uid="{F4BABE01-5AFF-469C-86E7-DC8DE52AF8D2}"/>
    <cellStyle name="Style 83 3 3 2 2 4" xfId="14503" xr:uid="{54283520-FE97-488A-B0E2-1AD7EDFB8C63}"/>
    <cellStyle name="Style 83 3 3 2 2 4 2" xfId="14504" xr:uid="{C08A359A-CEDB-4EC9-B5A6-6F5BF111B311}"/>
    <cellStyle name="Style 83 3 3 2 2 4 2 2" xfId="33219" xr:uid="{1712DF36-4971-4FA9-BDED-0B52EDB8B780}"/>
    <cellStyle name="Style 83 3 3 2 2 5" xfId="14505" xr:uid="{7DBFB7E9-040D-4E2E-B637-12A0425D4459}"/>
    <cellStyle name="Style 83 3 3 2 2 5 2" xfId="33220" xr:uid="{1F90D480-7E80-43D4-A7A0-9E96658D96B0}"/>
    <cellStyle name="Style 83 3 3 2 2 6" xfId="14506" xr:uid="{BC929FBB-6CB3-490A-9533-B23873B8354C}"/>
    <cellStyle name="Style 83 3 3 2 2 6 2" xfId="33221" xr:uid="{999B20DA-904A-4710-A8DC-486AA56A1D14}"/>
    <cellStyle name="Style 83 3 3 2 2 7" xfId="14507" xr:uid="{A8D943A1-469E-4D25-95CD-A04E50D160B9}"/>
    <cellStyle name="Style 83 3 3 2 2 7 2" xfId="33222" xr:uid="{D58501F4-63E3-4C22-9AE6-5E6D3D56687B}"/>
    <cellStyle name="Style 83 3 3 2 2 8" xfId="14508" xr:uid="{E28F8E8A-98B3-42DD-980B-DC85A030AEC3}"/>
    <cellStyle name="Style 83 3 3 2 2 8 2" xfId="33223" xr:uid="{425A048E-A415-474C-9FAC-A27344DAAF9C}"/>
    <cellStyle name="Style 83 3 3 2 2 9" xfId="14509" xr:uid="{03FCF709-68E9-459E-B1D2-1B70C7B07785}"/>
    <cellStyle name="Style 83 3 3 2 2 9 2" xfId="33224" xr:uid="{FC8D396A-A263-494B-8AA9-CFBC4C689C87}"/>
    <cellStyle name="Style 83 3 3 2 3" xfId="3517" xr:uid="{D3B5E928-F32B-4FFE-A707-07FA222B70DD}"/>
    <cellStyle name="Style 83 3 3 2 3 10" xfId="14510" xr:uid="{B07A4DD2-DD67-452F-8AC5-7B7EA7275379}"/>
    <cellStyle name="Style 83 3 3 2 3 10 2" xfId="33225" xr:uid="{3CAE6D29-7824-4E18-A9CD-2B839C2BCF28}"/>
    <cellStyle name="Style 83 3 3 2 3 11" xfId="14511" xr:uid="{10A46530-912E-4218-83FC-28C9BE8F3131}"/>
    <cellStyle name="Style 83 3 3 2 3 11 2" xfId="33226" xr:uid="{21F8A9E3-7947-489A-B611-600A576242ED}"/>
    <cellStyle name="Style 83 3 3 2 3 12" xfId="14512" xr:uid="{2538C499-E0B0-4963-ABF3-76D2F5FBD03F}"/>
    <cellStyle name="Style 83 3 3 2 3 12 2" xfId="33227" xr:uid="{77F0B005-3147-4B7F-A982-0CAF638D62DD}"/>
    <cellStyle name="Style 83 3 3 2 3 2" xfId="7127" xr:uid="{232F8B99-B6F5-4D93-BE72-4425BE588467}"/>
    <cellStyle name="Style 83 3 3 2 3 2 2" xfId="14513" xr:uid="{46E04361-89E7-4734-9CF2-4DB38FBAF6F2}"/>
    <cellStyle name="Style 83 3 3 2 3 2 2 2" xfId="33228" xr:uid="{D10D19DD-C16B-4EC2-9425-62AA110EA527}"/>
    <cellStyle name="Style 83 3 3 2 3 2 3" xfId="14514" xr:uid="{C4CFAF56-33BE-4069-99DF-C35FEFDE520D}"/>
    <cellStyle name="Style 83 3 3 2 3 2 3 2" xfId="33229" xr:uid="{A3F3FE28-DEA4-4376-8B75-2B83F5B1DE97}"/>
    <cellStyle name="Style 83 3 3 2 3 3" xfId="14515" xr:uid="{C102E20A-32F0-4E0E-9779-C0986CB5DBFC}"/>
    <cellStyle name="Style 83 3 3 2 3 3 2" xfId="14516" xr:uid="{D309B2FB-EDC0-49C7-B434-3C5D7FD28DC0}"/>
    <cellStyle name="Style 83 3 3 2 3 3 2 2" xfId="33230" xr:uid="{ECEC938D-EC69-417B-82B3-EE94A72AC9CB}"/>
    <cellStyle name="Style 83 3 3 2 3 4" xfId="14517" xr:uid="{0567F2BC-7027-47D3-BEC2-AF2040938EBA}"/>
    <cellStyle name="Style 83 3 3 2 3 4 2" xfId="33231" xr:uid="{F9706B34-CE5F-4D0A-809A-7BC41CBECBC1}"/>
    <cellStyle name="Style 83 3 3 2 3 5" xfId="14518" xr:uid="{94C8433C-F01A-44AC-99B7-1868DD51D280}"/>
    <cellStyle name="Style 83 3 3 2 3 5 2" xfId="33232" xr:uid="{A9DEB89F-40AA-4511-A848-B43D3665EB74}"/>
    <cellStyle name="Style 83 3 3 2 3 6" xfId="14519" xr:uid="{A7202CB3-0DE1-476E-9F39-B15C068EC558}"/>
    <cellStyle name="Style 83 3 3 2 3 6 2" xfId="33233" xr:uid="{F840A859-BA1D-4CA7-BE71-8CFF53EB8714}"/>
    <cellStyle name="Style 83 3 3 2 3 7" xfId="14520" xr:uid="{3AAD3F01-19F5-4E57-B5A9-28B07CAC6D5F}"/>
    <cellStyle name="Style 83 3 3 2 3 7 2" xfId="33234" xr:uid="{A9BB52E0-621E-434B-88AB-780C6EB777C8}"/>
    <cellStyle name="Style 83 3 3 2 3 8" xfId="14521" xr:uid="{0CBE118A-808F-4A5B-B124-7DF7F49839C5}"/>
    <cellStyle name="Style 83 3 3 2 3 8 2" xfId="33235" xr:uid="{36CD46CF-B028-4681-800A-BC60D2344E4C}"/>
    <cellStyle name="Style 83 3 3 2 3 9" xfId="14522" xr:uid="{DE15B838-C2CE-4571-8FA8-E6D1EDAE0D7A}"/>
    <cellStyle name="Style 83 3 3 2 3 9 2" xfId="33236" xr:uid="{0897CBA0-117E-400D-81BB-A03B13AE78C9}"/>
    <cellStyle name="Style 83 3 3 2 4" xfId="7124" xr:uid="{2096E609-5FF5-43A4-B818-EE805E73D3D7}"/>
    <cellStyle name="Style 83 3 3 2 4 2" xfId="14523" xr:uid="{CCC9222B-F6D9-472D-948C-0CF0F2A68ACA}"/>
    <cellStyle name="Style 83 3 3 2 4 2 2" xfId="33237" xr:uid="{38895DB6-2637-4872-A5F0-B1C682FCA00B}"/>
    <cellStyle name="Style 83 3 3 2 4 3" xfId="14524" xr:uid="{5D2389F0-7805-41BC-8596-92EEAC8E7989}"/>
    <cellStyle name="Style 83 3 3 2 4 3 2" xfId="33238" xr:uid="{31AC1A77-A6B3-4C93-8DC6-9CED2A5B72A5}"/>
    <cellStyle name="Style 83 3 3 2 5" xfId="14525" xr:uid="{481E8EEA-BBE2-49D4-9A1F-EB421F978C3A}"/>
    <cellStyle name="Style 83 3 3 2 5 2" xfId="14526" xr:uid="{86D4B4E5-D613-427A-BA37-4C5E1AF09D28}"/>
    <cellStyle name="Style 83 3 3 2 5 2 2" xfId="33239" xr:uid="{91FE0901-8D33-4044-9199-4EF92C0100FF}"/>
    <cellStyle name="Style 83 3 3 2 6" xfId="14527" xr:uid="{791C9B39-4526-4018-BD45-BB8A85EC8400}"/>
    <cellStyle name="Style 83 3 3 2 6 2" xfId="33240" xr:uid="{FA7ABBD6-78FE-4098-AD4C-F09E621BB001}"/>
    <cellStyle name="Style 83 3 3 2 7" xfId="14528" xr:uid="{2505DBDF-EFBC-464E-82BC-A85A1116B68E}"/>
    <cellStyle name="Style 83 3 3 2 7 2" xfId="33241" xr:uid="{5E2289A7-CD0E-4E2E-9815-A2395370E93D}"/>
    <cellStyle name="Style 83 3 3 2 8" xfId="14529" xr:uid="{BD6CE885-6750-4572-B19F-47E3464F397D}"/>
    <cellStyle name="Style 83 3 3 2 8 2" xfId="33242" xr:uid="{A2992ABE-0F2C-40F5-868D-D3FB8C6AC5F1}"/>
    <cellStyle name="Style 83 3 3 2 9" xfId="14530" xr:uid="{D172CC05-B000-472F-9165-B23A0BD3AA41}"/>
    <cellStyle name="Style 83 3 3 2 9 2" xfId="33243" xr:uid="{E07CC6F4-B364-44AA-A2EE-9E5C382149EA}"/>
    <cellStyle name="Style 83 3 3 3" xfId="3518" xr:uid="{9E1215B6-D3B6-46DB-B5E0-E50923990116}"/>
    <cellStyle name="Style 83 3 3 3 10" xfId="14531" xr:uid="{5D28F546-F482-4736-8755-3528D8A35FEC}"/>
    <cellStyle name="Style 83 3 3 3 10 2" xfId="33244" xr:uid="{70CFEB07-0D1F-4CF8-B76E-FE5C5FB94DBF}"/>
    <cellStyle name="Style 83 3 3 3 11" xfId="14532" xr:uid="{3CEEED49-DD2F-4DA3-A1DD-652003A9E270}"/>
    <cellStyle name="Style 83 3 3 3 11 2" xfId="33245" xr:uid="{401B8437-4F56-48A9-BBEF-DC00CE751858}"/>
    <cellStyle name="Style 83 3 3 3 12" xfId="14533" xr:uid="{255CD10E-B30D-44A3-98CF-F2A9BDCC2A56}"/>
    <cellStyle name="Style 83 3 3 3 12 2" xfId="33246" xr:uid="{197E0353-6C93-410E-8D01-4203855E1ED0}"/>
    <cellStyle name="Style 83 3 3 3 13" xfId="14534" xr:uid="{235B764F-2B32-4BB9-B3BD-968F8E686CAA}"/>
    <cellStyle name="Style 83 3 3 3 13 2" xfId="33247" xr:uid="{627779EB-30FE-4505-AA67-E5F661FD07AD}"/>
    <cellStyle name="Style 83 3 3 3 2" xfId="7129" xr:uid="{D5307F2A-3EB3-4EB4-865B-567317BA4BA1}"/>
    <cellStyle name="Style 83 3 3 3 2 2" xfId="14535" xr:uid="{D0B8804B-E402-4EF3-A400-0A40ABBC5F24}"/>
    <cellStyle name="Style 83 3 3 3 2 2 2" xfId="33248" xr:uid="{E8A25528-E489-4E76-95CD-757441598CE7}"/>
    <cellStyle name="Style 83 3 3 3 2 3" xfId="14536" xr:uid="{108FA566-7A6D-42CE-A390-B364C2A33DBA}"/>
    <cellStyle name="Style 83 3 3 3 2 3 2" xfId="33249" xr:uid="{8A52DB7E-F309-4F79-8628-22BA6AD81A98}"/>
    <cellStyle name="Style 83 3 3 3 3" xfId="7128" xr:uid="{C4847F7B-3FC1-410F-B9AA-5F84653BA0A2}"/>
    <cellStyle name="Style 83 3 3 3 3 2" xfId="14537" xr:uid="{4ADE8AC3-6985-457F-B117-DD0BD19D1765}"/>
    <cellStyle name="Style 83 3 3 3 3 2 2" xfId="33250" xr:uid="{CCD9E52A-20EF-45F8-86B9-B546EFDAB96B}"/>
    <cellStyle name="Style 83 3 3 3 4" xfId="14538" xr:uid="{9902E578-71D6-4F78-AB93-F9EF07BF9B0A}"/>
    <cellStyle name="Style 83 3 3 3 4 2" xfId="14539" xr:uid="{103E75B8-3905-475A-9EEA-90E5868BD766}"/>
    <cellStyle name="Style 83 3 3 3 4 2 2" xfId="33251" xr:uid="{DB0414AC-8B85-4982-9E7E-CDD78482D947}"/>
    <cellStyle name="Style 83 3 3 3 5" xfId="14540" xr:uid="{FA7D9C9F-E4C4-4732-944E-043F316281EF}"/>
    <cellStyle name="Style 83 3 3 3 5 2" xfId="33252" xr:uid="{BCAEE309-1675-4B5F-B11F-A54EAA42E935}"/>
    <cellStyle name="Style 83 3 3 3 6" xfId="14541" xr:uid="{2DBA4CE1-1C96-470B-8611-6CF9A2E132FC}"/>
    <cellStyle name="Style 83 3 3 3 6 2" xfId="33253" xr:uid="{BC4B253D-6AF4-4F87-B4D1-876CCDF9C467}"/>
    <cellStyle name="Style 83 3 3 3 7" xfId="14542" xr:uid="{750255D7-D370-4FE7-BBFE-A02C13F5C2E8}"/>
    <cellStyle name="Style 83 3 3 3 7 2" xfId="33254" xr:uid="{31D33116-546C-414A-919D-8B9822939FF6}"/>
    <cellStyle name="Style 83 3 3 3 8" xfId="14543" xr:uid="{22E7DB8C-20A6-41FD-8E83-199CBE7E3DED}"/>
    <cellStyle name="Style 83 3 3 3 8 2" xfId="33255" xr:uid="{63932161-6873-4192-AE23-10B0F2FB3163}"/>
    <cellStyle name="Style 83 3 3 3 9" xfId="14544" xr:uid="{1BB623CE-0602-4F25-ACFA-077BA57B8921}"/>
    <cellStyle name="Style 83 3 3 3 9 2" xfId="33256" xr:uid="{B3EF6C39-0D5F-4282-BC93-6C7169B99317}"/>
    <cellStyle name="Style 83 3 3 4" xfId="7130" xr:uid="{4D473ADE-654D-4037-8490-56B14DE0C02E}"/>
    <cellStyle name="Style 83 3 3 4 2" xfId="14545" xr:uid="{E1BF2DAA-3159-4CD8-8B38-D331FDED375B}"/>
    <cellStyle name="Style 83 3 3 4 2 2" xfId="33257" xr:uid="{5C7BD949-64AB-44E2-92C6-D96D8B060C59}"/>
    <cellStyle name="Style 83 3 3 4 3" xfId="14546" xr:uid="{9CEC72FE-A819-4EA2-BAAB-10604DE94485}"/>
    <cellStyle name="Style 83 3 3 4 3 2" xfId="33258" xr:uid="{F273C402-288C-4423-AF71-6EF81049E459}"/>
    <cellStyle name="Style 83 3 3 5" xfId="7131" xr:uid="{E895E504-3631-4190-B50B-2BC061C74153}"/>
    <cellStyle name="Style 83 3 3 5 2" xfId="14547" xr:uid="{99F360D9-4F58-4966-8296-46EA574C4209}"/>
    <cellStyle name="Style 83 3 3 5 2 2" xfId="33259" xr:uid="{3AAA0F54-651B-4AE1-8AA6-8E4F5EBBAC13}"/>
    <cellStyle name="Style 83 3 3 6" xfId="7123" xr:uid="{40C4073A-22ED-4B8A-BBE6-B8593E690E99}"/>
    <cellStyle name="Style 83 3 3 6 2" xfId="14548" xr:uid="{3AA7140A-DCFD-4541-8074-ADC65FEF6A63}"/>
    <cellStyle name="Style 83 3 3 6 2 2" xfId="33260" xr:uid="{2FCAE3D5-915A-42D9-9F4A-5A9CA14B11B1}"/>
    <cellStyle name="Style 83 3 3 7" xfId="14549" xr:uid="{8779B55A-1D18-4BD8-8603-F5A23032AE7E}"/>
    <cellStyle name="Style 83 3 3 7 2" xfId="14550" xr:uid="{4F61C090-75A6-4501-B054-672D803FFC7F}"/>
    <cellStyle name="Style 83 3 3 7 2 2" xfId="33261" xr:uid="{23714AF9-798A-4CC3-BDAE-774C89F8BD33}"/>
    <cellStyle name="Style 83 3 3 8" xfId="14551" xr:uid="{18291979-6E8E-4F50-BCE1-DF07B10E36BD}"/>
    <cellStyle name="Style 83 3 3 8 2" xfId="33262" xr:uid="{C696D95E-D251-4896-8C12-84D305D8B962}"/>
    <cellStyle name="Style 83 3 3 9" xfId="14552" xr:uid="{B63BBCDD-2CA7-418A-9C72-6D174C608D2E}"/>
    <cellStyle name="Style 83 3 3 9 2" xfId="33263" xr:uid="{5391852D-59A5-4E7E-82BC-1EBEDFB8A739}"/>
    <cellStyle name="Style 83 3 4" xfId="3519" xr:uid="{ED927C2A-FF78-4A28-AC80-4C46E2FF4443}"/>
    <cellStyle name="Style 83 3 4 10" xfId="14553" xr:uid="{D3BA1B34-E774-42DC-BE6D-EDD0D04489F5}"/>
    <cellStyle name="Style 83 3 4 10 2" xfId="33264" xr:uid="{3A4756A1-7D84-4073-8F44-D75CBA8AA410}"/>
    <cellStyle name="Style 83 3 4 11" xfId="14554" xr:uid="{6141F647-EA37-4BCD-91A2-DF4C6A46C95E}"/>
    <cellStyle name="Style 83 3 4 11 2" xfId="33265" xr:uid="{F6DC0C49-88D0-4A24-BE2A-1AC347913E53}"/>
    <cellStyle name="Style 83 3 4 12" xfId="14555" xr:uid="{803F5B69-312E-41AD-9971-9BE2A43BECF7}"/>
    <cellStyle name="Style 83 3 4 12 2" xfId="33266" xr:uid="{7EB2FE33-70BA-4860-8A07-BC316FE8EFD5}"/>
    <cellStyle name="Style 83 3 4 13" xfId="14556" xr:uid="{7F01118B-5924-42A1-B712-D88EE82EC2B3}"/>
    <cellStyle name="Style 83 3 4 13 2" xfId="33267" xr:uid="{7D5F8184-EAF6-4DCC-9D9C-3383E530C137}"/>
    <cellStyle name="Style 83 3 4 14" xfId="14557" xr:uid="{FCCC4D8A-C562-42CC-B845-BC3A04CFBE9F}"/>
    <cellStyle name="Style 83 3 4 14 2" xfId="33268" xr:uid="{FAEDD04C-B4BE-4F63-9FF5-FD6A30870BD8}"/>
    <cellStyle name="Style 83 3 4 2" xfId="3520" xr:uid="{C2444521-7029-4E21-A0A0-347D3D3538C7}"/>
    <cellStyle name="Style 83 3 4 2 10" xfId="14558" xr:uid="{25417856-BE6C-4A97-A7B0-2CE9DE4BBD96}"/>
    <cellStyle name="Style 83 3 4 2 10 2" xfId="33269" xr:uid="{4ED3A870-A8BA-4634-AE4A-91F2798E71CF}"/>
    <cellStyle name="Style 83 3 4 2 11" xfId="14559" xr:uid="{4E8D8944-D328-4EAD-A724-B4E3BEA72EFF}"/>
    <cellStyle name="Style 83 3 4 2 11 2" xfId="33270" xr:uid="{A9E5A1B1-6317-4860-B8C2-2A211B7244B0}"/>
    <cellStyle name="Style 83 3 4 2 12" xfId="14560" xr:uid="{990CFE66-C991-48D0-8213-9918F25CB2C8}"/>
    <cellStyle name="Style 83 3 4 2 12 2" xfId="33271" xr:uid="{A484C383-722C-427A-B94A-5DBF5064E317}"/>
    <cellStyle name="Style 83 3 4 2 2" xfId="7133" xr:uid="{80767314-9170-48AD-A7A9-A65AE9958AD1}"/>
    <cellStyle name="Style 83 3 4 2 2 2" xfId="14561" xr:uid="{9CC17026-06B3-4BBA-B7CA-487649490600}"/>
    <cellStyle name="Style 83 3 4 2 2 2 2" xfId="33272" xr:uid="{DE8DC11D-39CC-49FD-82AE-5F322CE58066}"/>
    <cellStyle name="Style 83 3 4 2 2 3" xfId="14562" xr:uid="{5B3B869F-844B-4364-A7F0-AC01B6593A9C}"/>
    <cellStyle name="Style 83 3 4 2 2 3 2" xfId="33273" xr:uid="{100880CF-CE27-4DEF-B6DF-B703B03BB13C}"/>
    <cellStyle name="Style 83 3 4 2 3" xfId="14563" xr:uid="{1897EE3A-7CE5-4E3A-85B8-2A341D0E8F5E}"/>
    <cellStyle name="Style 83 3 4 2 3 2" xfId="14564" xr:uid="{9F1F99D9-63DE-4074-9A74-0496885E3ED2}"/>
    <cellStyle name="Style 83 3 4 2 3 2 2" xfId="33274" xr:uid="{1703F696-244A-43E4-9260-D5C3CFD0CA10}"/>
    <cellStyle name="Style 83 3 4 2 4" xfId="14565" xr:uid="{22DCF764-EB29-49D4-82AF-016931D43E05}"/>
    <cellStyle name="Style 83 3 4 2 4 2" xfId="33275" xr:uid="{01DF4485-3510-454D-90A6-49B233499581}"/>
    <cellStyle name="Style 83 3 4 2 5" xfId="14566" xr:uid="{3382C3C9-CE97-4D4E-B2C8-4D4897BEE4CC}"/>
    <cellStyle name="Style 83 3 4 2 5 2" xfId="33276" xr:uid="{DCF5AADC-4029-4F8C-BC52-0562D29F14BC}"/>
    <cellStyle name="Style 83 3 4 2 6" xfId="14567" xr:uid="{4C2804F4-6A9D-481F-8FCA-50B5A3F56041}"/>
    <cellStyle name="Style 83 3 4 2 6 2" xfId="33277" xr:uid="{34F0C4E4-D15F-42B1-B61A-EB8C744D31C5}"/>
    <cellStyle name="Style 83 3 4 2 7" xfId="14568" xr:uid="{8F468DAF-6E71-45B1-8169-31E2CBB9F23D}"/>
    <cellStyle name="Style 83 3 4 2 7 2" xfId="33278" xr:uid="{72216F5A-A855-4512-80EF-6CCE76AF340D}"/>
    <cellStyle name="Style 83 3 4 2 8" xfId="14569" xr:uid="{7FAE17E8-13C7-48EC-9D95-B0382F465B21}"/>
    <cellStyle name="Style 83 3 4 2 8 2" xfId="33279" xr:uid="{0940DF99-E0A0-48B8-A870-AA12FCB4D642}"/>
    <cellStyle name="Style 83 3 4 2 9" xfId="14570" xr:uid="{F41EE9C5-56C4-478E-AEC5-4379C81803B1}"/>
    <cellStyle name="Style 83 3 4 2 9 2" xfId="33280" xr:uid="{4A756614-F28A-40AA-9E01-B02A0471EA2E}"/>
    <cellStyle name="Style 83 3 4 3" xfId="7132" xr:uid="{60834225-E912-4E08-AF50-F66512227D9C}"/>
    <cellStyle name="Style 83 3 4 3 2" xfId="14571" xr:uid="{F5F970FC-CBCB-43B2-A23D-E6BF3789E66A}"/>
    <cellStyle name="Style 83 3 4 3 2 2" xfId="33281" xr:uid="{061C83CC-244A-49C2-AE32-E880B6FC485E}"/>
    <cellStyle name="Style 83 3 4 3 3" xfId="14572" xr:uid="{581BA2A8-AAD9-4D1B-B601-735125654C43}"/>
    <cellStyle name="Style 83 3 4 3 3 2" xfId="33282" xr:uid="{485D812E-4F12-4FAE-A640-AAE17B352C88}"/>
    <cellStyle name="Style 83 3 4 4" xfId="14573" xr:uid="{91DB2AF2-AEC9-4A11-A6AB-3AB9DC6AE0C5}"/>
    <cellStyle name="Style 83 3 4 4 2" xfId="14574" xr:uid="{CB673A58-76E3-4658-94A7-954F58899334}"/>
    <cellStyle name="Style 83 3 4 4 2 2" xfId="33283" xr:uid="{74CA49C1-AE45-47B4-BE8E-1838C6E3AD21}"/>
    <cellStyle name="Style 83 3 4 5" xfId="14575" xr:uid="{1206F910-D62C-40DA-9778-B6FA566CC860}"/>
    <cellStyle name="Style 83 3 4 5 2" xfId="33284" xr:uid="{8F0BF3E1-6231-4DEA-A292-33963DA4DFAF}"/>
    <cellStyle name="Style 83 3 4 6" xfId="14576" xr:uid="{A88BE129-9250-41A1-AF43-1F66C38EF0CC}"/>
    <cellStyle name="Style 83 3 4 6 2" xfId="33285" xr:uid="{05084C84-7A03-432C-A7C7-70321A699F3F}"/>
    <cellStyle name="Style 83 3 4 7" xfId="14577" xr:uid="{958A4512-838D-4DAE-8DAE-58130129EF24}"/>
    <cellStyle name="Style 83 3 4 7 2" xfId="33286" xr:uid="{711CE1BC-2E27-49DC-B3EF-EE4F3F6A80B9}"/>
    <cellStyle name="Style 83 3 4 8" xfId="14578" xr:uid="{0D09065E-3F5E-4D1A-BCC3-98EDC756F008}"/>
    <cellStyle name="Style 83 3 4 8 2" xfId="33287" xr:uid="{69185D1F-9403-4366-8CD4-613295B4744A}"/>
    <cellStyle name="Style 83 3 4 9" xfId="14579" xr:uid="{DF3BA7CB-9128-4A00-A087-DAFCB2163268}"/>
    <cellStyle name="Style 83 3 4 9 2" xfId="33288" xr:uid="{E6AD4A52-9700-4694-B6C2-07B6ECCAA694}"/>
    <cellStyle name="Style 83 3 5" xfId="3521" xr:uid="{A8AD6D99-1E7F-405F-8E6E-3C5BFEB2F3AF}"/>
    <cellStyle name="Style 83 3 5 10" xfId="14580" xr:uid="{551FECF3-4056-4AB7-A65F-351CDCFA1EE5}"/>
    <cellStyle name="Style 83 3 5 10 2" xfId="33289" xr:uid="{E19FA977-C076-4318-84F6-B6E25672D71E}"/>
    <cellStyle name="Style 83 3 5 11" xfId="14581" xr:uid="{4EBEB2D7-E464-4E84-A751-A37FF8295100}"/>
    <cellStyle name="Style 83 3 5 11 2" xfId="33290" xr:uid="{13B2B6C8-43CF-4A08-A794-0D79D754734D}"/>
    <cellStyle name="Style 83 3 5 12" xfId="14582" xr:uid="{BB7639B0-43CE-4C54-BF8B-B3CD2AE637C3}"/>
    <cellStyle name="Style 83 3 5 12 2" xfId="33291" xr:uid="{2F306580-6D51-4E10-AF7F-852207F366D0}"/>
    <cellStyle name="Style 83 3 5 13" xfId="14583" xr:uid="{E91F5AA5-27A5-4FE5-A1DA-5ABA98E87621}"/>
    <cellStyle name="Style 83 3 5 13 2" xfId="33292" xr:uid="{A8882E3A-FB69-4A7F-9259-1B20F64F6E06}"/>
    <cellStyle name="Style 83 3 5 2" xfId="7134" xr:uid="{63F8B800-9C45-44A0-A812-D41E9F5D4ED7}"/>
    <cellStyle name="Style 83 3 5 2 2" xfId="14584" xr:uid="{C741573D-7FB8-4F31-BEA3-E9B4058D8155}"/>
    <cellStyle name="Style 83 3 5 2 2 2" xfId="33293" xr:uid="{5B81A072-3119-4F5A-9450-99EC891AFD68}"/>
    <cellStyle name="Style 83 3 5 2 3" xfId="14585" xr:uid="{40FC7A83-6CA4-4881-B6AE-443A1F1A4DCD}"/>
    <cellStyle name="Style 83 3 5 2 3 2" xfId="33294" xr:uid="{DD72B29A-FEC6-4DCC-B1AD-F538E46A7745}"/>
    <cellStyle name="Style 83 3 5 3" xfId="14586" xr:uid="{94D3DC52-0CC8-49DD-9993-40E24F370A0D}"/>
    <cellStyle name="Style 83 3 5 3 2" xfId="14587" xr:uid="{C74DA2AD-7631-4652-A8FD-B657A5266D6B}"/>
    <cellStyle name="Style 83 3 5 3 2 2" xfId="33295" xr:uid="{2AC1AE63-FE07-4C6C-AEB1-683225483CE4}"/>
    <cellStyle name="Style 83 3 5 4" xfId="14588" xr:uid="{6F7BD217-AE73-434F-B4F9-C6C565C3C55C}"/>
    <cellStyle name="Style 83 3 5 4 2" xfId="33296" xr:uid="{3408295B-CD5C-4C79-8F5D-4C94FFDC5F86}"/>
    <cellStyle name="Style 83 3 5 5" xfId="14589" xr:uid="{1C97E19C-968B-4EDE-B997-5C8F2985B4B5}"/>
    <cellStyle name="Style 83 3 5 5 2" xfId="33297" xr:uid="{D1745E23-FBE2-4D1B-A604-397B78160217}"/>
    <cellStyle name="Style 83 3 5 6" xfId="14590" xr:uid="{5550DADF-F456-4165-B141-0BD662CF537C}"/>
    <cellStyle name="Style 83 3 5 6 2" xfId="33298" xr:uid="{454FB48C-4C6E-4C43-AF4E-B7454D16A699}"/>
    <cellStyle name="Style 83 3 5 7" xfId="14591" xr:uid="{C7C8118B-0DF0-4512-A519-9E139633A78A}"/>
    <cellStyle name="Style 83 3 5 7 2" xfId="33299" xr:uid="{9325A6E2-A78F-4C17-A1BF-41023D5715D4}"/>
    <cellStyle name="Style 83 3 5 8" xfId="14592" xr:uid="{6E4D9DB1-B15F-4A76-8FE6-AD6D4571BE23}"/>
    <cellStyle name="Style 83 3 5 8 2" xfId="33300" xr:uid="{5FABA587-C6F5-4E79-BAA3-C34D4ABD46B4}"/>
    <cellStyle name="Style 83 3 5 9" xfId="14593" xr:uid="{8D17FC30-20FE-4F04-97A2-789CA147E52B}"/>
    <cellStyle name="Style 83 3 5 9 2" xfId="33301" xr:uid="{9C9641D4-30D1-44E1-8B5A-24668E064726}"/>
    <cellStyle name="Style 83 3 6" xfId="7135" xr:uid="{6C8CB6D5-87B5-4379-8A8C-3D6A19FB8929}"/>
    <cellStyle name="Style 83 3 6 2" xfId="14594" xr:uid="{5ABF2993-1396-4D96-846F-B1F34964F6AB}"/>
    <cellStyle name="Style 83 3 6 2 2" xfId="33302" xr:uid="{6089FB64-387D-44A8-874A-B5434086DB1B}"/>
    <cellStyle name="Style 83 3 6 3" xfId="14595" xr:uid="{88C61B81-18AD-492F-B739-71E152140406}"/>
    <cellStyle name="Style 83 3 6 3 2" xfId="33303" xr:uid="{E76653A0-1D49-4EAB-B7E3-DFCE00537C49}"/>
    <cellStyle name="Style 83 3 7" xfId="7114" xr:uid="{B49371E4-C537-4D5A-A591-AB18DEC82204}"/>
    <cellStyle name="Style 83 3 7 2" xfId="14596" xr:uid="{6C484E76-6B3A-4959-88C6-DF733E8B144E}"/>
    <cellStyle name="Style 83 3 7 2 2" xfId="33304" xr:uid="{09319E9A-E76E-45F4-B718-865A281820A9}"/>
    <cellStyle name="Style 83 3 8" xfId="14597" xr:uid="{92A5FEEF-592B-4BA6-8030-C9B0F5760A39}"/>
    <cellStyle name="Style 83 3 8 2" xfId="14598" xr:uid="{0BAAB6C9-07AD-41DD-93BC-AB384AC2A615}"/>
    <cellStyle name="Style 83 3 8 2 2" xfId="33305" xr:uid="{D2A3D159-6E7C-4B73-951C-1323631A35EF}"/>
    <cellStyle name="Style 83 3 9" xfId="14599" xr:uid="{53B1B3DB-0065-49F5-8830-1C4D7AB64754}"/>
    <cellStyle name="Style 83 3 9 2" xfId="33306" xr:uid="{3D4D00FE-2818-406E-B656-422128ADE5BB}"/>
    <cellStyle name="Style 83 4" xfId="3522" xr:uid="{1F22E18A-5672-4561-8C26-8B5610C6E7B1}"/>
    <cellStyle name="Style 83 4 10" xfId="14600" xr:uid="{C43A12B4-2A09-4D96-BC44-48F4D411D2C5}"/>
    <cellStyle name="Style 83 4 10 2" xfId="33307" xr:uid="{F4E805BC-A49C-43E2-B2D3-F545532116F7}"/>
    <cellStyle name="Style 83 4 11" xfId="14601" xr:uid="{C6460E65-701B-4850-8FB3-10344C3772AE}"/>
    <cellStyle name="Style 83 4 11 2" xfId="33308" xr:uid="{C34E2BCA-14DA-47DC-B7C7-0553705212D8}"/>
    <cellStyle name="Style 83 4 12" xfId="14602" xr:uid="{33D09964-9CBE-449D-96C8-3D6A410D6A14}"/>
    <cellStyle name="Style 83 4 12 2" xfId="33309" xr:uid="{080BCF54-5723-4E56-BF26-B9710F1C8E1A}"/>
    <cellStyle name="Style 83 4 13" xfId="14603" xr:uid="{50A055BC-78E7-44E5-892A-0217FC4934FB}"/>
    <cellStyle name="Style 83 4 13 2" xfId="33310" xr:uid="{53DFA53F-5827-4BB6-B0F6-FE25C0169449}"/>
    <cellStyle name="Style 83 4 14" xfId="14604" xr:uid="{AEFC0210-CA39-42F9-B848-98CC431C9544}"/>
    <cellStyle name="Style 83 4 14 2" xfId="33311" xr:uid="{F6D55B22-90EA-47D9-90EF-04A1A7F8B553}"/>
    <cellStyle name="Style 83 4 15" xfId="14605" xr:uid="{26B50F06-59CC-406E-88BA-E2000677D941}"/>
    <cellStyle name="Style 83 4 15 2" xfId="33312" xr:uid="{723E8452-F019-4080-9FE1-9DCD330798A9}"/>
    <cellStyle name="Style 83 4 2" xfId="3523" xr:uid="{DFA77111-29A2-432F-9067-B0DEF05F4C3A}"/>
    <cellStyle name="Style 83 4 2 10" xfId="14606" xr:uid="{C0EC022C-2D6C-4EEE-9EC2-9EB39CE2CAF4}"/>
    <cellStyle name="Style 83 4 2 10 2" xfId="33313" xr:uid="{F6CF1E7D-06FE-4AD2-A2B8-BF04C908F67F}"/>
    <cellStyle name="Style 83 4 2 11" xfId="14607" xr:uid="{F630472B-B413-4CCD-8588-F3D6BBA988E5}"/>
    <cellStyle name="Style 83 4 2 11 2" xfId="33314" xr:uid="{21A4FA25-2215-4D6D-B5E1-3D10BEFD2A3A}"/>
    <cellStyle name="Style 83 4 2 12" xfId="14608" xr:uid="{4DD17A7C-E6D5-4E92-BE52-CB1A761B2F1C}"/>
    <cellStyle name="Style 83 4 2 12 2" xfId="33315" xr:uid="{FCD241DD-5282-4C42-9C98-F8E783C508C6}"/>
    <cellStyle name="Style 83 4 2 13" xfId="14609" xr:uid="{1CF41EE8-C72D-484B-B0B5-633FC8F14383}"/>
    <cellStyle name="Style 83 4 2 13 2" xfId="33316" xr:uid="{913FADC9-4E7F-451C-B406-B9C7767D4F91}"/>
    <cellStyle name="Style 83 4 2 14" xfId="14610" xr:uid="{5A360F65-2AF8-46BE-B27E-A7E146FF7513}"/>
    <cellStyle name="Style 83 4 2 14 2" xfId="33317" xr:uid="{F3C7986F-E40A-4580-B3E5-762C7C99482F}"/>
    <cellStyle name="Style 83 4 2 15" xfId="14611" xr:uid="{15947120-A1D6-4B7B-B5B9-9D7FDF38939F}"/>
    <cellStyle name="Style 83 4 2 15 2" xfId="33318" xr:uid="{30E219E6-6814-4433-A065-13B1182A62F3}"/>
    <cellStyle name="Style 83 4 2 2" xfId="3524" xr:uid="{D686AC98-D2DE-4C54-A2C3-CD11CD7C172E}"/>
    <cellStyle name="Style 83 4 2 2 10" xfId="14612" xr:uid="{1E9AE84E-6E26-497E-8594-F601235F6F6B}"/>
    <cellStyle name="Style 83 4 2 2 10 2" xfId="33319" xr:uid="{52B7C81F-5793-402B-B957-EBDCE47A2FD8}"/>
    <cellStyle name="Style 83 4 2 2 11" xfId="14613" xr:uid="{49F41B99-BE56-4C96-A282-53705CA76D78}"/>
    <cellStyle name="Style 83 4 2 2 11 2" xfId="33320" xr:uid="{EA8A96F8-BFBC-4B39-9305-F886C1FBE05D}"/>
    <cellStyle name="Style 83 4 2 2 12" xfId="14614" xr:uid="{19015B6D-B1CE-49D7-A2D2-C4DBD4C2CBE0}"/>
    <cellStyle name="Style 83 4 2 2 12 2" xfId="33321" xr:uid="{1A9F1724-2663-45BE-8E10-19C9A23770C5}"/>
    <cellStyle name="Style 83 4 2 2 13" xfId="14615" xr:uid="{A5CF8ED3-1A57-4A5B-85F0-B0067E4EC180}"/>
    <cellStyle name="Style 83 4 2 2 13 2" xfId="33322" xr:uid="{862CA716-5F28-4F49-8E2C-F8F284765EFA}"/>
    <cellStyle name="Style 83 4 2 2 14" xfId="14616" xr:uid="{5EBDAD2D-FE75-4540-9F73-F7362548C35F}"/>
    <cellStyle name="Style 83 4 2 2 14 2" xfId="33323" xr:uid="{B1760B9D-5F99-433E-A4AC-7CC20F9BC86F}"/>
    <cellStyle name="Style 83 4 2 2 2" xfId="3525" xr:uid="{75FEC5E9-50D7-4ACA-B21D-53055BA5E7AA}"/>
    <cellStyle name="Style 83 4 2 2 2 10" xfId="14617" xr:uid="{D95F59BA-A1D8-42A9-AAE5-6CF36DCC9301}"/>
    <cellStyle name="Style 83 4 2 2 2 10 2" xfId="33324" xr:uid="{D139E595-AD86-493E-ABD7-587C691CB78C}"/>
    <cellStyle name="Style 83 4 2 2 2 11" xfId="14618" xr:uid="{53E733F6-6255-4B35-8303-7FA914CBFBF5}"/>
    <cellStyle name="Style 83 4 2 2 2 11 2" xfId="33325" xr:uid="{8CA847CC-FFFD-4FCC-941C-708A45ADC938}"/>
    <cellStyle name="Style 83 4 2 2 2 12" xfId="14619" xr:uid="{8A25D68E-D294-4539-815E-8073A32E8051}"/>
    <cellStyle name="Style 83 4 2 2 2 12 2" xfId="33326" xr:uid="{93953C4B-2BB9-4063-AB07-627D91E9C5AC}"/>
    <cellStyle name="Style 83 4 2 2 2 2" xfId="7139" xr:uid="{77780BE7-DA68-4C38-8C8B-B905EDCB5A33}"/>
    <cellStyle name="Style 83 4 2 2 2 2 2" xfId="14620" xr:uid="{297F091C-E0E5-4F8C-83B0-879AEA0BFC9F}"/>
    <cellStyle name="Style 83 4 2 2 2 2 2 2" xfId="33327" xr:uid="{70246B0D-EF7C-4105-B15A-20ECBE60FBFF}"/>
    <cellStyle name="Style 83 4 2 2 2 2 3" xfId="14621" xr:uid="{9F438261-3CC3-4BD6-A937-CEAE5F4635D2}"/>
    <cellStyle name="Style 83 4 2 2 2 2 3 2" xfId="33328" xr:uid="{8C890A1E-4622-4D6F-B173-5FEE812869C1}"/>
    <cellStyle name="Style 83 4 2 2 2 3" xfId="14622" xr:uid="{9DBFBFCF-B1A9-4DD8-A5CC-7FE79ED47D0C}"/>
    <cellStyle name="Style 83 4 2 2 2 3 2" xfId="14623" xr:uid="{41823EDA-9B59-46A8-A756-95F631F0928A}"/>
    <cellStyle name="Style 83 4 2 2 2 3 2 2" xfId="33329" xr:uid="{96030908-39DF-4822-AA53-D17B94699673}"/>
    <cellStyle name="Style 83 4 2 2 2 4" xfId="14624" xr:uid="{AD81EC9F-A538-42C9-B725-23AC0B08A09F}"/>
    <cellStyle name="Style 83 4 2 2 2 4 2" xfId="33330" xr:uid="{6A5B465C-49F9-4155-BAAB-EBF15D609791}"/>
    <cellStyle name="Style 83 4 2 2 2 5" xfId="14625" xr:uid="{72EA5F3E-0102-4BE2-85CF-FBDEF5FC2E43}"/>
    <cellStyle name="Style 83 4 2 2 2 5 2" xfId="33331" xr:uid="{16359D74-A189-4B31-9FCA-52C940D1AA74}"/>
    <cellStyle name="Style 83 4 2 2 2 6" xfId="14626" xr:uid="{533EF354-1C04-4A16-9670-79F5DDB5D2E1}"/>
    <cellStyle name="Style 83 4 2 2 2 6 2" xfId="33332" xr:uid="{B9082B39-D2A4-4722-A55A-7D141B5B7A14}"/>
    <cellStyle name="Style 83 4 2 2 2 7" xfId="14627" xr:uid="{46E01211-9AE6-498D-8713-6356F431B595}"/>
    <cellStyle name="Style 83 4 2 2 2 7 2" xfId="33333" xr:uid="{E3A30245-E609-4719-ABF3-3ACB58491DAD}"/>
    <cellStyle name="Style 83 4 2 2 2 8" xfId="14628" xr:uid="{D34FF010-AED5-45DF-A23D-4D66111F70B6}"/>
    <cellStyle name="Style 83 4 2 2 2 8 2" xfId="33334" xr:uid="{18FC725A-BF62-45A7-9261-822B714234D4}"/>
    <cellStyle name="Style 83 4 2 2 2 9" xfId="14629" xr:uid="{4E20C744-71A3-44A3-AA90-250140FFC5FA}"/>
    <cellStyle name="Style 83 4 2 2 2 9 2" xfId="33335" xr:uid="{2A247A92-4DC2-415B-B7E5-BCF02AEB1303}"/>
    <cellStyle name="Style 83 4 2 2 3" xfId="7138" xr:uid="{09BC6162-DD5C-49A8-A342-1F974376D03E}"/>
    <cellStyle name="Style 83 4 2 2 3 2" xfId="14630" xr:uid="{A18C2117-7143-44CD-8C43-BB39C576790D}"/>
    <cellStyle name="Style 83 4 2 2 3 2 2" xfId="33336" xr:uid="{27282571-56DC-4D59-A346-B0EC03F53357}"/>
    <cellStyle name="Style 83 4 2 2 3 3" xfId="14631" xr:uid="{59F771D0-8712-48A2-92DA-9FE78B504DA4}"/>
    <cellStyle name="Style 83 4 2 2 3 3 2" xfId="33337" xr:uid="{F4EBED0F-505B-4455-BA0F-0F193B479AEE}"/>
    <cellStyle name="Style 83 4 2 2 4" xfId="14632" xr:uid="{BC61FA7A-6C96-404E-B670-A05EFC74E773}"/>
    <cellStyle name="Style 83 4 2 2 4 2" xfId="14633" xr:uid="{982CEDC7-2405-4BB0-8D46-AA85D8A48572}"/>
    <cellStyle name="Style 83 4 2 2 4 2 2" xfId="33338" xr:uid="{5CD8AA8A-A48C-407E-AF56-34822A00CCB4}"/>
    <cellStyle name="Style 83 4 2 2 5" xfId="14634" xr:uid="{5B7FB94F-3AD6-4255-9628-A8F2859B9C92}"/>
    <cellStyle name="Style 83 4 2 2 5 2" xfId="33339" xr:uid="{AF3922E0-F243-410D-BA7A-B9D377FB4EBC}"/>
    <cellStyle name="Style 83 4 2 2 6" xfId="14635" xr:uid="{CC1F2A58-C5E2-40A2-A52A-36E42284E702}"/>
    <cellStyle name="Style 83 4 2 2 6 2" xfId="33340" xr:uid="{81213BF2-9B41-4B43-92F0-8FA111018A96}"/>
    <cellStyle name="Style 83 4 2 2 7" xfId="14636" xr:uid="{1D5B639F-23AF-4429-81FF-4247A8B7ACC5}"/>
    <cellStyle name="Style 83 4 2 2 7 2" xfId="33341" xr:uid="{660B405F-CB3E-48E5-A7F9-B004C5277E07}"/>
    <cellStyle name="Style 83 4 2 2 8" xfId="14637" xr:uid="{CD0860F5-FE08-4208-B039-ED7391941C96}"/>
    <cellStyle name="Style 83 4 2 2 8 2" xfId="33342" xr:uid="{5D83D71A-B848-4739-9CD9-1B68F4DB01DF}"/>
    <cellStyle name="Style 83 4 2 2 9" xfId="14638" xr:uid="{1526B416-5BF2-479A-BD01-2C7A44AF5767}"/>
    <cellStyle name="Style 83 4 2 2 9 2" xfId="33343" xr:uid="{55BFD7BC-808D-4B7F-AD5E-7C192ADDEBEA}"/>
    <cellStyle name="Style 83 4 2 3" xfId="3526" xr:uid="{F684C648-7C6C-40E2-8F99-806B3FADBAEF}"/>
    <cellStyle name="Style 83 4 2 3 10" xfId="14639" xr:uid="{3F6B5895-3273-4301-B592-0CB54B682428}"/>
    <cellStyle name="Style 83 4 2 3 10 2" xfId="33344" xr:uid="{BC0A5F78-A7D0-40A3-B320-43BC6E2FC3AA}"/>
    <cellStyle name="Style 83 4 2 3 11" xfId="14640" xr:uid="{797E80F4-B8AF-4DC7-BBDB-2F5FC260DA2E}"/>
    <cellStyle name="Style 83 4 2 3 11 2" xfId="33345" xr:uid="{594B6279-EEF4-4C82-BB51-FC6E7B82EBB2}"/>
    <cellStyle name="Style 83 4 2 3 12" xfId="14641" xr:uid="{B2598C58-5438-4359-ABB5-D28C43F1D4C2}"/>
    <cellStyle name="Style 83 4 2 3 12 2" xfId="33346" xr:uid="{31658201-4F6E-476E-9595-16DB78A8E9A5}"/>
    <cellStyle name="Style 83 4 2 3 2" xfId="7140" xr:uid="{B0B47349-6275-4A37-95D6-9BE74A433B39}"/>
    <cellStyle name="Style 83 4 2 3 2 2" xfId="14642" xr:uid="{A5C23C00-36FA-4753-B0EF-5CD2FA7CE96D}"/>
    <cellStyle name="Style 83 4 2 3 2 2 2" xfId="33347" xr:uid="{0BDF7571-C753-4A26-8AE0-5F40693E9AF3}"/>
    <cellStyle name="Style 83 4 2 3 2 3" xfId="14643" xr:uid="{D6D3E408-C8FA-4DEF-BDE1-22800D1CC104}"/>
    <cellStyle name="Style 83 4 2 3 2 3 2" xfId="33348" xr:uid="{3398D204-AEBC-42A3-B6AA-DA9551F6061C}"/>
    <cellStyle name="Style 83 4 2 3 3" xfId="14644" xr:uid="{13680F20-53B2-4943-9A88-06FF086DDBCB}"/>
    <cellStyle name="Style 83 4 2 3 3 2" xfId="14645" xr:uid="{122EC1EC-D119-4BC0-95D7-7FACD2785D86}"/>
    <cellStyle name="Style 83 4 2 3 3 2 2" xfId="33349" xr:uid="{0610DA23-6504-4F98-A8E9-4A9948371D6C}"/>
    <cellStyle name="Style 83 4 2 3 4" xfId="14646" xr:uid="{EF11576C-5351-401A-A5FC-9093FDD63E3F}"/>
    <cellStyle name="Style 83 4 2 3 4 2" xfId="33350" xr:uid="{05132224-AD8D-4D73-A00C-A0970B990EDB}"/>
    <cellStyle name="Style 83 4 2 3 5" xfId="14647" xr:uid="{56946CBC-2A69-4390-AC2F-4354330EAD89}"/>
    <cellStyle name="Style 83 4 2 3 5 2" xfId="33351" xr:uid="{751FC333-B3E8-4C06-A89F-6EC989E93E39}"/>
    <cellStyle name="Style 83 4 2 3 6" xfId="14648" xr:uid="{6E88EB12-205A-4CCD-99D8-6DEA181897ED}"/>
    <cellStyle name="Style 83 4 2 3 6 2" xfId="33352" xr:uid="{2A05416F-CE8E-4AA1-BFAD-9499C535BCBD}"/>
    <cellStyle name="Style 83 4 2 3 7" xfId="14649" xr:uid="{C64A8DCF-FCFD-4C88-B76B-F12987A13F97}"/>
    <cellStyle name="Style 83 4 2 3 7 2" xfId="33353" xr:uid="{0F748287-DD18-4FF0-A9FB-62F3A3C01EC7}"/>
    <cellStyle name="Style 83 4 2 3 8" xfId="14650" xr:uid="{CDCC7195-9378-4EDD-84F0-0EA13938BFFE}"/>
    <cellStyle name="Style 83 4 2 3 8 2" xfId="33354" xr:uid="{5BFF8020-63A4-445E-B56F-762D678BE688}"/>
    <cellStyle name="Style 83 4 2 3 9" xfId="14651" xr:uid="{74040584-CE9C-453A-805C-9A83CA62047C}"/>
    <cellStyle name="Style 83 4 2 3 9 2" xfId="33355" xr:uid="{08BBDD7B-CB01-45C5-899F-E0AF5EA04CA8}"/>
    <cellStyle name="Style 83 4 2 4" xfId="7137" xr:uid="{3A076962-5F90-4DB9-BC97-54D9C945FF1F}"/>
    <cellStyle name="Style 83 4 2 4 2" xfId="14652" xr:uid="{E35CA0B9-21F7-4EA1-AEF7-36E71C797E58}"/>
    <cellStyle name="Style 83 4 2 4 2 2" xfId="33356" xr:uid="{AB9FAAE0-DA5F-49E1-8D1D-B5AABC349E8F}"/>
    <cellStyle name="Style 83 4 2 4 3" xfId="14653" xr:uid="{C96D7EB5-B592-4BEA-AC92-D0F5E384227D}"/>
    <cellStyle name="Style 83 4 2 4 3 2" xfId="33357" xr:uid="{931497D2-5CE8-4507-B201-7BD18AC6ACBE}"/>
    <cellStyle name="Style 83 4 2 5" xfId="14654" xr:uid="{1801729A-9E0C-483A-83CF-1F8020F5FEF4}"/>
    <cellStyle name="Style 83 4 2 5 2" xfId="14655" xr:uid="{0213A140-714C-4922-94FD-DDA09157F92B}"/>
    <cellStyle name="Style 83 4 2 5 2 2" xfId="33358" xr:uid="{A1C3848E-8DE8-4C83-AD96-795AF6A4EF6F}"/>
    <cellStyle name="Style 83 4 2 6" xfId="14656" xr:uid="{F4BCD83C-7573-41F4-8D14-9A2A6173B22A}"/>
    <cellStyle name="Style 83 4 2 6 2" xfId="33359" xr:uid="{242D2B56-C477-44FA-B133-C76CCD9C86EC}"/>
    <cellStyle name="Style 83 4 2 7" xfId="14657" xr:uid="{C4939F22-1D73-46E7-9FC5-2765FE82746F}"/>
    <cellStyle name="Style 83 4 2 7 2" xfId="33360" xr:uid="{6FED3680-EAA3-45C2-ADA0-3052CBBDFE37}"/>
    <cellStyle name="Style 83 4 2 8" xfId="14658" xr:uid="{8FED3E35-4C20-4A39-B90A-8A1303301CB3}"/>
    <cellStyle name="Style 83 4 2 8 2" xfId="33361" xr:uid="{3E8F9496-286F-4D7E-B0C2-053E3F525713}"/>
    <cellStyle name="Style 83 4 2 9" xfId="14659" xr:uid="{07CF7FB6-F450-4169-92C1-54AE6EA6CE9E}"/>
    <cellStyle name="Style 83 4 2 9 2" xfId="33362" xr:uid="{E18C6262-37F8-43EC-813C-89A16A648BDA}"/>
    <cellStyle name="Style 83 4 3" xfId="3527" xr:uid="{564955D5-2FEA-4A48-8CC1-A89692099894}"/>
    <cellStyle name="Style 83 4 3 10" xfId="14660" xr:uid="{786F3EC5-8827-49A7-8571-D4D59AEBFBFD}"/>
    <cellStyle name="Style 83 4 3 10 2" xfId="33363" xr:uid="{1AD8E406-5714-4BCF-A1F6-17F532A9DE27}"/>
    <cellStyle name="Style 83 4 3 11" xfId="14661" xr:uid="{95CF7848-C0A4-4427-A22B-682EB6682DBE}"/>
    <cellStyle name="Style 83 4 3 11 2" xfId="33364" xr:uid="{7DD72AD1-1203-423A-8176-A265B4DBC457}"/>
    <cellStyle name="Style 83 4 3 12" xfId="14662" xr:uid="{91182549-0277-49D6-8857-F439E4A6E6DB}"/>
    <cellStyle name="Style 83 4 3 12 2" xfId="33365" xr:uid="{7E3BD643-C8DE-4B2D-8980-C9E800E90314}"/>
    <cellStyle name="Style 83 4 3 13" xfId="14663" xr:uid="{FCDF045D-3132-4841-B980-C2E2799B8678}"/>
    <cellStyle name="Style 83 4 3 13 2" xfId="33366" xr:uid="{16754C24-5D81-4E70-82CB-CA0C5C1D4EE6}"/>
    <cellStyle name="Style 83 4 3 2" xfId="7142" xr:uid="{AA78B258-9F00-4E1D-9423-26818A3932ED}"/>
    <cellStyle name="Style 83 4 3 2 2" xfId="14664" xr:uid="{9293D363-3F5A-4660-8256-4EA17F60CB52}"/>
    <cellStyle name="Style 83 4 3 2 2 2" xfId="33367" xr:uid="{00DC97C4-A9E6-4E95-9895-129189B2FA08}"/>
    <cellStyle name="Style 83 4 3 2 3" xfId="14665" xr:uid="{D59B9B37-5B91-4A18-B734-0212AF72A258}"/>
    <cellStyle name="Style 83 4 3 2 3 2" xfId="33368" xr:uid="{1F887F84-CD4B-4117-A409-81B8C01C0E15}"/>
    <cellStyle name="Style 83 4 3 3" xfId="7141" xr:uid="{2542F9A7-481E-4BAE-B753-423BDF6D9FB2}"/>
    <cellStyle name="Style 83 4 3 3 2" xfId="14666" xr:uid="{91B0200F-BDD0-429A-A098-5CDD7BBBBB84}"/>
    <cellStyle name="Style 83 4 3 3 2 2" xfId="33369" xr:uid="{8E979789-2E2B-425D-AEB8-8C8F5C025B73}"/>
    <cellStyle name="Style 83 4 3 4" xfId="14667" xr:uid="{58E6077B-D44A-421C-8698-E2CC4EE6FB44}"/>
    <cellStyle name="Style 83 4 3 4 2" xfId="14668" xr:uid="{F5E82ED3-FAD9-45EF-A465-952197F12F38}"/>
    <cellStyle name="Style 83 4 3 4 2 2" xfId="33370" xr:uid="{D7D47F4E-5C46-4C5C-98D8-90F152940CBF}"/>
    <cellStyle name="Style 83 4 3 5" xfId="14669" xr:uid="{810BEFAF-3BCD-4125-8029-10BE7F7ED8B3}"/>
    <cellStyle name="Style 83 4 3 5 2" xfId="33371" xr:uid="{A26DF205-E88B-4F33-85C2-A74425A1C944}"/>
    <cellStyle name="Style 83 4 3 6" xfId="14670" xr:uid="{725DB4C3-D167-4CD4-80D0-08DB53CF75F4}"/>
    <cellStyle name="Style 83 4 3 6 2" xfId="33372" xr:uid="{6E1B1934-1ABF-4389-AA4B-49B6E941DCE7}"/>
    <cellStyle name="Style 83 4 3 7" xfId="14671" xr:uid="{338276B4-3A5F-481A-83F2-611A643483F1}"/>
    <cellStyle name="Style 83 4 3 7 2" xfId="33373" xr:uid="{A2A069AE-1B39-4CBE-9B91-9D8A45C34087}"/>
    <cellStyle name="Style 83 4 3 8" xfId="14672" xr:uid="{ED5DCFAA-C2D5-44F1-BB38-E773278EACF0}"/>
    <cellStyle name="Style 83 4 3 8 2" xfId="33374" xr:uid="{9B8519CB-4AA6-4376-B270-D105424A51E3}"/>
    <cellStyle name="Style 83 4 3 9" xfId="14673" xr:uid="{25D91C0A-4176-458C-A43D-A282C6E4D7D2}"/>
    <cellStyle name="Style 83 4 3 9 2" xfId="33375" xr:uid="{8CEF3186-EA51-4A0C-8AC3-199FB8873CAD}"/>
    <cellStyle name="Style 83 4 4" xfId="7143" xr:uid="{DEC40C10-8057-4E27-B97E-9704B240FEE2}"/>
    <cellStyle name="Style 83 4 4 2" xfId="14674" xr:uid="{ED128628-C31C-4040-A505-12EBFDA3D33F}"/>
    <cellStyle name="Style 83 4 4 2 2" xfId="33376" xr:uid="{C4593389-220E-431C-AD54-BBC23CEC042A}"/>
    <cellStyle name="Style 83 4 4 3" xfId="14675" xr:uid="{35DF383B-1060-4509-BFC5-9FBF7B2B0FBE}"/>
    <cellStyle name="Style 83 4 4 3 2" xfId="33377" xr:uid="{3EBAF32C-20DE-412D-B211-3EFF60F1FFA8}"/>
    <cellStyle name="Style 83 4 5" xfId="7144" xr:uid="{9B909B0E-3792-4AA8-8F21-5A90B18F51A3}"/>
    <cellStyle name="Style 83 4 5 2" xfId="14676" xr:uid="{E5512A92-8094-46AF-8F11-2122A55B3937}"/>
    <cellStyle name="Style 83 4 5 2 2" xfId="33378" xr:uid="{DA222C78-5142-48D2-B042-A271EF07384C}"/>
    <cellStyle name="Style 83 4 6" xfId="7136" xr:uid="{B6F939DB-7C61-43FC-B157-DDCF7C0F01FD}"/>
    <cellStyle name="Style 83 4 6 2" xfId="14677" xr:uid="{B551EE21-02C7-4EE2-850F-AFBD3A4941C1}"/>
    <cellStyle name="Style 83 4 6 2 2" xfId="33379" xr:uid="{70668BBB-9A6C-45E2-AABC-2AAB9E779B89}"/>
    <cellStyle name="Style 83 4 7" xfId="14678" xr:uid="{427EF8F2-17F6-41CE-84E2-18064AFBBCCA}"/>
    <cellStyle name="Style 83 4 7 2" xfId="14679" xr:uid="{84E5FD2A-4460-4FC0-A146-81D2187FB497}"/>
    <cellStyle name="Style 83 4 7 2 2" xfId="33380" xr:uid="{B0BDE872-B573-47A7-9935-9E9909907361}"/>
    <cellStyle name="Style 83 4 8" xfId="14680" xr:uid="{AD07F175-CB6D-44FC-8BB7-65F17A4F06B6}"/>
    <cellStyle name="Style 83 4 8 2" xfId="33381" xr:uid="{77ED6802-6DF3-4BA9-8039-5AC39141BA7A}"/>
    <cellStyle name="Style 83 4 9" xfId="14681" xr:uid="{BBD9FE22-B2C9-4D54-92F7-460300161252}"/>
    <cellStyle name="Style 83 4 9 2" xfId="33382" xr:uid="{6B10A7D8-38E2-4596-B279-BFD856E57219}"/>
    <cellStyle name="Style 83 5" xfId="3528" xr:uid="{55DEF832-2276-434D-81C4-4AD94147AC75}"/>
    <cellStyle name="Style 83 5 10" xfId="14682" xr:uid="{C4817BBD-A31B-452F-B6B3-1180560289E2}"/>
    <cellStyle name="Style 83 5 10 2" xfId="33383" xr:uid="{EE3EAC0A-9D39-4C86-9812-66864C3957BE}"/>
    <cellStyle name="Style 83 5 11" xfId="14683" xr:uid="{9B0CB5D9-0255-48E0-8B03-90324611A2A5}"/>
    <cellStyle name="Style 83 5 11 2" xfId="33384" xr:uid="{A8C480B8-FDB6-43F3-B53C-A94CBF3C3BE7}"/>
    <cellStyle name="Style 83 5 12" xfId="14684" xr:uid="{9F8CF447-9CBD-47D0-93D1-F0668FEA7FF2}"/>
    <cellStyle name="Style 83 5 12 2" xfId="33385" xr:uid="{D350B8FC-DF71-4898-ADBE-3F080B83037A}"/>
    <cellStyle name="Style 83 5 13" xfId="14685" xr:uid="{4EDE3CAC-625B-45B0-B7CA-6753F2872B91}"/>
    <cellStyle name="Style 83 5 13 2" xfId="33386" xr:uid="{C7B3695B-EB80-427C-96A5-EE081BA7CC8F}"/>
    <cellStyle name="Style 83 5 14" xfId="14686" xr:uid="{27F7354D-2488-48B1-97BA-298C1321A92B}"/>
    <cellStyle name="Style 83 5 14 2" xfId="33387" xr:uid="{1CF84333-53F1-4C35-B072-A11CE9BCAE6D}"/>
    <cellStyle name="Style 83 5 2" xfId="3529" xr:uid="{A0762868-1883-4EAB-963F-F0D8F4C64111}"/>
    <cellStyle name="Style 83 5 2 10" xfId="14687" xr:uid="{E5D42106-5473-4F27-A824-F2553BF8750E}"/>
    <cellStyle name="Style 83 5 2 10 2" xfId="33388" xr:uid="{1FE700EC-72C8-43FB-8C5E-849CE468336B}"/>
    <cellStyle name="Style 83 5 2 11" xfId="14688" xr:uid="{9B54574F-60BF-4D56-A0A8-C4943FAC62F1}"/>
    <cellStyle name="Style 83 5 2 11 2" xfId="33389" xr:uid="{013DA1BB-B9C0-48BF-BBC6-711964F9EFD2}"/>
    <cellStyle name="Style 83 5 2 12" xfId="14689" xr:uid="{192302C9-6668-424A-AE76-01FA42A1CE7E}"/>
    <cellStyle name="Style 83 5 2 12 2" xfId="33390" xr:uid="{6D70FF7D-AA58-451F-8858-4E9134AFCCD3}"/>
    <cellStyle name="Style 83 5 2 2" xfId="7146" xr:uid="{05D8A9DC-B454-4568-964F-30221596CC0A}"/>
    <cellStyle name="Style 83 5 2 2 2" xfId="14690" xr:uid="{5A4DCF6A-D466-417C-87EA-EF6FEAAE8AFE}"/>
    <cellStyle name="Style 83 5 2 2 2 2" xfId="33391" xr:uid="{3943D3F9-2EBA-45B3-A10A-68D1E88D40B9}"/>
    <cellStyle name="Style 83 5 2 2 3" xfId="14691" xr:uid="{8CE75BAB-C8DF-4CAE-8CE9-5A8C9CC6A732}"/>
    <cellStyle name="Style 83 5 2 2 3 2" xfId="33392" xr:uid="{C0935A3A-5ECB-4794-BA9B-DCEB1898AB20}"/>
    <cellStyle name="Style 83 5 2 3" xfId="14692" xr:uid="{613AE19A-A448-4C54-9D20-7A84F0F0CB75}"/>
    <cellStyle name="Style 83 5 2 3 2" xfId="14693" xr:uid="{22BCF505-E766-4E7B-82DC-65BA5D0E13D3}"/>
    <cellStyle name="Style 83 5 2 3 2 2" xfId="33393" xr:uid="{20BB6D9B-65EC-436F-9502-97DF18F13D24}"/>
    <cellStyle name="Style 83 5 2 4" xfId="14694" xr:uid="{0EF9721D-CCCB-4D7C-98BC-07DB5215FA31}"/>
    <cellStyle name="Style 83 5 2 4 2" xfId="33394" xr:uid="{5D0CA3E9-7A07-4F8F-819B-650445A67681}"/>
    <cellStyle name="Style 83 5 2 5" xfId="14695" xr:uid="{F6AD5D67-14BC-4887-9FAE-BD72C631E525}"/>
    <cellStyle name="Style 83 5 2 5 2" xfId="33395" xr:uid="{B29BCA96-CA87-4524-BE49-DEDACAFF368D}"/>
    <cellStyle name="Style 83 5 2 6" xfId="14696" xr:uid="{D85D9878-BC86-4D91-8CCE-3225030CC21F}"/>
    <cellStyle name="Style 83 5 2 6 2" xfId="33396" xr:uid="{03DFC8A4-5DCD-42C8-B50B-84EE159A0325}"/>
    <cellStyle name="Style 83 5 2 7" xfId="14697" xr:uid="{AAB1AC6E-74C6-4CD5-AA0B-3A03CA09BA50}"/>
    <cellStyle name="Style 83 5 2 7 2" xfId="33397" xr:uid="{AA4B8B10-666E-4A36-AD6F-3DBEE8B3D8B0}"/>
    <cellStyle name="Style 83 5 2 8" xfId="14698" xr:uid="{0CB79585-2E6C-4EDF-88DC-2D7FF14CFAC9}"/>
    <cellStyle name="Style 83 5 2 8 2" xfId="33398" xr:uid="{7DD8EDC0-880C-40A0-95F7-BA9BE0074481}"/>
    <cellStyle name="Style 83 5 2 9" xfId="14699" xr:uid="{7C111B09-5F22-437E-8900-B570C042B10C}"/>
    <cellStyle name="Style 83 5 2 9 2" xfId="33399" xr:uid="{06005DC8-41C4-457D-A0D7-1ADAD7F202F3}"/>
    <cellStyle name="Style 83 5 3" xfId="7145" xr:uid="{24F264F6-EE67-4E26-B744-32201A263910}"/>
    <cellStyle name="Style 83 5 3 2" xfId="14700" xr:uid="{9863B19E-A227-455F-AD75-38E1B5EC89B8}"/>
    <cellStyle name="Style 83 5 3 2 2" xfId="33400" xr:uid="{A851706A-E845-4A71-AF88-0DF7E19E6BAD}"/>
    <cellStyle name="Style 83 5 3 3" xfId="14701" xr:uid="{E016173A-02F7-46B9-B8AE-D753419A2419}"/>
    <cellStyle name="Style 83 5 3 3 2" xfId="33401" xr:uid="{2FBCEB3E-4867-4E9B-968A-FCB37039E968}"/>
    <cellStyle name="Style 83 5 4" xfId="14702" xr:uid="{371736BA-851F-459E-983F-FD63FD480D26}"/>
    <cellStyle name="Style 83 5 4 2" xfId="14703" xr:uid="{C0422AEE-E828-4E4D-BD5A-1B6D0B128F3D}"/>
    <cellStyle name="Style 83 5 4 2 2" xfId="33402" xr:uid="{709FE13F-720C-4033-A8C0-D3BAA70D4F17}"/>
    <cellStyle name="Style 83 5 5" xfId="14704" xr:uid="{7534CD69-41E8-4AAC-8011-3D635B63F9A6}"/>
    <cellStyle name="Style 83 5 5 2" xfId="33403" xr:uid="{852562AD-9C55-42E6-892C-7F312D1D48DB}"/>
    <cellStyle name="Style 83 5 6" xfId="14705" xr:uid="{9DA4C581-F24B-4829-B3A1-BAF3EC3DB7A4}"/>
    <cellStyle name="Style 83 5 6 2" xfId="33404" xr:uid="{5E58948E-4BCA-4B7D-ABEC-F6F3F71C849C}"/>
    <cellStyle name="Style 83 5 7" xfId="14706" xr:uid="{18E3961D-D463-4C26-B6DC-C30953C4A96C}"/>
    <cellStyle name="Style 83 5 7 2" xfId="33405" xr:uid="{B43C2720-4AB8-422A-8273-213A90D3444A}"/>
    <cellStyle name="Style 83 5 8" xfId="14707" xr:uid="{382DA1F6-25ED-43AC-A27D-2C5CEFD3774B}"/>
    <cellStyle name="Style 83 5 8 2" xfId="33406" xr:uid="{13344A33-2A0F-423E-8845-6ABD0F66D6DD}"/>
    <cellStyle name="Style 83 5 9" xfId="14708" xr:uid="{9C3FFC38-5A69-452C-88D8-43D0BEFB4FB7}"/>
    <cellStyle name="Style 83 5 9 2" xfId="33407" xr:uid="{1C5BE42C-833C-46DF-A972-32FF2D100FAC}"/>
    <cellStyle name="Style 83 6" xfId="3530" xr:uid="{E1F41701-D423-4FA6-BFC3-64EEA41A0CB6}"/>
    <cellStyle name="Style 83 6 10" xfId="14709" xr:uid="{C7FFCD82-8ECF-4F2E-B3CD-6B1289ECA8BB}"/>
    <cellStyle name="Style 83 6 10 2" xfId="33408" xr:uid="{2C8F3548-3A71-4942-88C4-AE80A1A3A0EF}"/>
    <cellStyle name="Style 83 6 11" xfId="14710" xr:uid="{85151954-2C41-4FB7-BD9B-A4A09707CDCD}"/>
    <cellStyle name="Style 83 6 11 2" xfId="33409" xr:uid="{E3CCB345-D9CB-4CB0-8740-D9BA1B84FEB3}"/>
    <cellStyle name="Style 83 6 12" xfId="14711" xr:uid="{83BE1192-C140-437E-A5D2-750BA786E321}"/>
    <cellStyle name="Style 83 6 12 2" xfId="33410" xr:uid="{A6A529FC-F332-45D2-A94F-8BFA1C0B56E9}"/>
    <cellStyle name="Style 83 6 13" xfId="14712" xr:uid="{31829191-AE7C-4ADC-A458-21447B2CADF6}"/>
    <cellStyle name="Style 83 6 13 2" xfId="33411" xr:uid="{59C5A36A-6197-4FB5-A4CA-55384A48751C}"/>
    <cellStyle name="Style 83 6 2" xfId="4211" xr:uid="{FAEA42E1-58E4-423E-819F-EB5DD127035D}"/>
    <cellStyle name="Style 83 6 2 2" xfId="7148" xr:uid="{F98C24BD-C913-49E6-B51F-0C373277CCE6}"/>
    <cellStyle name="Style 83 6 2 2 2" xfId="14713" xr:uid="{2CFA2D4D-72C7-4A2D-9157-77AA89BD3E61}"/>
    <cellStyle name="Style 83 6 2 2 2 2" xfId="33412" xr:uid="{75A1C061-F49B-4653-BB4B-5C2C91FB56DC}"/>
    <cellStyle name="Style 83 6 2 2 3" xfId="28344" xr:uid="{9A94DB29-9AC1-4361-9C34-2FB14F11B6D5}"/>
    <cellStyle name="Style 83 6 2 3" xfId="14714" xr:uid="{D629CB3E-63F9-497C-B069-B209B2CE60B4}"/>
    <cellStyle name="Style 83 6 2 3 2" xfId="33413" xr:uid="{D42B576B-2B66-4F92-96D2-7A5CF85DF365}"/>
    <cellStyle name="Style 83 6 3" xfId="7149" xr:uid="{BAC69CB9-92E1-4459-BE7D-7E6D14236576}"/>
    <cellStyle name="Style 83 6 3 2" xfId="14715" xr:uid="{1DAD0492-4245-4A23-BAA0-2FA367D650F5}"/>
    <cellStyle name="Style 83 6 3 2 2" xfId="33414" xr:uid="{07AFF243-AC98-40C7-98A3-AD3B877EC4BA}"/>
    <cellStyle name="Style 83 6 4" xfId="7147" xr:uid="{B558D74E-436A-46A2-8FFE-0B36D65D8349}"/>
    <cellStyle name="Style 83 6 4 2" xfId="14716" xr:uid="{E02D2482-11FA-4934-B779-3FCD42E983FE}"/>
    <cellStyle name="Style 83 6 4 2 2" xfId="33415" xr:uid="{E0F1D0CD-9CC7-432B-AE0F-5CA9E3B5DBA4}"/>
    <cellStyle name="Style 83 6 5" xfId="14717" xr:uid="{96EC377F-9A0A-48C3-94A4-710F118BDCA5}"/>
    <cellStyle name="Style 83 6 5 2" xfId="14718" xr:uid="{11504241-F504-4B04-B33B-A0967C8CCD9C}"/>
    <cellStyle name="Style 83 6 5 2 2" xfId="33416" xr:uid="{F2B1E4C8-DCE9-4AFD-ACFE-98F379384883}"/>
    <cellStyle name="Style 83 6 6" xfId="14719" xr:uid="{3BDFEFBE-64C9-4417-8919-DC2ED21DD032}"/>
    <cellStyle name="Style 83 6 6 2" xfId="33417" xr:uid="{B5619283-DC11-4656-BC94-D661655EBFCB}"/>
    <cellStyle name="Style 83 6 7" xfId="14720" xr:uid="{F029DAC4-273F-41C3-887C-1AC245C8FBBA}"/>
    <cellStyle name="Style 83 6 7 2" xfId="33418" xr:uid="{E2936D4F-0D7F-4410-B461-59C39A760A8F}"/>
    <cellStyle name="Style 83 6 8" xfId="14721" xr:uid="{949900B4-2436-4E20-8A34-668C8EFFD511}"/>
    <cellStyle name="Style 83 6 8 2" xfId="33419" xr:uid="{60FD1BA0-1C3C-41CD-A426-3A0BBC14F6A1}"/>
    <cellStyle name="Style 83 6 9" xfId="14722" xr:uid="{8BC20367-078A-4291-8B6F-1E0BE5EAD52B}"/>
    <cellStyle name="Style 83 6 9 2" xfId="33420" xr:uid="{41E67D38-5466-493C-B3B8-88ED8E12D67F}"/>
    <cellStyle name="Style 83 7" xfId="4210" xr:uid="{487D2319-2761-465A-9BF3-D065B7A00F2B}"/>
    <cellStyle name="Style 83 7 2" xfId="7151" xr:uid="{D78C19BB-E32A-438D-9288-728E812CCFE7}"/>
    <cellStyle name="Style 83 7 2 2" xfId="14723" xr:uid="{3286BE68-9DE5-40DC-9276-596A6E1F13B8}"/>
    <cellStyle name="Style 83 7 2 2 2" xfId="33421" xr:uid="{7AB22F91-9B5B-48FD-9DC8-EA7359DEB52B}"/>
    <cellStyle name="Style 83 7 3" xfId="7152" xr:uid="{DF607033-67A9-41F8-A648-27F6EB6D4B7B}"/>
    <cellStyle name="Style 83 7 4" xfId="7150" xr:uid="{64242835-A0D2-4692-B894-E283578AECC1}"/>
    <cellStyle name="Style 83 7 4 2" xfId="28343" xr:uid="{C4488A45-ED5D-4BA5-9F3A-68A854E3A88D}"/>
    <cellStyle name="Style 83 7 5" xfId="14724" xr:uid="{23D17487-0AAD-472B-ADCC-003EF0FF9602}"/>
    <cellStyle name="Style 83 7 5 2" xfId="33422" xr:uid="{3CD0C3F6-F359-4D82-BFA6-3591CD18ABDF}"/>
    <cellStyle name="Style 83 7 6" xfId="24093" xr:uid="{6D528526-DA26-4332-8FF1-B8962730E70E}"/>
    <cellStyle name="Style 83 8" xfId="7153" xr:uid="{4569CE5A-D575-41B5-A582-FD7F6D04D98E}"/>
    <cellStyle name="Style 83 8 2" xfId="14725" xr:uid="{06C82523-F9AA-4CEA-8CF7-66C13CD82B9D}"/>
    <cellStyle name="Style 83 8 2 2" xfId="33423" xr:uid="{F400C2D0-1037-4335-B354-3481B9C3A1D2}"/>
    <cellStyle name="Style 83 9" xfId="7154" xr:uid="{47EF3C4E-B561-43D4-BA55-34F4758DB471}"/>
    <cellStyle name="Style 83 9 2" xfId="14726" xr:uid="{F93775A7-CE71-4FE5-B121-1F90B8C26F00}"/>
    <cellStyle name="Style 83 9 2 2" xfId="33424" xr:uid="{6FAB631F-692F-48E1-8F06-BF7EC2BF5F77}"/>
    <cellStyle name="Style 83_ADDON" xfId="25811" xr:uid="{988C81DC-6889-45DC-B918-E6ABC1F1F8F5}"/>
    <cellStyle name="Style 84" xfId="3531" xr:uid="{49EE9C80-2DD8-4DB1-86ED-42C4245C7D54}"/>
    <cellStyle name="Style 84 10" xfId="7155" xr:uid="{B88181DD-6650-478B-9CEA-F1A4B0772A43}"/>
    <cellStyle name="Style 84 10 2" xfId="14727" xr:uid="{212C1D08-F6CF-46F3-901F-CEE298F59FAB}"/>
    <cellStyle name="Style 84 10 2 2" xfId="33425" xr:uid="{AB082240-BF28-43AA-AA57-540561A4DD28}"/>
    <cellStyle name="Style 84 11" xfId="14728" xr:uid="{B8D111D3-D955-486A-A6A9-D79A7CE4FCA7}"/>
    <cellStyle name="Style 84 11 2" xfId="14729" xr:uid="{2468E817-2CD2-42F4-AED7-4E5930248B24}"/>
    <cellStyle name="Style 84 11 2 2" xfId="33426" xr:uid="{A22A6425-8252-4059-BE3B-1CA5E96F282C}"/>
    <cellStyle name="Style 84 11 3" xfId="26709" xr:uid="{37948D7C-ED05-4292-8A2E-ED1EEC6A3750}"/>
    <cellStyle name="Style 84 12" xfId="14730" xr:uid="{ED4AE40F-FDA4-47C6-BCAA-0EBFAE457EDF}"/>
    <cellStyle name="Style 84 12 2" xfId="33427" xr:uid="{35212A8E-7388-4506-815F-C4F5481D0C1A}"/>
    <cellStyle name="Style 84 13" xfId="14731" xr:uid="{822E1CEB-AEF8-4D9D-A951-76BAF62E11BE}"/>
    <cellStyle name="Style 84 13 2" xfId="33428" xr:uid="{C77CC641-0972-494C-B7C2-4A6F8E981105}"/>
    <cellStyle name="Style 84 14" xfId="14732" xr:uid="{4EA1D251-D5F0-4ECF-830B-B7F4AD284CCE}"/>
    <cellStyle name="Style 84 14 2" xfId="33429" xr:uid="{B352406E-9C27-45F3-8A32-1D36529F29AF}"/>
    <cellStyle name="Style 84 15" xfId="14733" xr:uid="{171E1B6B-6247-4DFB-AFCA-92DE52EDE79C}"/>
    <cellStyle name="Style 84 15 2" xfId="33430" xr:uid="{882020EE-6E60-4924-B03D-55E711F62D8F}"/>
    <cellStyle name="Style 84 16" xfId="14734" xr:uid="{3927DAEC-06E1-4DC7-9C00-7B379820119D}"/>
    <cellStyle name="Style 84 16 2" xfId="33431" xr:uid="{86205533-0B04-4F70-8DD5-5B9B74A7E3B7}"/>
    <cellStyle name="Style 84 17" xfId="14735" xr:uid="{B78A5A1D-ADFF-472E-B5D9-5181C9CD4BBD}"/>
    <cellStyle name="Style 84 17 2" xfId="33432" xr:uid="{6B7CEDA7-793B-48AB-AEDD-8163F1AA005B}"/>
    <cellStyle name="Style 84 18" xfId="14736" xr:uid="{0560A1E6-494B-4F51-B9B6-4B467F52FCC0}"/>
    <cellStyle name="Style 84 18 2" xfId="33433" xr:uid="{67EB4B68-7D01-40E8-B392-5D552039919C}"/>
    <cellStyle name="Style 84 19" xfId="14737" xr:uid="{18024D20-43E1-4BB5-9466-23022D103688}"/>
    <cellStyle name="Style 84 19 2" xfId="33434" xr:uid="{936BC062-F19A-45B1-86A4-E8119EAC45F8}"/>
    <cellStyle name="Style 84 2" xfId="3532" xr:uid="{43B82CCC-D4C6-4B23-BD04-6799431D7D70}"/>
    <cellStyle name="Style 84 2 10" xfId="14738" xr:uid="{763A3864-210F-4987-9C7A-3D7E8BF7EE5E}"/>
    <cellStyle name="Style 84 2 10 2" xfId="33435" xr:uid="{75C0AB08-9974-4C07-A72D-FA40AF86F24F}"/>
    <cellStyle name="Style 84 2 11" xfId="14739" xr:uid="{2DDF2766-6776-4767-9A7E-87873274BD77}"/>
    <cellStyle name="Style 84 2 11 2" xfId="33436" xr:uid="{A0E31500-8378-4BE8-9DC8-7A6961149745}"/>
    <cellStyle name="Style 84 2 12" xfId="14740" xr:uid="{1E1A9E46-9263-440F-A529-6BCAA10BA323}"/>
    <cellStyle name="Style 84 2 12 2" xfId="33437" xr:uid="{EC987841-B252-49D7-B7F9-65D6A1CB17BA}"/>
    <cellStyle name="Style 84 2 13" xfId="14741" xr:uid="{5248C74D-4731-4F9F-BE40-ACC2E4F84EA4}"/>
    <cellStyle name="Style 84 2 13 2" xfId="33438" xr:uid="{A68D2AFD-B789-43D1-8A95-47CFD9539639}"/>
    <cellStyle name="Style 84 2 14" xfId="14742" xr:uid="{859AB488-02C7-4C8E-9A28-D95460F9FC9C}"/>
    <cellStyle name="Style 84 2 14 2" xfId="33439" xr:uid="{53F1565A-7A2C-462F-B4CE-79912B11266D}"/>
    <cellStyle name="Style 84 2 15" xfId="24095" xr:uid="{6FBD2B1A-24E1-4C30-B40B-5ED36E50B325}"/>
    <cellStyle name="Style 84 2 2" xfId="7157" xr:uid="{A89DFCB5-724A-41FF-9D6C-29C511010DB8}"/>
    <cellStyle name="Style 84 2 2 2" xfId="14743" xr:uid="{2956B32E-776D-4EA3-950F-CB208E472B96}"/>
    <cellStyle name="Style 84 2 2 2 2" xfId="14744" xr:uid="{5899E03F-03C1-4D03-AEB6-CE37F17A9CCE}"/>
    <cellStyle name="Style 84 2 2 2 2 2" xfId="33441" xr:uid="{E15F8B29-17F3-4D3E-84ED-3DFB4159EE96}"/>
    <cellStyle name="Style 84 2 2 2 3" xfId="33440" xr:uid="{AF92127E-03D1-41DE-B25C-8A0D108F703D}"/>
    <cellStyle name="Style 84 2 2 3" xfId="14745" xr:uid="{4F8282E0-9E34-45EA-850A-52582ED2F38C}"/>
    <cellStyle name="Style 84 2 2 3 2" xfId="33442" xr:uid="{874EC17D-B0D1-41D6-AAA3-5375BACECF8A}"/>
    <cellStyle name="Style 84 2 2 4" xfId="14746" xr:uid="{43CD7A2E-4E81-497D-85CE-92B54B72F051}"/>
    <cellStyle name="Style 84 2 2 4 2" xfId="33443" xr:uid="{C19D7750-3494-45D5-9222-84A47E409F0A}"/>
    <cellStyle name="Style 84 2 2 5" xfId="14747" xr:uid="{5753E3A0-5875-4632-8AFF-2B8D23A4C68E}"/>
    <cellStyle name="Style 84 2 2 5 2" xfId="33444" xr:uid="{A3F00CFC-A19B-4D91-901D-DF1CE832B978}"/>
    <cellStyle name="Style 84 2 3" xfId="7156" xr:uid="{349AA4F7-A582-428C-A01F-8857A7DF3705}"/>
    <cellStyle name="Style 84 2 3 2" xfId="14748" xr:uid="{54A46C3D-1E2F-4D86-8608-536F29EC21B0}"/>
    <cellStyle name="Style 84 2 3 2 2" xfId="33445" xr:uid="{2280542E-CE51-4937-9675-1789D270F1B9}"/>
    <cellStyle name="Style 84 2 3 3" xfId="14749" xr:uid="{67048EDF-9372-4774-B6C2-4097C98D40D3}"/>
    <cellStyle name="Style 84 2 3 3 2" xfId="33446" xr:uid="{37D9AABB-5DFD-4A7B-87F6-7E82318871B8}"/>
    <cellStyle name="Style 84 2 4" xfId="14750" xr:uid="{4A5496F5-60A9-441F-A56A-CFBD1C54D728}"/>
    <cellStyle name="Style 84 2 4 2" xfId="33447" xr:uid="{30DA2DF6-E125-4AB3-99DF-09926BB07018}"/>
    <cellStyle name="Style 84 2 5" xfId="14751" xr:uid="{8A2A6387-7E91-4B4D-BE65-8CAAAF7FB12D}"/>
    <cellStyle name="Style 84 2 5 2" xfId="33448" xr:uid="{FE317C87-EBEC-4663-8097-B324D45EAEB0}"/>
    <cellStyle name="Style 84 2 6" xfId="14752" xr:uid="{F99B03D7-2D75-40C1-835F-99FC4FB7B208}"/>
    <cellStyle name="Style 84 2 6 2" xfId="33449" xr:uid="{C44FCE58-7A0A-48C0-AF0F-99C096BF596A}"/>
    <cellStyle name="Style 84 2 7" xfId="14753" xr:uid="{D88934E1-999B-429E-8910-59F965F63543}"/>
    <cellStyle name="Style 84 2 7 2" xfId="33450" xr:uid="{667D6EDD-9C45-472D-A520-6239B3279389}"/>
    <cellStyle name="Style 84 2 8" xfId="14754" xr:uid="{A9F67C08-4068-466C-9802-F9B653BD441E}"/>
    <cellStyle name="Style 84 2 8 2" xfId="33451" xr:uid="{8ACF6EED-56CA-46B1-8650-DEAFE6EB3216}"/>
    <cellStyle name="Style 84 2 9" xfId="14755" xr:uid="{0B5A6F10-CE6E-4A08-8FA9-46499B55B0F7}"/>
    <cellStyle name="Style 84 2 9 2" xfId="33452" xr:uid="{0B93FA98-F54E-4DDA-B02C-93DB89125E9F}"/>
    <cellStyle name="Style 84 20" xfId="24094" xr:uid="{E285E8F1-77D0-49BD-B5C0-BC240CF3C093}"/>
    <cellStyle name="Style 84 3" xfId="3533" xr:uid="{9683A3F6-342D-4C5B-9C3C-98BF6A346D8D}"/>
    <cellStyle name="Style 84 3 10" xfId="14756" xr:uid="{3704EAE5-D2B4-4525-B20A-B17F5F13C754}"/>
    <cellStyle name="Style 84 3 10 2" xfId="33453" xr:uid="{C36A0119-6280-48E6-AA4E-B6D4191186E7}"/>
    <cellStyle name="Style 84 3 11" xfId="14757" xr:uid="{8C20A09A-89AA-48B4-B533-F31E178A9179}"/>
    <cellStyle name="Style 84 3 11 2" xfId="33454" xr:uid="{B52D6CFC-643E-42DB-AC48-59D8EBC7F4B8}"/>
    <cellStyle name="Style 84 3 12" xfId="14758" xr:uid="{45EADE80-5A2F-47A9-BB60-7CB478FE9EEB}"/>
    <cellStyle name="Style 84 3 12 2" xfId="33455" xr:uid="{1FB41D2D-11AD-433A-8D23-82A9D46637D8}"/>
    <cellStyle name="Style 84 3 13" xfId="14759" xr:uid="{7B0657CD-4BF1-4AF9-8078-974997398DD6}"/>
    <cellStyle name="Style 84 3 13 2" xfId="33456" xr:uid="{99AA7F3C-7BFF-432D-95E7-C9FAC56AF952}"/>
    <cellStyle name="Style 84 3 14" xfId="14760" xr:uid="{64ED41B9-77F0-43E4-AE5B-AA05FB97D11F}"/>
    <cellStyle name="Style 84 3 14 2" xfId="33457" xr:uid="{788D0D3B-ED21-4998-9784-AA56E94571BE}"/>
    <cellStyle name="Style 84 3 15" xfId="14761" xr:uid="{78E869E2-7826-466A-9CCD-A19070F0EFAD}"/>
    <cellStyle name="Style 84 3 15 2" xfId="33458" xr:uid="{2C045F25-0619-49FA-96D7-44AC1140C291}"/>
    <cellStyle name="Style 84 3 16" xfId="14762" xr:uid="{E200C4B9-AA22-41FA-B36E-0B4C72D05032}"/>
    <cellStyle name="Style 84 3 16 2" xfId="33459" xr:uid="{64635ACE-34C3-4307-9F6F-A1A1C7A3B010}"/>
    <cellStyle name="Style 84 3 17" xfId="14763" xr:uid="{D3E0C396-F176-406E-8BA8-20600E3BCD2E}"/>
    <cellStyle name="Style 84 3 17 2" xfId="33460" xr:uid="{9967A05C-542D-4FA5-84BE-EEE8CBEE0688}"/>
    <cellStyle name="Style 84 3 18" xfId="24096" xr:uid="{D54DFC76-06DA-4498-A9C6-3EE8241AFA28}"/>
    <cellStyle name="Style 84 3 2" xfId="3534" xr:uid="{714AB315-793F-472C-8840-82506663DF4E}"/>
    <cellStyle name="Style 84 3 2 10" xfId="14764" xr:uid="{71004663-2D30-4F05-A0F0-93AA1401EAE9}"/>
    <cellStyle name="Style 84 3 2 10 2" xfId="33461" xr:uid="{25E398D2-1B6A-4EB4-9E47-88B378FDC79E}"/>
    <cellStyle name="Style 84 3 2 11" xfId="14765" xr:uid="{39F93E15-75E1-4911-AAFE-850FA453B6CA}"/>
    <cellStyle name="Style 84 3 2 11 2" xfId="33462" xr:uid="{5EE7BC79-735F-463C-8BD8-2241622DEE80}"/>
    <cellStyle name="Style 84 3 2 12" xfId="14766" xr:uid="{486B752E-FD2E-4D7E-8B6F-7905438ACD57}"/>
    <cellStyle name="Style 84 3 2 12 2" xfId="33463" xr:uid="{F69E92EE-003D-4DFB-A1A7-5970605628EE}"/>
    <cellStyle name="Style 84 3 2 13" xfId="14767" xr:uid="{3510E0A9-64B3-4158-9838-DF436C164580}"/>
    <cellStyle name="Style 84 3 2 13 2" xfId="33464" xr:uid="{87951CB3-EF67-4F03-9046-6F4C8C135E4A}"/>
    <cellStyle name="Style 84 3 2 14" xfId="24097" xr:uid="{2342189D-5D2E-45B5-A18A-5A6E2E42DC3B}"/>
    <cellStyle name="Style 84 3 2 2" xfId="7160" xr:uid="{86810BF1-3F30-4F2A-BE13-F55F5D8F8D38}"/>
    <cellStyle name="Style 84 3 2 2 2" xfId="14768" xr:uid="{C0F3A04B-0959-498A-AB13-D9DDD26F23F7}"/>
    <cellStyle name="Style 84 3 2 2 2 2" xfId="33465" xr:uid="{AE3F3C5E-84A9-41B2-B10E-896677A6B099}"/>
    <cellStyle name="Style 84 3 2 2 3" xfId="14769" xr:uid="{7B5A1F5A-871F-4E18-BC92-F5A6E17083B0}"/>
    <cellStyle name="Style 84 3 2 2 3 2" xfId="33466" xr:uid="{94C7B639-9D14-492B-81CC-98E389D03817}"/>
    <cellStyle name="Style 84 3 2 3" xfId="7159" xr:uid="{F68BC0B2-2CCD-4570-9C17-E33ABDF2F2C3}"/>
    <cellStyle name="Style 84 3 2 3 2" xfId="14770" xr:uid="{594A9DF3-8840-453C-A6B0-0AA19E313280}"/>
    <cellStyle name="Style 84 3 2 3 2 2" xfId="33467" xr:uid="{B3732B34-D2BF-4B3C-B01B-7605B9C6AC8A}"/>
    <cellStyle name="Style 84 3 2 4" xfId="14771" xr:uid="{2190200C-65B5-4B35-AA99-6A9C6596A177}"/>
    <cellStyle name="Style 84 3 2 4 2" xfId="33468" xr:uid="{8477FA6B-3E38-4070-B690-F8EDD3181C02}"/>
    <cellStyle name="Style 84 3 2 5" xfId="14772" xr:uid="{0F73B6F9-2669-4CD1-91C4-297DCA21C92E}"/>
    <cellStyle name="Style 84 3 2 5 2" xfId="33469" xr:uid="{1F9DB1DD-82E8-4E1E-9F5B-61205B7D4384}"/>
    <cellStyle name="Style 84 3 2 6" xfId="14773" xr:uid="{05CAB1B4-6408-4940-89A9-B4FC9BA980E6}"/>
    <cellStyle name="Style 84 3 2 6 2" xfId="33470" xr:uid="{312264E6-B3AC-46F1-ADAA-286892F8D329}"/>
    <cellStyle name="Style 84 3 2 7" xfId="14774" xr:uid="{B5B767C3-7A7F-4DE4-B44B-B20AD55276C4}"/>
    <cellStyle name="Style 84 3 2 7 2" xfId="33471" xr:uid="{DEC2EACE-7599-445D-9F89-A2F103F00A02}"/>
    <cellStyle name="Style 84 3 2 8" xfId="14775" xr:uid="{D9DF93F9-1824-495B-AFD9-504B55495AB9}"/>
    <cellStyle name="Style 84 3 2 8 2" xfId="33472" xr:uid="{24619083-7A69-4547-B607-0A67A80F971F}"/>
    <cellStyle name="Style 84 3 2 9" xfId="14776" xr:uid="{3B0D3CD3-01C5-4821-BDF0-23CD7090E182}"/>
    <cellStyle name="Style 84 3 2 9 2" xfId="33473" xr:uid="{1AF0860A-F6E6-4EBE-A173-F351C90C45FE}"/>
    <cellStyle name="Style 84 3 3" xfId="3535" xr:uid="{4DEC489A-915B-4F8B-A241-056219BCC46B}"/>
    <cellStyle name="Style 84 3 3 10" xfId="14777" xr:uid="{0C868E36-1FCD-4E55-942D-30F5940265CC}"/>
    <cellStyle name="Style 84 3 3 10 2" xfId="33474" xr:uid="{3B06746A-F380-42D5-BF1C-1080E15B4E2B}"/>
    <cellStyle name="Style 84 3 3 11" xfId="14778" xr:uid="{912C3570-30BA-40A8-B249-15CC64A932B2}"/>
    <cellStyle name="Style 84 3 3 11 2" xfId="33475" xr:uid="{1E2F1FBF-41CD-4104-830F-5E0CDAFA46DB}"/>
    <cellStyle name="Style 84 3 3 12" xfId="14779" xr:uid="{7C78634E-8792-40C1-9E02-A40AB6C5EE59}"/>
    <cellStyle name="Style 84 3 3 12 2" xfId="33476" xr:uid="{03E0B963-10ED-45AA-942C-ED5986E34E7F}"/>
    <cellStyle name="Style 84 3 3 13" xfId="14780" xr:uid="{E2A739B5-B1B5-4D67-963A-7A0AF88A7C95}"/>
    <cellStyle name="Style 84 3 3 13 2" xfId="33477" xr:uid="{4F854784-4E6B-4A6B-B06D-77164EB2F85A}"/>
    <cellStyle name="Style 84 3 3 14" xfId="14781" xr:uid="{65721B3A-D5AD-49C4-A2AE-EED5F1110315}"/>
    <cellStyle name="Style 84 3 3 14 2" xfId="33478" xr:uid="{720D38A0-4DB6-406C-A997-D461DCC8F72E}"/>
    <cellStyle name="Style 84 3 3 15" xfId="14782" xr:uid="{47F8C3E1-DA4B-480D-9BEA-049FBE0F2303}"/>
    <cellStyle name="Style 84 3 3 15 2" xfId="33479" xr:uid="{C53BAACF-E45B-4F85-9B1F-58F3814B8EA1}"/>
    <cellStyle name="Style 84 3 3 16" xfId="24098" xr:uid="{15EF4C45-8223-42F9-A606-55F50C9115A9}"/>
    <cellStyle name="Style 84 3 3 2" xfId="3536" xr:uid="{A8628271-ECA6-46F6-AE13-2CEC54C50F52}"/>
    <cellStyle name="Style 84 3 3 2 10" xfId="14783" xr:uid="{BDBEE50F-0FA0-47C1-BF69-3772D5A20AFE}"/>
    <cellStyle name="Style 84 3 3 2 10 2" xfId="33480" xr:uid="{7B38032A-66AD-4EA5-BB03-78915A7B83BC}"/>
    <cellStyle name="Style 84 3 3 2 11" xfId="14784" xr:uid="{B24000A9-B628-4EBA-BD9C-05F608649C40}"/>
    <cellStyle name="Style 84 3 3 2 11 2" xfId="33481" xr:uid="{273018B5-CA08-43E7-BEFB-E33EC50148F6}"/>
    <cellStyle name="Style 84 3 3 2 12" xfId="14785" xr:uid="{A1398ECA-9D1D-46B5-98E5-C6E21D6689DD}"/>
    <cellStyle name="Style 84 3 3 2 12 2" xfId="33482" xr:uid="{496E1B73-3B01-4193-9B3F-07F141C168D7}"/>
    <cellStyle name="Style 84 3 3 2 13" xfId="14786" xr:uid="{15426893-C22A-4067-A3F9-FBE135E8DF21}"/>
    <cellStyle name="Style 84 3 3 2 13 2" xfId="33483" xr:uid="{79AAF798-34B6-427D-BE5A-B4244BA7118C}"/>
    <cellStyle name="Style 84 3 3 2 14" xfId="24099" xr:uid="{A5E165B7-CC11-41BF-A151-453DD112EDE6}"/>
    <cellStyle name="Style 84 3 3 2 2" xfId="7163" xr:uid="{E5451D9B-733B-4D38-A4A5-F8C94679C88D}"/>
    <cellStyle name="Style 84 3 3 2 2 2" xfId="14787" xr:uid="{F489F668-B1E0-46E9-A977-AE32612BAD2A}"/>
    <cellStyle name="Style 84 3 3 2 2 2 2" xfId="33484" xr:uid="{5D7B4171-ECC8-4265-B6A8-A802624C0345}"/>
    <cellStyle name="Style 84 3 3 2 2 3" xfId="14788" xr:uid="{993E86C8-8DEB-4E40-97A9-3749EA33DAAE}"/>
    <cellStyle name="Style 84 3 3 2 2 3 2" xfId="33485" xr:uid="{503012F1-57FA-4527-97E4-EE348452BEEC}"/>
    <cellStyle name="Style 84 3 3 2 3" xfId="7162" xr:uid="{9445ED7F-CC84-4D5B-BD6F-AD8DB2994338}"/>
    <cellStyle name="Style 84 3 3 2 3 2" xfId="14789" xr:uid="{DAABEA8E-2C5A-4323-999E-DC607B2813C9}"/>
    <cellStyle name="Style 84 3 3 2 3 2 2" xfId="33486" xr:uid="{99E48F7A-DCE9-4153-B9A1-35FEC675CCF9}"/>
    <cellStyle name="Style 84 3 3 2 4" xfId="14790" xr:uid="{A0DE06D1-86FD-4C07-9D3A-9377964A0B6B}"/>
    <cellStyle name="Style 84 3 3 2 4 2" xfId="33487" xr:uid="{1B2DB562-4A55-483F-9101-C8419C09641A}"/>
    <cellStyle name="Style 84 3 3 2 5" xfId="14791" xr:uid="{AA80BF05-E4CA-4FE4-8D1D-8EED9941AFB9}"/>
    <cellStyle name="Style 84 3 3 2 5 2" xfId="33488" xr:uid="{BE53303A-A284-43CB-8F4F-C77D14F8AA78}"/>
    <cellStyle name="Style 84 3 3 2 6" xfId="14792" xr:uid="{E5D2A9D4-3755-4CE7-B5EB-D80EFC723104}"/>
    <cellStyle name="Style 84 3 3 2 6 2" xfId="33489" xr:uid="{089D203E-A66F-4616-97F9-1A8E4B7FEC0A}"/>
    <cellStyle name="Style 84 3 3 2 7" xfId="14793" xr:uid="{AD2F74FD-60DC-42F3-B3F3-CC86C04F940B}"/>
    <cellStyle name="Style 84 3 3 2 7 2" xfId="33490" xr:uid="{A3152DC9-4759-4C79-AEB9-03D8A39EA318}"/>
    <cellStyle name="Style 84 3 3 2 8" xfId="14794" xr:uid="{F637AC5A-D4FA-4BF9-A821-17D12930C23A}"/>
    <cellStyle name="Style 84 3 3 2 8 2" xfId="33491" xr:uid="{A33958AC-17A6-4F3C-9A63-E76EC7B46B66}"/>
    <cellStyle name="Style 84 3 3 2 9" xfId="14795" xr:uid="{03FFA052-3E78-4017-AA03-269FAC40AF79}"/>
    <cellStyle name="Style 84 3 3 2 9 2" xfId="33492" xr:uid="{25C35FD4-3467-44B9-B282-EAB3696F3892}"/>
    <cellStyle name="Style 84 3 3 3" xfId="7164" xr:uid="{139E5862-C120-4867-BBFE-042CC1CEBDD8}"/>
    <cellStyle name="Style 84 3 3 3 2" xfId="7165" xr:uid="{624E3F91-E175-4D96-BA9C-EF5A1C951E4A}"/>
    <cellStyle name="Style 84 3 3 3 2 2" xfId="14796" xr:uid="{8C6AE69E-CFC9-402C-8966-DCAD63523F36}"/>
    <cellStyle name="Style 84 3 3 3 2 2 2" xfId="33493" xr:uid="{F9DACF49-9CB3-452D-93CD-8807DF2B4189}"/>
    <cellStyle name="Style 84 3 3 3 2 3" xfId="14797" xr:uid="{917A0C9C-0647-4072-9873-90260AB80438}"/>
    <cellStyle name="Style 84 3 3 3 2 3 2" xfId="33494" xr:uid="{F5E65193-1298-4A31-9686-056D65923CF3}"/>
    <cellStyle name="Style 84 3 3 3 3" xfId="14798" xr:uid="{C075E980-8B8B-4226-B118-CE718EF65C8E}"/>
    <cellStyle name="Style 84 3 3 3 3 2" xfId="33495" xr:uid="{87F4B5AA-9BF5-477D-9544-1143EB8B46AA}"/>
    <cellStyle name="Style 84 3 3 3 4" xfId="14799" xr:uid="{0846C93D-D466-470D-BB7B-3E297B41E1DD}"/>
    <cellStyle name="Style 84 3 3 3 4 2" xfId="33496" xr:uid="{8818E5FB-CBDD-458A-BF1A-80DC6AF6C3AA}"/>
    <cellStyle name="Style 84 3 3 3 5" xfId="14800" xr:uid="{2EF7CF6C-9124-4C96-B1FC-456590459A9E}"/>
    <cellStyle name="Style 84 3 3 3 5 2" xfId="33497" xr:uid="{746EE593-4E98-4D79-81C1-15A2D2181484}"/>
    <cellStyle name="Style 84 3 3 3 6" xfId="24100" xr:uid="{3D32C88F-3DE6-4EF0-BEA0-BB98CDC9B83B}"/>
    <cellStyle name="Style 84 3 3 4" xfId="7166" xr:uid="{2EA5FB19-74BF-47C1-B233-17B31D4BFFF1}"/>
    <cellStyle name="Style 84 3 3 4 2" xfId="14801" xr:uid="{3A0BFBD2-D302-42F5-9651-B0E8A83A49E4}"/>
    <cellStyle name="Style 84 3 3 4 2 2" xfId="33498" xr:uid="{FD6D78C4-B1CA-4A4A-8A8F-DC5E5CC37610}"/>
    <cellStyle name="Style 84 3 3 4 3" xfId="14802" xr:uid="{362395DF-BEAD-43D0-A1C5-56EEEBC0B488}"/>
    <cellStyle name="Style 84 3 3 4 3 2" xfId="33499" xr:uid="{D6606869-12AB-4662-B9E1-7272B5894D20}"/>
    <cellStyle name="Style 84 3 3 5" xfId="7167" xr:uid="{A01411C2-A7AB-4377-A190-13C5ADD09555}"/>
    <cellStyle name="Style 84 3 3 5 2" xfId="14803" xr:uid="{3FC63EF9-3B15-4A5F-AA88-854AA95C93C1}"/>
    <cellStyle name="Style 84 3 3 5 2 2" xfId="33500" xr:uid="{264CD709-0058-4642-B312-4ADA9D3C47AC}"/>
    <cellStyle name="Style 84 3 3 6" xfId="7161" xr:uid="{D9EE5B10-6DB5-4223-A320-115397B46304}"/>
    <cellStyle name="Style 84 3 3 6 2" xfId="14804" xr:uid="{BD91CC09-BB86-42D4-85A4-E2C3372CA1BB}"/>
    <cellStyle name="Style 84 3 3 6 2 2" xfId="33501" xr:uid="{623FD85F-74DA-4610-B445-3780D05FCA4D}"/>
    <cellStyle name="Style 84 3 3 7" xfId="14805" xr:uid="{77CE8BD9-3366-40D7-8A07-DB288B687BDC}"/>
    <cellStyle name="Style 84 3 3 7 2" xfId="33502" xr:uid="{ABF818AB-5EF6-485A-8AB2-F375C813840E}"/>
    <cellStyle name="Style 84 3 3 8" xfId="14806" xr:uid="{9FE3AB2F-F30E-44BB-B015-30D504C0CFFF}"/>
    <cellStyle name="Style 84 3 3 8 2" xfId="33503" xr:uid="{73049E6F-8123-4CA5-ABCA-D45C4C605964}"/>
    <cellStyle name="Style 84 3 3 9" xfId="14807" xr:uid="{725F9F45-E39A-4307-91C3-7C3AE7C33C69}"/>
    <cellStyle name="Style 84 3 3 9 2" xfId="33504" xr:uid="{F9079FD4-66CA-4FCA-BDFB-1EE6916FB802}"/>
    <cellStyle name="Style 84 3 4" xfId="3537" xr:uid="{9CDDC1A4-2E77-47C6-AB30-72C04CC7C417}"/>
    <cellStyle name="Style 84 3 4 10" xfId="14808" xr:uid="{855A822A-CD64-420E-A066-4A56C8BF03FF}"/>
    <cellStyle name="Style 84 3 4 10 2" xfId="33505" xr:uid="{1C59F220-22A0-4730-B6C2-4542A8F90839}"/>
    <cellStyle name="Style 84 3 4 11" xfId="14809" xr:uid="{A93C9087-144C-432D-9E59-351F2CEE1CDE}"/>
    <cellStyle name="Style 84 3 4 11 2" xfId="33506" xr:uid="{533D01AC-61A6-48CF-970F-CAE718E1065D}"/>
    <cellStyle name="Style 84 3 4 12" xfId="14810" xr:uid="{B1A83A72-3354-4023-8468-78B187E6A079}"/>
    <cellStyle name="Style 84 3 4 12 2" xfId="33507" xr:uid="{AF1C27BB-07A1-4E8D-B99B-210D87133234}"/>
    <cellStyle name="Style 84 3 4 13" xfId="14811" xr:uid="{1F4B7889-05A5-4AEA-A63D-CA934D0B8A5F}"/>
    <cellStyle name="Style 84 3 4 13 2" xfId="33508" xr:uid="{5C306306-3F91-4C0C-9D0F-60018F5A436F}"/>
    <cellStyle name="Style 84 3 4 14" xfId="14812" xr:uid="{5C517330-909C-42F8-A1A9-A1B0BDBA903E}"/>
    <cellStyle name="Style 84 3 4 14 2" xfId="33509" xr:uid="{DA54CA99-B237-49BE-B9BD-261C2C8AEDB5}"/>
    <cellStyle name="Style 84 3 4 15" xfId="24101" xr:uid="{C541DEF8-7170-40D7-8307-2A6BA4711E99}"/>
    <cellStyle name="Style 84 3 4 2" xfId="3538" xr:uid="{8DE19B26-20DC-4B4A-862E-1ABCA04DC774}"/>
    <cellStyle name="Style 84 3 4 2 10" xfId="14813" xr:uid="{6D33E7E1-D279-4886-BD17-7820DEA41D5F}"/>
    <cellStyle name="Style 84 3 4 2 10 2" xfId="33510" xr:uid="{BBD33B80-E44B-4D5E-B8E5-1E4CC6C74672}"/>
    <cellStyle name="Style 84 3 4 2 11" xfId="14814" xr:uid="{3C1A0F92-AC41-4AC8-B7B1-5B46249891ED}"/>
    <cellStyle name="Style 84 3 4 2 11 2" xfId="33511" xr:uid="{07CA4B0D-3973-4D1F-9C9F-DF9D185F7F03}"/>
    <cellStyle name="Style 84 3 4 2 12" xfId="14815" xr:uid="{6A71597B-6780-43D9-81E7-E55EEC3E6E28}"/>
    <cellStyle name="Style 84 3 4 2 12 2" xfId="33512" xr:uid="{98706F11-B6AA-40F7-B94C-92B7FB5278C2}"/>
    <cellStyle name="Style 84 3 4 2 13" xfId="14816" xr:uid="{F2D43B80-1CBB-4F6A-87EF-1AA3EDF15067}"/>
    <cellStyle name="Style 84 3 4 2 13 2" xfId="33513" xr:uid="{169C2FD0-2B38-4B59-BF0D-8AFE3553BD1F}"/>
    <cellStyle name="Style 84 3 4 2 14" xfId="24102" xr:uid="{1B156391-4256-416E-83BF-06DB3890588B}"/>
    <cellStyle name="Style 84 3 4 2 2" xfId="7170" xr:uid="{A586DD5A-C889-4114-A3AD-38956539B635}"/>
    <cellStyle name="Style 84 3 4 2 2 2" xfId="14817" xr:uid="{55CFE896-9965-4100-89CD-FA226C693371}"/>
    <cellStyle name="Style 84 3 4 2 2 2 2" xfId="33514" xr:uid="{004BBEB1-5002-4C18-8B90-563C566F7E80}"/>
    <cellStyle name="Style 84 3 4 2 2 3" xfId="14818" xr:uid="{1157D7A5-4A6F-4101-9395-3411873A694A}"/>
    <cellStyle name="Style 84 3 4 2 2 3 2" xfId="33515" xr:uid="{3728B955-E58D-43F5-98BC-1F2C7DACA63C}"/>
    <cellStyle name="Style 84 3 4 2 3" xfId="7169" xr:uid="{EC257175-7BC0-4A2D-AFB1-F03BF73F2BEF}"/>
    <cellStyle name="Style 84 3 4 2 3 2" xfId="14819" xr:uid="{FEF010A7-E26E-4F06-B0DB-64CE27741833}"/>
    <cellStyle name="Style 84 3 4 2 3 2 2" xfId="33516" xr:uid="{222A5898-29C1-45E9-8247-D7E11EBC92F4}"/>
    <cellStyle name="Style 84 3 4 2 4" xfId="14820" xr:uid="{055B52D6-AF08-47FA-A0B1-3BEA7CFCAD60}"/>
    <cellStyle name="Style 84 3 4 2 4 2" xfId="33517" xr:uid="{EACCCDE9-A983-406B-AC9D-92B1A36C7DF6}"/>
    <cellStyle name="Style 84 3 4 2 5" xfId="14821" xr:uid="{67727010-8932-4211-960D-F9BD82CD8A76}"/>
    <cellStyle name="Style 84 3 4 2 5 2" xfId="33518" xr:uid="{9F18CDEA-50F5-4D9A-A031-9BC612122068}"/>
    <cellStyle name="Style 84 3 4 2 6" xfId="14822" xr:uid="{9B384E57-2970-4762-A915-79D5BE625B6C}"/>
    <cellStyle name="Style 84 3 4 2 6 2" xfId="33519" xr:uid="{D5B29DD1-07B7-437E-B573-B6A7BE0E6826}"/>
    <cellStyle name="Style 84 3 4 2 7" xfId="14823" xr:uid="{8C447BCF-C700-438A-B2DD-F8D097C478FE}"/>
    <cellStyle name="Style 84 3 4 2 7 2" xfId="33520" xr:uid="{9A38D757-DA93-4598-9ADC-15635270BADF}"/>
    <cellStyle name="Style 84 3 4 2 8" xfId="14824" xr:uid="{4B87C5D8-113B-4EF3-8D05-C6C429A45921}"/>
    <cellStyle name="Style 84 3 4 2 8 2" xfId="33521" xr:uid="{080CCA87-AA54-4A3B-A346-E1CB5A00F1E3}"/>
    <cellStyle name="Style 84 3 4 2 9" xfId="14825" xr:uid="{706EAB59-648F-4F59-9D47-FA15084F05DD}"/>
    <cellStyle name="Style 84 3 4 2 9 2" xfId="33522" xr:uid="{EBFE933D-C56A-47CF-B026-FEB2A9A1C97E}"/>
    <cellStyle name="Style 84 3 4 3" xfId="7171" xr:uid="{43E77D39-ED5F-4D78-9108-CF1D7805E41F}"/>
    <cellStyle name="Style 84 3 4 3 2" xfId="14826" xr:uid="{C5BC0A69-2AB5-4AC6-AE78-7877F91FE550}"/>
    <cellStyle name="Style 84 3 4 3 2 2" xfId="33523" xr:uid="{B929BDFF-A198-4C5D-AC75-E5F4521A51A1}"/>
    <cellStyle name="Style 84 3 4 3 3" xfId="14827" xr:uid="{F32DEB8A-2D88-4977-96BF-4FEBC120E62D}"/>
    <cellStyle name="Style 84 3 4 3 3 2" xfId="33524" xr:uid="{343CC040-13E1-48EC-84D2-59210ABF9CEA}"/>
    <cellStyle name="Style 84 3 4 4" xfId="7168" xr:uid="{B8C635C0-DFA6-4B20-954B-0A323BBFB100}"/>
    <cellStyle name="Style 84 3 4 4 2" xfId="14828" xr:uid="{05A7BF70-820F-446A-ACE5-E165DDB5CF84}"/>
    <cellStyle name="Style 84 3 4 4 2 2" xfId="33525" xr:uid="{EC049FF1-29A6-492B-84AF-44C608BD45EF}"/>
    <cellStyle name="Style 84 3 4 5" xfId="14829" xr:uid="{8D8B49A4-A4CC-43F5-A17B-CFD68994D3AC}"/>
    <cellStyle name="Style 84 3 4 5 2" xfId="33526" xr:uid="{65555250-5508-4307-B057-CBF42895C9DC}"/>
    <cellStyle name="Style 84 3 4 6" xfId="14830" xr:uid="{463936C4-904C-44FC-B5D8-48BB0F95BBBC}"/>
    <cellStyle name="Style 84 3 4 6 2" xfId="33527" xr:uid="{FADB42C4-6339-4513-8644-F6AF5F229589}"/>
    <cellStyle name="Style 84 3 4 7" xfId="14831" xr:uid="{0AF0711B-9018-4AEA-9246-5086F05AD226}"/>
    <cellStyle name="Style 84 3 4 7 2" xfId="33528" xr:uid="{E1AD0371-7E8F-4571-A456-B4E801013335}"/>
    <cellStyle name="Style 84 3 4 8" xfId="14832" xr:uid="{76E49A79-06A5-40E5-A823-2B0FC45CED1D}"/>
    <cellStyle name="Style 84 3 4 8 2" xfId="33529" xr:uid="{473C4101-2049-4873-B793-642C97A01CE8}"/>
    <cellStyle name="Style 84 3 4 9" xfId="14833" xr:uid="{8A3B6A34-D2D4-49A0-AA90-10DCB313AF67}"/>
    <cellStyle name="Style 84 3 4 9 2" xfId="33530" xr:uid="{7869E6D3-9EE4-446F-ACA3-43FCA22A61BA}"/>
    <cellStyle name="Style 84 3 5" xfId="7172" xr:uid="{37DAF5B9-ABE2-4E4F-8A57-E5B044763605}"/>
    <cellStyle name="Style 84 3 5 2" xfId="14834" xr:uid="{30F9D6A2-9E7E-4AAA-811D-1229E529887F}"/>
    <cellStyle name="Style 84 3 5 2 2" xfId="14835" xr:uid="{8BC2FA2D-BFD1-4424-BD5B-E0F54CDE205E}"/>
    <cellStyle name="Style 84 3 5 2 2 2" xfId="33532" xr:uid="{B094D3C6-E9F2-4F76-82A2-07B0C63D980A}"/>
    <cellStyle name="Style 84 3 5 2 3" xfId="33531" xr:uid="{1DAC5086-B3CE-479E-924C-FFED6518EE33}"/>
    <cellStyle name="Style 84 3 5 3" xfId="14836" xr:uid="{6323A559-10B0-4191-8408-CF87CB66230B}"/>
    <cellStyle name="Style 84 3 5 3 2" xfId="33533" xr:uid="{B8B9C4AF-D272-424C-820E-484BDE3B3D4B}"/>
    <cellStyle name="Style 84 3 5 4" xfId="14837" xr:uid="{38BF80B9-14A8-469A-A3D4-848D258F73C2}"/>
    <cellStyle name="Style 84 3 5 4 2" xfId="33534" xr:uid="{73B936AF-F33D-416D-95A3-3F7498210DCA}"/>
    <cellStyle name="Style 84 3 5 5" xfId="14838" xr:uid="{4AA266EB-4811-4916-9062-4BF61C1E1E6B}"/>
    <cellStyle name="Style 84 3 5 5 2" xfId="33535" xr:uid="{9336B1FD-9D18-44FD-A605-FFB3494E5312}"/>
    <cellStyle name="Style 84 3 6" xfId="7173" xr:uid="{32C9A387-B5C2-4D0E-9119-EDF5E25721EA}"/>
    <cellStyle name="Style 84 3 6 2" xfId="14839" xr:uid="{3DB21499-FCEC-4B3B-A297-359650CC737B}"/>
    <cellStyle name="Style 84 3 6 2 2" xfId="33536" xr:uid="{718111C8-452A-4E4E-A06A-4CAE3891BD58}"/>
    <cellStyle name="Style 84 3 6 3" xfId="14840" xr:uid="{F377B467-1232-4792-B10A-4C305D6174D6}"/>
    <cellStyle name="Style 84 3 6 3 2" xfId="33537" xr:uid="{EA7513E9-19B0-4478-BACE-1DD759B9EF4A}"/>
    <cellStyle name="Style 84 3 7" xfId="7158" xr:uid="{B4D0D49D-F457-49EA-ACA8-D235F12E06ED}"/>
    <cellStyle name="Style 84 3 7 2" xfId="14841" xr:uid="{262B672B-E287-4972-979F-FA8B608DB947}"/>
    <cellStyle name="Style 84 3 7 2 2" xfId="33538" xr:uid="{64174B32-AD77-495C-91E9-65C0E85D8E20}"/>
    <cellStyle name="Style 84 3 8" xfId="14842" xr:uid="{AE4EA84F-CE71-4EE9-B21C-C30189817D3F}"/>
    <cellStyle name="Style 84 3 8 2" xfId="33539" xr:uid="{448FC9CC-8A11-46BA-9FFC-1A67F0E67620}"/>
    <cellStyle name="Style 84 3 9" xfId="14843" xr:uid="{1C07911C-9A19-47B6-AC86-4100FEEBE232}"/>
    <cellStyle name="Style 84 3 9 2" xfId="33540" xr:uid="{5F3C5561-38E4-4845-BE44-2616B67A36A0}"/>
    <cellStyle name="Style 84 4" xfId="3539" xr:uid="{82701975-7B35-4E55-BCD3-66C9EB2DFD1A}"/>
    <cellStyle name="Style 84 4 10" xfId="14844" xr:uid="{817F82D3-EB0F-4861-B341-5DB4A5CFBFE8}"/>
    <cellStyle name="Style 84 4 10 2" xfId="33541" xr:uid="{208BDC7D-DDB9-40C2-8E19-0CD0928BABA2}"/>
    <cellStyle name="Style 84 4 11" xfId="14845" xr:uid="{EB4EECF2-D2C8-4657-9A67-3B4512EDEA4C}"/>
    <cellStyle name="Style 84 4 11 2" xfId="33542" xr:uid="{057353BC-125E-4221-B5EB-1E7C5DFD902C}"/>
    <cellStyle name="Style 84 4 12" xfId="14846" xr:uid="{85B40079-81FE-42B7-B0D5-2726D49823C5}"/>
    <cellStyle name="Style 84 4 12 2" xfId="33543" xr:uid="{E1AE0506-996A-408B-B3DB-3920647B3836}"/>
    <cellStyle name="Style 84 4 13" xfId="14847" xr:uid="{B5C66F17-BCC4-4FEF-A26A-2B5866FEB9DA}"/>
    <cellStyle name="Style 84 4 13 2" xfId="33544" xr:uid="{9DF9E398-E481-4143-88DD-43EE6CBEF7B6}"/>
    <cellStyle name="Style 84 4 14" xfId="14848" xr:uid="{63F701A3-300C-499A-B8E9-D6BFD0731ECA}"/>
    <cellStyle name="Style 84 4 14 2" xfId="33545" xr:uid="{C9BC61D9-53EF-4F32-9AA5-F107B7A6BF38}"/>
    <cellStyle name="Style 84 4 15" xfId="14849" xr:uid="{51E91824-7C6B-4AF7-B429-1E77DB5851A0}"/>
    <cellStyle name="Style 84 4 15 2" xfId="33546" xr:uid="{A5C5B34E-0795-4E53-82CA-AB5FB9CFB5B5}"/>
    <cellStyle name="Style 84 4 16" xfId="24103" xr:uid="{C5E0953A-6906-4FCB-85AF-4500CC343AF2}"/>
    <cellStyle name="Style 84 4 2" xfId="3540" xr:uid="{A1F03012-D540-4785-B623-0725FFC2A6C6}"/>
    <cellStyle name="Style 84 4 2 10" xfId="14850" xr:uid="{AC0DF465-FB54-4A04-94DC-1B2ED3227AF3}"/>
    <cellStyle name="Style 84 4 2 10 2" xfId="33547" xr:uid="{D9DAC43F-CBAB-4182-9FBA-72063592166E}"/>
    <cellStyle name="Style 84 4 2 11" xfId="14851" xr:uid="{D9A8B8E9-6267-4466-B43A-34FE83DEF1E4}"/>
    <cellStyle name="Style 84 4 2 11 2" xfId="33548" xr:uid="{45AAEC25-C41F-47E3-B0A2-481B733CDD3D}"/>
    <cellStyle name="Style 84 4 2 12" xfId="14852" xr:uid="{1B76B87C-8FD9-4424-8C39-7C47D4C0F174}"/>
    <cellStyle name="Style 84 4 2 12 2" xfId="33549" xr:uid="{784FB927-B70A-4A89-B768-CB7F140FB190}"/>
    <cellStyle name="Style 84 4 2 13" xfId="14853" xr:uid="{4600D57B-87F6-4E08-BFBF-1F19E033C173}"/>
    <cellStyle name="Style 84 4 2 13 2" xfId="33550" xr:uid="{9D21D0CF-9079-4DBE-BE1D-2AB6630488D1}"/>
    <cellStyle name="Style 84 4 2 14" xfId="24104" xr:uid="{3A7C3C93-8477-4AB7-AEDF-705A0F249086}"/>
    <cellStyle name="Style 84 4 2 2" xfId="7176" xr:uid="{C8B16048-685A-4B34-ABB5-4B0C855E4C89}"/>
    <cellStyle name="Style 84 4 2 2 2" xfId="14854" xr:uid="{756EC141-29B0-4DAE-B564-745529774A0A}"/>
    <cellStyle name="Style 84 4 2 2 2 2" xfId="33551" xr:uid="{A4690F55-5F96-401B-876F-AFB29AD94B57}"/>
    <cellStyle name="Style 84 4 2 2 3" xfId="14855" xr:uid="{F353C732-3EB0-4507-B18F-58851E930DA0}"/>
    <cellStyle name="Style 84 4 2 2 3 2" xfId="33552" xr:uid="{BAF6BE3F-23A1-4CFF-9F30-1A66E913D8AF}"/>
    <cellStyle name="Style 84 4 2 3" xfId="7175" xr:uid="{BB3E6916-3C83-420C-8DEC-2369338C4B7B}"/>
    <cellStyle name="Style 84 4 2 3 2" xfId="14856" xr:uid="{1B231983-1AE2-4B59-A217-87E87A15C747}"/>
    <cellStyle name="Style 84 4 2 3 2 2" xfId="33553" xr:uid="{D4D8C4C4-6C88-44DF-8D58-83367B5B9DE7}"/>
    <cellStyle name="Style 84 4 2 4" xfId="14857" xr:uid="{2B39E3A7-5918-4B9C-BF59-6847B1B38247}"/>
    <cellStyle name="Style 84 4 2 4 2" xfId="33554" xr:uid="{2964B45D-663D-4BF1-8D3F-DC2BA2BC3AB3}"/>
    <cellStyle name="Style 84 4 2 5" xfId="14858" xr:uid="{1396B6DB-2619-49DF-8532-D6FA8436DE39}"/>
    <cellStyle name="Style 84 4 2 5 2" xfId="33555" xr:uid="{CE2AD33E-FEF6-4F02-8DAB-C36F55045D3D}"/>
    <cellStyle name="Style 84 4 2 6" xfId="14859" xr:uid="{CE281701-1A5D-4B39-B091-A4C0E33C9418}"/>
    <cellStyle name="Style 84 4 2 6 2" xfId="33556" xr:uid="{FD959A83-E530-4A77-9C72-C67EFAA78DF6}"/>
    <cellStyle name="Style 84 4 2 7" xfId="14860" xr:uid="{B22958C6-4085-4667-BB15-1E4861A614A4}"/>
    <cellStyle name="Style 84 4 2 7 2" xfId="33557" xr:uid="{C5510989-8828-4627-9823-5C500068F9BE}"/>
    <cellStyle name="Style 84 4 2 8" xfId="14861" xr:uid="{3628BF73-2545-447C-826F-3A16775CC410}"/>
    <cellStyle name="Style 84 4 2 8 2" xfId="33558" xr:uid="{33BB78A2-E5A5-4653-830F-29B77FE1AAA5}"/>
    <cellStyle name="Style 84 4 2 9" xfId="14862" xr:uid="{EB713977-54E2-4E67-9823-983A6BEFB9E7}"/>
    <cellStyle name="Style 84 4 2 9 2" xfId="33559" xr:uid="{02090949-C8F7-4CEB-BE32-903534DBFCF3}"/>
    <cellStyle name="Style 84 4 3" xfId="7177" xr:uid="{4DC0CC18-B966-4FE6-9C4B-ED053B9AA691}"/>
    <cellStyle name="Style 84 4 3 2" xfId="7178" xr:uid="{9B4FA55A-A883-4AB6-8559-F7A5D5BD332F}"/>
    <cellStyle name="Style 84 4 3 2 2" xfId="14863" xr:uid="{A84491B8-49D3-4155-9BAE-3C26057B1E03}"/>
    <cellStyle name="Style 84 4 3 2 2 2" xfId="33560" xr:uid="{D9E162D0-E750-4B2B-9C77-0B258264507F}"/>
    <cellStyle name="Style 84 4 3 2 3" xfId="14864" xr:uid="{0E3B2417-E277-4D8D-9960-249EB05DBF4D}"/>
    <cellStyle name="Style 84 4 3 2 3 2" xfId="33561" xr:uid="{0FFEB2CF-8279-4C91-BD1C-8A749C8DFCFF}"/>
    <cellStyle name="Style 84 4 3 3" xfId="14865" xr:uid="{C1265667-EEAE-4217-8970-96F02C589EDC}"/>
    <cellStyle name="Style 84 4 3 3 2" xfId="33562" xr:uid="{AE1D6213-CECA-4CBA-AB33-F67B3A6ABFED}"/>
    <cellStyle name="Style 84 4 3 4" xfId="14866" xr:uid="{54284F83-004C-45C6-BF85-CD6A8D1BBFA9}"/>
    <cellStyle name="Style 84 4 3 4 2" xfId="33563" xr:uid="{2C711141-6A75-4221-9943-5D0B208EFB9E}"/>
    <cellStyle name="Style 84 4 3 5" xfId="14867" xr:uid="{80F7D5C8-676D-418A-BE66-801AB7B62E5A}"/>
    <cellStyle name="Style 84 4 3 5 2" xfId="33564" xr:uid="{CC71DDBA-1043-4438-BFBD-D9907713E04F}"/>
    <cellStyle name="Style 84 4 3 6" xfId="24105" xr:uid="{25B2DAC3-1B47-46B0-A703-137B8F4A23ED}"/>
    <cellStyle name="Style 84 4 4" xfId="7179" xr:uid="{4CDB2026-BFF6-4FAE-8315-C2DBF1E870B4}"/>
    <cellStyle name="Style 84 4 4 2" xfId="14868" xr:uid="{C7DC2627-8B0F-4AF9-A258-00280D841EE4}"/>
    <cellStyle name="Style 84 4 4 2 2" xfId="33565" xr:uid="{1E60C6D9-96FA-4C2F-81DD-3ACC0D85D5FD}"/>
    <cellStyle name="Style 84 4 4 3" xfId="14869" xr:uid="{26F80949-C05E-472A-9915-725C5FBC5712}"/>
    <cellStyle name="Style 84 4 4 3 2" xfId="33566" xr:uid="{4A122FA6-0F29-48E3-90B3-8FCEF682E4CD}"/>
    <cellStyle name="Style 84 4 5" xfId="7180" xr:uid="{1DF5CA10-C7CA-4F23-BCCF-1A3B46BA80A7}"/>
    <cellStyle name="Style 84 4 5 2" xfId="14870" xr:uid="{80C37F26-27CA-4028-9B55-91098FC2B9C5}"/>
    <cellStyle name="Style 84 4 5 2 2" xfId="33567" xr:uid="{E0149BCB-9B5C-4E28-B2C5-164D6305D98F}"/>
    <cellStyle name="Style 84 4 6" xfId="7174" xr:uid="{363F36B8-1D78-4D51-8F23-F3241B462F57}"/>
    <cellStyle name="Style 84 4 6 2" xfId="14871" xr:uid="{A00C3CEE-B1A8-4E38-8122-8C014A317EB7}"/>
    <cellStyle name="Style 84 4 6 2 2" xfId="33568" xr:uid="{07A0F870-D1AB-47AF-B7F6-07BAA8FAC108}"/>
    <cellStyle name="Style 84 4 7" xfId="14872" xr:uid="{558193DF-5099-40FD-9933-6B188269F8D0}"/>
    <cellStyle name="Style 84 4 7 2" xfId="33569" xr:uid="{01B1ECA7-5DB9-40DA-B06A-46DC876D71AF}"/>
    <cellStyle name="Style 84 4 8" xfId="14873" xr:uid="{73E17B32-2211-4FD3-A79C-5AF21296C03F}"/>
    <cellStyle name="Style 84 4 8 2" xfId="33570" xr:uid="{CE3BA1A3-B7C7-45EB-97C0-F00CFE165E17}"/>
    <cellStyle name="Style 84 4 9" xfId="14874" xr:uid="{C0338A4A-EB3C-492D-9DA7-DA41F90B1F46}"/>
    <cellStyle name="Style 84 4 9 2" xfId="33571" xr:uid="{025CE25A-F33F-49FD-97B5-E6692C0CB98A}"/>
    <cellStyle name="Style 84 5" xfId="3541" xr:uid="{08CA3A02-00D4-437E-AD9C-5B7E7857319F}"/>
    <cellStyle name="Style 84 5 10" xfId="14875" xr:uid="{9431445F-C81D-462D-B38E-9BAACD9E103B}"/>
    <cellStyle name="Style 84 5 10 2" xfId="33572" xr:uid="{694FEEEA-A9DE-49EF-B003-EB41A9503516}"/>
    <cellStyle name="Style 84 5 11" xfId="14876" xr:uid="{76188ECF-BD96-4A5A-A476-8832B89357C8}"/>
    <cellStyle name="Style 84 5 11 2" xfId="33573" xr:uid="{84FBF54F-DA4C-4A73-9A95-FC103B740403}"/>
    <cellStyle name="Style 84 5 12" xfId="14877" xr:uid="{D64A1CB6-21BF-49A3-9AC3-5CBDBA1C647E}"/>
    <cellStyle name="Style 84 5 12 2" xfId="33574" xr:uid="{148AC921-F9CA-474A-AEEF-8B34C35BE6CC}"/>
    <cellStyle name="Style 84 5 13" xfId="14878" xr:uid="{905B7B87-00CA-4544-9180-6A30442F8E89}"/>
    <cellStyle name="Style 84 5 13 2" xfId="33575" xr:uid="{EB5C5007-F8E1-4B1C-9993-DF2A1270F140}"/>
    <cellStyle name="Style 84 5 14" xfId="14879" xr:uid="{B1755058-6726-411D-B04A-0E3426D56C17}"/>
    <cellStyle name="Style 84 5 14 2" xfId="33576" xr:uid="{D9B81FC8-ED04-4FE0-AB0C-C405D79630CE}"/>
    <cellStyle name="Style 84 5 15" xfId="24106" xr:uid="{C500F66B-C0D0-433B-8EA0-825F28B38AC6}"/>
    <cellStyle name="Style 84 5 2" xfId="3542" xr:uid="{DF31EC82-8A49-4B18-B2ED-4B3F3D434298}"/>
    <cellStyle name="Style 84 5 2 10" xfId="14880" xr:uid="{49633959-11C7-40BE-B721-C95EAFAE9A4A}"/>
    <cellStyle name="Style 84 5 2 10 2" xfId="33577" xr:uid="{5AD0F756-6488-4E9A-A26B-61ACD4DFE7D0}"/>
    <cellStyle name="Style 84 5 2 11" xfId="14881" xr:uid="{AE0E208E-1D35-4938-B3A9-671A5665AC4B}"/>
    <cellStyle name="Style 84 5 2 11 2" xfId="33578" xr:uid="{BC87A82F-6CEC-47EA-A740-8E84198AEC51}"/>
    <cellStyle name="Style 84 5 2 12" xfId="14882" xr:uid="{D93FFE8F-D4FB-4715-A61A-7FF4DCE662B0}"/>
    <cellStyle name="Style 84 5 2 12 2" xfId="33579" xr:uid="{2F734B39-66B3-4A56-8692-2E08EA226446}"/>
    <cellStyle name="Style 84 5 2 13" xfId="14883" xr:uid="{1F1870D7-D5CC-4126-B62C-D042B66252DF}"/>
    <cellStyle name="Style 84 5 2 13 2" xfId="33580" xr:uid="{326F1F7D-B0A2-4458-9D52-0436DC597F0F}"/>
    <cellStyle name="Style 84 5 2 14" xfId="24107" xr:uid="{E638E228-2810-4206-8DF7-C12FFDD5F67D}"/>
    <cellStyle name="Style 84 5 2 2" xfId="7183" xr:uid="{C8AE1961-D338-4603-93CF-FC5F125B59A8}"/>
    <cellStyle name="Style 84 5 2 2 2" xfId="14884" xr:uid="{FB9C1590-E281-4509-99B4-5065F42CBC4C}"/>
    <cellStyle name="Style 84 5 2 2 2 2" xfId="33581" xr:uid="{FC610095-18A8-4A9F-BC80-23C228CF2826}"/>
    <cellStyle name="Style 84 5 2 2 3" xfId="14885" xr:uid="{30D5C6C6-E344-4080-8000-D0920A73BB1F}"/>
    <cellStyle name="Style 84 5 2 2 3 2" xfId="33582" xr:uid="{A45D3734-918F-414C-870B-E141E2DA9C57}"/>
    <cellStyle name="Style 84 5 2 3" xfId="7182" xr:uid="{3FBC9CCA-513E-439A-9DB7-EDDAD45C557E}"/>
    <cellStyle name="Style 84 5 2 3 2" xfId="14886" xr:uid="{6F7584C3-D164-426F-BBD5-A547C6A7179D}"/>
    <cellStyle name="Style 84 5 2 3 2 2" xfId="33583" xr:uid="{B9901B80-E952-4329-8C03-D3486F031058}"/>
    <cellStyle name="Style 84 5 2 4" xfId="14887" xr:uid="{25A2A5AE-660A-4547-88B7-DBCECA1C97D5}"/>
    <cellStyle name="Style 84 5 2 4 2" xfId="33584" xr:uid="{C5C82AE1-1546-47DF-BE26-576421D0C833}"/>
    <cellStyle name="Style 84 5 2 5" xfId="14888" xr:uid="{48C6F3A1-3232-48B6-B767-54A9003215C5}"/>
    <cellStyle name="Style 84 5 2 5 2" xfId="33585" xr:uid="{DD4A7A51-590F-4B9A-97D7-785A7D5E64EB}"/>
    <cellStyle name="Style 84 5 2 6" xfId="14889" xr:uid="{108EB11B-D319-48FA-A7D1-270C7AE9683D}"/>
    <cellStyle name="Style 84 5 2 6 2" xfId="33586" xr:uid="{D1474A4D-AF2D-4C13-AA08-82013DE66010}"/>
    <cellStyle name="Style 84 5 2 7" xfId="14890" xr:uid="{2F31B15D-C378-40B3-961B-DD938F39C6EA}"/>
    <cellStyle name="Style 84 5 2 7 2" xfId="33587" xr:uid="{CBB6E3E8-5679-4A3C-BDB5-2D021CFEADE4}"/>
    <cellStyle name="Style 84 5 2 8" xfId="14891" xr:uid="{E079C862-08C6-4568-956C-1B12B35F53A7}"/>
    <cellStyle name="Style 84 5 2 8 2" xfId="33588" xr:uid="{2690664C-8552-4174-ABB1-00ADEC29554C}"/>
    <cellStyle name="Style 84 5 2 9" xfId="14892" xr:uid="{71434F3F-65CF-4F8D-AEA4-32A234D96078}"/>
    <cellStyle name="Style 84 5 2 9 2" xfId="33589" xr:uid="{70E598D5-F897-42D9-9203-98A8F7783EAC}"/>
    <cellStyle name="Style 84 5 3" xfId="7184" xr:uid="{E9C180C4-5665-4665-A83C-25FA0F54898C}"/>
    <cellStyle name="Style 84 5 3 2" xfId="14893" xr:uid="{E49DF278-5437-4DDE-B6A9-2DD9CB79FB2D}"/>
    <cellStyle name="Style 84 5 3 2 2" xfId="33590" xr:uid="{CEC488C0-ECDB-48B5-A419-AABBCEAF91A2}"/>
    <cellStyle name="Style 84 5 3 3" xfId="14894" xr:uid="{AB4F72DE-E13A-49C5-B64F-AC902A0EF681}"/>
    <cellStyle name="Style 84 5 3 3 2" xfId="33591" xr:uid="{2485706C-DF88-45DA-B4B7-B2F5CF1E1236}"/>
    <cellStyle name="Style 84 5 4" xfId="7181" xr:uid="{18686564-B5E2-4F65-83E3-B6432F41A296}"/>
    <cellStyle name="Style 84 5 4 2" xfId="14895" xr:uid="{C6CB4C9C-77F1-463A-BFAF-27C29A35C15B}"/>
    <cellStyle name="Style 84 5 4 2 2" xfId="33592" xr:uid="{A98EDEBD-7D05-4DC1-8ADE-082C1A4DDE94}"/>
    <cellStyle name="Style 84 5 5" xfId="14896" xr:uid="{3DD04D93-AB4E-459D-8F61-62004CC6889E}"/>
    <cellStyle name="Style 84 5 5 2" xfId="33593" xr:uid="{79B72670-0241-45CC-AD13-34C9DF59E0DE}"/>
    <cellStyle name="Style 84 5 6" xfId="14897" xr:uid="{FD4D6762-72A9-43D3-B460-3E48E5AD7F4B}"/>
    <cellStyle name="Style 84 5 6 2" xfId="33594" xr:uid="{BC8652D7-A270-4629-9391-6E08A1FDDD5E}"/>
    <cellStyle name="Style 84 5 7" xfId="14898" xr:uid="{32592A5A-C7E3-4533-868B-09426D9E8EB5}"/>
    <cellStyle name="Style 84 5 7 2" xfId="33595" xr:uid="{C0FE2CF3-FD7D-4E61-9AEB-B889007F239B}"/>
    <cellStyle name="Style 84 5 8" xfId="14899" xr:uid="{36A6F07E-3335-483F-8D65-0812CB21A3A7}"/>
    <cellStyle name="Style 84 5 8 2" xfId="33596" xr:uid="{80C78946-E4BF-48D7-ABF1-0E115CFA9609}"/>
    <cellStyle name="Style 84 5 9" xfId="14900" xr:uid="{CBFF7470-AF82-4950-A933-BD5FEEBD0ABA}"/>
    <cellStyle name="Style 84 5 9 2" xfId="33597" xr:uid="{756353E6-AD8C-4B17-B310-09ACC5C210FC}"/>
    <cellStyle name="Style 84 6" xfId="3543" xr:uid="{33EB9D01-F02E-4D86-A801-B43A3545D809}"/>
    <cellStyle name="Style 84 6 10" xfId="14901" xr:uid="{60E1B68F-723B-4DFC-8F1C-A990FD43EB6D}"/>
    <cellStyle name="Style 84 6 10 2" xfId="33598" xr:uid="{F005DF50-2676-4A82-A18F-43D99458ED4B}"/>
    <cellStyle name="Style 84 6 11" xfId="14902" xr:uid="{6DDDA0FF-0B3D-4011-A5D8-702F634B775A}"/>
    <cellStyle name="Style 84 6 11 2" xfId="33599" xr:uid="{6169DF74-4256-473E-BD76-1862B8F5EBB7}"/>
    <cellStyle name="Style 84 6 12" xfId="14903" xr:uid="{F2CBE7B9-00B4-4EA2-B437-F0C63CB179A7}"/>
    <cellStyle name="Style 84 6 12 2" xfId="33600" xr:uid="{ABEE0126-F128-43D9-9856-2E6FA7B7516A}"/>
    <cellStyle name="Style 84 6 13" xfId="14904" xr:uid="{C500EA7F-2EF5-4742-ABB7-0C3B5A4AC9A7}"/>
    <cellStyle name="Style 84 6 13 2" xfId="33601" xr:uid="{A150C710-FBB8-4436-BD57-CEB5EA02A8BD}"/>
    <cellStyle name="Style 84 6 14" xfId="14905" xr:uid="{679AC16E-7E1E-4210-8178-2681D63EBEF3}"/>
    <cellStyle name="Style 84 6 14 2" xfId="33602" xr:uid="{B8DF2EED-C259-4BC9-8E7C-1189EB968901}"/>
    <cellStyle name="Style 84 6 15" xfId="24108" xr:uid="{AD933CC6-69C9-4AEA-A08F-DE689B16C0BC}"/>
    <cellStyle name="Style 84 6 2" xfId="3544" xr:uid="{DA5FA3BB-E4DE-46A0-ADC0-A7E67B2D9CB7}"/>
    <cellStyle name="Style 84 6 2 10" xfId="14906" xr:uid="{05636D6E-AEAB-4A55-9D44-74CC6DEB664E}"/>
    <cellStyle name="Style 84 6 2 10 2" xfId="33603" xr:uid="{3B6EE00E-E701-41B3-A7DA-AB1965C3B1D1}"/>
    <cellStyle name="Style 84 6 2 11" xfId="14907" xr:uid="{FB577E7F-176F-4FC4-B606-A4480FB5D61B}"/>
    <cellStyle name="Style 84 6 2 11 2" xfId="33604" xr:uid="{A6D91B75-36E7-4D77-B2EF-B9D596E48D80}"/>
    <cellStyle name="Style 84 6 2 12" xfId="14908" xr:uid="{658312C6-AE8B-4B14-A885-48FC7F16F43B}"/>
    <cellStyle name="Style 84 6 2 12 2" xfId="33605" xr:uid="{C7342669-AA78-4CE6-AADC-9C6ED87512ED}"/>
    <cellStyle name="Style 84 6 2 2" xfId="7186" xr:uid="{02B8C21D-D97B-4054-9BE1-B577DCCB5460}"/>
    <cellStyle name="Style 84 6 2 2 2" xfId="14909" xr:uid="{70FF17CC-43B1-43D1-A2F3-8E668A3776B6}"/>
    <cellStyle name="Style 84 6 2 2 2 2" xfId="33606" xr:uid="{B6DC84BC-C200-4B11-8C9E-B8062E890733}"/>
    <cellStyle name="Style 84 6 2 2 3" xfId="14910" xr:uid="{1DB41DA5-8F0A-4D67-9BC6-992C80FE9D94}"/>
    <cellStyle name="Style 84 6 2 2 3 2" xfId="33607" xr:uid="{F5E41AF8-6CF5-4BF1-BDCB-E67ABD820ABA}"/>
    <cellStyle name="Style 84 6 2 3" xfId="14911" xr:uid="{238B09F7-3AF5-485B-96F4-A81369525190}"/>
    <cellStyle name="Style 84 6 2 3 2" xfId="33608" xr:uid="{D860DEED-9B70-451C-BE43-135C31A8E49E}"/>
    <cellStyle name="Style 84 6 2 4" xfId="14912" xr:uid="{B90D22F4-E956-4C3A-8E5E-CF2EB6A8AA97}"/>
    <cellStyle name="Style 84 6 2 4 2" xfId="33609" xr:uid="{1579348B-DE96-4D76-9DC8-188321C1800B}"/>
    <cellStyle name="Style 84 6 2 5" xfId="14913" xr:uid="{00F02442-E67E-4873-8D91-B406049F47CF}"/>
    <cellStyle name="Style 84 6 2 5 2" xfId="33610" xr:uid="{9ED2678E-477B-42E8-A0C5-0AA3ECF97BEC}"/>
    <cellStyle name="Style 84 6 2 6" xfId="14914" xr:uid="{50D90F31-C474-4BF8-A456-65337FE41471}"/>
    <cellStyle name="Style 84 6 2 6 2" xfId="33611" xr:uid="{F681AF2F-4D10-4FF1-ADB8-081570728962}"/>
    <cellStyle name="Style 84 6 2 7" xfId="14915" xr:uid="{F6F08330-8FA6-4A48-A1D3-8E35DD734B60}"/>
    <cellStyle name="Style 84 6 2 7 2" xfId="33612" xr:uid="{01FC849E-565D-4DCF-A7A3-828B2F24D93C}"/>
    <cellStyle name="Style 84 6 2 8" xfId="14916" xr:uid="{C8455081-5078-4696-9DCC-228FF18C9CD1}"/>
    <cellStyle name="Style 84 6 2 8 2" xfId="33613" xr:uid="{A07B02C4-094E-473C-974B-0961958BDEA8}"/>
    <cellStyle name="Style 84 6 2 9" xfId="14917" xr:uid="{6245B694-91F9-46A5-9826-881D9CA775FF}"/>
    <cellStyle name="Style 84 6 2 9 2" xfId="33614" xr:uid="{7149C307-8ADC-4FF6-B6DE-BDE79AF806BC}"/>
    <cellStyle name="Style 84 6 3" xfId="4213" xr:uid="{7F701C7C-EEFF-47D6-A9A7-424832C3DAC9}"/>
    <cellStyle name="Style 84 6 3 2" xfId="7187" xr:uid="{84B3658B-484C-4405-8B07-90C1EDE8C6E0}"/>
    <cellStyle name="Style 84 6 3 2 2" xfId="14918" xr:uid="{A7911BBC-BE78-41CB-A286-0E0DB67D2532}"/>
    <cellStyle name="Style 84 6 3 2 2 2" xfId="33615" xr:uid="{4B8F5A2B-F396-49F4-9344-48C5DA4CA36A}"/>
    <cellStyle name="Style 84 6 3 2 3" xfId="28346" xr:uid="{2A6256CC-1C1F-4635-9851-90636F3FE192}"/>
    <cellStyle name="Style 84 6 3 3" xfId="14919" xr:uid="{4E992BDC-728A-414E-9A14-1723D63A7A08}"/>
    <cellStyle name="Style 84 6 3 3 2" xfId="33616" xr:uid="{C8BED352-7FE4-450F-BEBF-0344148B319B}"/>
    <cellStyle name="Style 84 6 4" xfId="7185" xr:uid="{A383388F-D834-463B-873D-A13AF48C6C8E}"/>
    <cellStyle name="Style 84 6 4 2" xfId="14920" xr:uid="{16FAFC48-BD4C-401C-A2DC-102A4485FE41}"/>
    <cellStyle name="Style 84 6 4 2 2" xfId="33617" xr:uid="{5D913028-8BE2-4EB2-994B-452AF5F2F130}"/>
    <cellStyle name="Style 84 6 5" xfId="14921" xr:uid="{F1ED9271-4E80-4E48-A04B-35D785B98DE0}"/>
    <cellStyle name="Style 84 6 5 2" xfId="33618" xr:uid="{FF73A6BD-40E0-4BDA-9614-9E273A083832}"/>
    <cellStyle name="Style 84 6 6" xfId="14922" xr:uid="{5D17F2FC-6CA2-4564-9EB0-1C182147E26F}"/>
    <cellStyle name="Style 84 6 6 2" xfId="33619" xr:uid="{5951A122-954C-41B5-8B07-3833B9DE4607}"/>
    <cellStyle name="Style 84 6 7" xfId="14923" xr:uid="{5FB84913-0B7D-42BB-9D34-F8C97D8E4CF7}"/>
    <cellStyle name="Style 84 6 7 2" xfId="33620" xr:uid="{8025A4F8-0686-4F3B-B19D-3325D203C392}"/>
    <cellStyle name="Style 84 6 8" xfId="14924" xr:uid="{41D7FEF1-733E-4B6C-A5E3-25CBB57C2817}"/>
    <cellStyle name="Style 84 6 8 2" xfId="33621" xr:uid="{060A3AA6-1EFE-454E-ADB6-0E0A27199F4D}"/>
    <cellStyle name="Style 84 6 9" xfId="14925" xr:uid="{28137807-7BF0-45F9-AFD9-64F12D8131AB}"/>
    <cellStyle name="Style 84 6 9 2" xfId="33622" xr:uid="{88B1750A-F962-416B-9DF0-5A42A1EFBD97}"/>
    <cellStyle name="Style 84 7" xfId="4212" xr:uid="{AD8A3D00-41EA-4FDC-9186-357B37269B74}"/>
    <cellStyle name="Style 84 7 2" xfId="7189" xr:uid="{E21C6086-14CD-4882-A50F-B33900E093B4}"/>
    <cellStyle name="Style 84 7 2 2" xfId="14926" xr:uid="{C9F5BA52-ACBC-4275-A678-B9D6884E543F}"/>
    <cellStyle name="Style 84 7 2 2 2" xfId="33623" xr:uid="{A9D4F5B7-C431-4D9B-AAC2-FA3E7B41DD60}"/>
    <cellStyle name="Style 84 7 3" xfId="7190" xr:uid="{A1D4AB6C-96AC-4231-BF9D-E1F9027E2E18}"/>
    <cellStyle name="Style 84 7 4" xfId="7188" xr:uid="{527A1F68-C066-4C8E-ADC5-8CB9223E641D}"/>
    <cellStyle name="Style 84 7 4 2" xfId="28345" xr:uid="{9BF6C921-27CF-492E-9794-2F6BD601DD9C}"/>
    <cellStyle name="Style 84 7 5" xfId="14927" xr:uid="{B6FB3B44-1337-4653-8B72-5DFE1BE2D077}"/>
    <cellStyle name="Style 84 7 5 2" xfId="33624" xr:uid="{F1088711-6549-4D38-ADC1-E9BA782A28F2}"/>
    <cellStyle name="Style 84 7 6" xfId="24109" xr:uid="{2148D76A-858A-4EBE-BF00-23C927A252D1}"/>
    <cellStyle name="Style 84 8" xfId="7191" xr:uid="{45ED1A07-909B-49A6-B6BF-ADAD191B9048}"/>
    <cellStyle name="Style 84 8 2" xfId="14928" xr:uid="{AC42AB88-E754-4B96-9B00-0B51B82DB141}"/>
    <cellStyle name="Style 84 8 2 2" xfId="33625" xr:uid="{83B8B6E6-10BB-4AAC-BA95-47FE5E83609E}"/>
    <cellStyle name="Style 84 9" xfId="7192" xr:uid="{E362B6A8-D05F-4D9A-B849-16F459815D9C}"/>
    <cellStyle name="Style 84 9 2" xfId="14929" xr:uid="{7EA6A2F0-90BB-4B68-91DB-037642EFA2C4}"/>
    <cellStyle name="Style 84 9 2 2" xfId="33626" xr:uid="{8916432C-C578-4252-9466-EEA1B434B97D}"/>
    <cellStyle name="Style 84_ADDON" xfId="25753" xr:uid="{F876DA2A-0472-43EC-8EC5-A80F0D0FCBB5}"/>
    <cellStyle name="Style 85" xfId="3545" xr:uid="{C3E654FB-0301-47E5-83AA-1E0C44DBD3B6}"/>
    <cellStyle name="Style 85 10" xfId="3546" xr:uid="{447353AD-7D77-4705-9724-6EF3707CC1E8}"/>
    <cellStyle name="Style 85 10 10" xfId="14930" xr:uid="{C673FC75-DA93-40E4-9A40-E73EC2028B75}"/>
    <cellStyle name="Style 85 10 10 2" xfId="33627" xr:uid="{64DA7631-3BE6-4A25-97B3-CBB34100ED82}"/>
    <cellStyle name="Style 85 10 11" xfId="14931" xr:uid="{C4A3B5B2-E55F-4E06-9844-63491808941D}"/>
    <cellStyle name="Style 85 10 11 2" xfId="33628" xr:uid="{EF9A6C24-F8F5-4E84-97AA-70B749F5ADCF}"/>
    <cellStyle name="Style 85 10 12" xfId="14932" xr:uid="{0FECC8A1-4B81-4A43-8167-FE8670E44140}"/>
    <cellStyle name="Style 85 10 12 2" xfId="33629" xr:uid="{9ACACC21-E64C-43F0-8341-739FC2D9D169}"/>
    <cellStyle name="Style 85 10 13" xfId="14933" xr:uid="{B9024E62-F4AA-435D-ADB1-61B270105AED}"/>
    <cellStyle name="Style 85 10 13 2" xfId="33630" xr:uid="{29013154-2DD8-4CD9-8994-6FD3FEB96797}"/>
    <cellStyle name="Style 85 10 14" xfId="14934" xr:uid="{EF92FDC3-A9BA-418E-A336-51D5E51C7D6C}"/>
    <cellStyle name="Style 85 10 14 2" xfId="33631" xr:uid="{8894937B-869B-4607-8DF9-2C2B9E1F0F40}"/>
    <cellStyle name="Style 85 10 15" xfId="24111" xr:uid="{58E19E84-62BD-4D80-96DF-783BB549E04C}"/>
    <cellStyle name="Style 85 10 2" xfId="3547" xr:uid="{F24EA8CB-7EE7-4E34-B755-37F752DDAA0B}"/>
    <cellStyle name="Style 85 10 2 10" xfId="14935" xr:uid="{1D42DB0B-CF56-4E2F-97DF-A13193241C40}"/>
    <cellStyle name="Style 85 10 2 10 2" xfId="33632" xr:uid="{FD3A0203-3C91-4658-A943-2FD1E96E4863}"/>
    <cellStyle name="Style 85 10 2 11" xfId="14936" xr:uid="{9BECEFFA-A8CD-49F6-972F-194EEEBF1E9E}"/>
    <cellStyle name="Style 85 10 2 11 2" xfId="33633" xr:uid="{3CD29AE1-4691-44A7-BEE5-ECF7F137B5AC}"/>
    <cellStyle name="Style 85 10 2 12" xfId="14937" xr:uid="{92A10CB7-17E2-4012-BC83-85BE4DB0166C}"/>
    <cellStyle name="Style 85 10 2 12 2" xfId="33634" xr:uid="{B2DB5A54-D4D9-478F-B4C8-AE8B42B86760}"/>
    <cellStyle name="Style 85 10 2 2" xfId="7195" xr:uid="{B2BEDCC2-DE65-4397-956D-BFB045D932DA}"/>
    <cellStyle name="Style 85 10 2 2 2" xfId="14938" xr:uid="{81A00952-8FEB-4D9C-82D6-073D79132AF9}"/>
    <cellStyle name="Style 85 10 2 2 2 2" xfId="33635" xr:uid="{4AFEFBD7-D2DF-48EE-ADC6-6EFD49E0C5B5}"/>
    <cellStyle name="Style 85 10 2 2 3" xfId="14939" xr:uid="{7FAA338E-C51C-4817-9B0C-8FE7D1F78BFC}"/>
    <cellStyle name="Style 85 10 2 2 3 2" xfId="33636" xr:uid="{726C1445-BD8D-451E-B636-270F7C8EF274}"/>
    <cellStyle name="Style 85 10 2 3" xfId="14940" xr:uid="{CC72AAEE-56C8-4B5B-947B-676E7F5AFF49}"/>
    <cellStyle name="Style 85 10 2 3 2" xfId="14941" xr:uid="{57FEB63A-5826-4C46-9CC3-4435A1DE7676}"/>
    <cellStyle name="Style 85 10 2 3 2 2" xfId="33637" xr:uid="{3777FC68-8536-49B9-ACB4-F1E650BF6C40}"/>
    <cellStyle name="Style 85 10 2 3 3" xfId="28097" xr:uid="{BA55D321-C6F5-4600-9DAC-397E4E8A463F}"/>
    <cellStyle name="Style 85 10 2 4" xfId="14942" xr:uid="{CE4CA4C6-9D3E-4BEB-8D1B-FB4F8371227F}"/>
    <cellStyle name="Style 85 10 2 4 2" xfId="33638" xr:uid="{AB9C971B-928D-49DD-BEE0-FFFC82C07604}"/>
    <cellStyle name="Style 85 10 2 5" xfId="14943" xr:uid="{D8308E5E-9C68-43D5-8837-45FDB1B3E099}"/>
    <cellStyle name="Style 85 10 2 5 2" xfId="33639" xr:uid="{A3D4CFAD-719E-464B-AF5D-610C74733383}"/>
    <cellStyle name="Style 85 10 2 6" xfId="14944" xr:uid="{0B4A542B-E444-4DEC-ACFC-D20CDA126396}"/>
    <cellStyle name="Style 85 10 2 6 2" xfId="33640" xr:uid="{452287D6-D87E-4E5B-83BE-8431B09B8F6E}"/>
    <cellStyle name="Style 85 10 2 7" xfId="14945" xr:uid="{806BFDC6-2ABC-4857-AED3-9A6C5B8466C7}"/>
    <cellStyle name="Style 85 10 2 7 2" xfId="33641" xr:uid="{7C5A6A3C-3DFD-42D7-995E-DA1E98155427}"/>
    <cellStyle name="Style 85 10 2 8" xfId="14946" xr:uid="{05EE1B06-F7B2-4A20-911E-6BE82DEB0A29}"/>
    <cellStyle name="Style 85 10 2 8 2" xfId="33642" xr:uid="{5357F1A0-DDAD-4097-9D02-32F3736980A8}"/>
    <cellStyle name="Style 85 10 2 9" xfId="14947" xr:uid="{79F59368-36FF-41FC-900D-447D645C42F0}"/>
    <cellStyle name="Style 85 10 2 9 2" xfId="33643" xr:uid="{F4BA8D55-6C52-4F9E-A447-B587C3CC1726}"/>
    <cellStyle name="Style 85 10 3" xfId="4214" xr:uid="{93640A70-F399-449F-B99F-8D5EA1DDC978}"/>
    <cellStyle name="Style 85 10 3 2" xfId="7196" xr:uid="{6F8B7761-E757-4AE2-9A9B-447EC9727022}"/>
    <cellStyle name="Style 85 10 3 2 2" xfId="14948" xr:uid="{DB63291A-560D-4527-A517-C99088ED71F3}"/>
    <cellStyle name="Style 85 10 3 2 2 2" xfId="33644" xr:uid="{A11B6E0E-EDC7-4F6B-B11C-3B5CBC5FC70F}"/>
    <cellStyle name="Style 85 10 3 2 3" xfId="28347" xr:uid="{BF5B39F8-E6D0-43D3-8F52-99A8E40C6E7B}"/>
    <cellStyle name="Style 85 10 3 3" xfId="14949" xr:uid="{D8F8786A-6872-44BE-9281-1A74588AE77B}"/>
    <cellStyle name="Style 85 10 3 3 2" xfId="33645" xr:uid="{D32803B6-6100-48D9-A9A3-1AC3716D192A}"/>
    <cellStyle name="Style 85 10 4" xfId="7194" xr:uid="{09D6F8A0-E3E2-4952-874A-C5EBBE8C5D70}"/>
    <cellStyle name="Style 85 10 4 2" xfId="14950" xr:uid="{448FF8D3-C103-463E-A7CC-F030D392367D}"/>
    <cellStyle name="Style 85 10 4 2 2" xfId="33646" xr:uid="{4476BFAA-58DF-4C4A-8594-0E63294BFC85}"/>
    <cellStyle name="Style 85 10 5" xfId="14951" xr:uid="{AA1B145C-3E24-4369-8A11-07ACE14A60CB}"/>
    <cellStyle name="Style 85 10 5 2" xfId="14952" xr:uid="{93F37C57-158A-442C-B536-E6D9FE88C3B6}"/>
    <cellStyle name="Style 85 10 5 2 2" xfId="33647" xr:uid="{51FFA87B-C794-42FE-AA43-E731FDB397BF}"/>
    <cellStyle name="Style 85 10 5 3" xfId="28096" xr:uid="{85DDD001-5DC4-4ACA-BECC-44B5156FE95C}"/>
    <cellStyle name="Style 85 10 6" xfId="14953" xr:uid="{13255A3E-17BB-4074-953A-7E095398F030}"/>
    <cellStyle name="Style 85 10 6 2" xfId="33648" xr:uid="{F7F6EF7F-E309-479B-B645-3B20017BC6FC}"/>
    <cellStyle name="Style 85 10 7" xfId="14954" xr:uid="{3919015C-4505-4080-82F8-6BE598EA4F40}"/>
    <cellStyle name="Style 85 10 7 2" xfId="33649" xr:uid="{5AE54F9E-E18A-4F89-BAE5-8F873BFBE487}"/>
    <cellStyle name="Style 85 10 8" xfId="14955" xr:uid="{F1FD9BBC-F266-480C-B030-610343A4FB1E}"/>
    <cellStyle name="Style 85 10 8 2" xfId="33650" xr:uid="{CA824664-E556-4D4D-A7C7-D9C41A481397}"/>
    <cellStyle name="Style 85 10 9" xfId="14956" xr:uid="{D9DC69CA-64A4-4062-B7B6-7C7195C2C34C}"/>
    <cellStyle name="Style 85 10 9 2" xfId="33651" xr:uid="{8B1AF291-C142-4289-BE72-A70E8FE54EAB}"/>
    <cellStyle name="Style 85 11" xfId="3548" xr:uid="{4C25CC80-F075-4220-89E9-C82E1E78BF19}"/>
    <cellStyle name="Style 85 11 10" xfId="14957" xr:uid="{28B8275B-F95F-4CFF-B791-98C85CC1305B}"/>
    <cellStyle name="Style 85 11 10 2" xfId="33652" xr:uid="{6E1F7003-268C-4EDB-9EBC-50CB04AA7C42}"/>
    <cellStyle name="Style 85 11 11" xfId="14958" xr:uid="{2CB5207E-D9B6-40A1-8811-962F3D45CA8E}"/>
    <cellStyle name="Style 85 11 11 2" xfId="33653" xr:uid="{0A67A1E8-F4E7-4265-AC3D-21BED6B90968}"/>
    <cellStyle name="Style 85 11 12" xfId="14959" xr:uid="{9860AE48-58F1-4A98-ABAA-B26475C0F991}"/>
    <cellStyle name="Style 85 11 12 2" xfId="33654" xr:uid="{18032021-B2D5-4453-A286-1BDC2BBB5B3B}"/>
    <cellStyle name="Style 85 11 13" xfId="14960" xr:uid="{D6D263DA-83CE-4001-84EB-90B1F72534D4}"/>
    <cellStyle name="Style 85 11 13 2" xfId="33655" xr:uid="{B0CE8C86-84F6-4F10-830D-44AEEC6F054A}"/>
    <cellStyle name="Style 85 11 14" xfId="14961" xr:uid="{C7B066F6-D491-47DD-A0A4-58F57BB66D8E}"/>
    <cellStyle name="Style 85 11 14 2" xfId="33656" xr:uid="{557337D0-E289-47BE-A849-06D1934A9565}"/>
    <cellStyle name="Style 85 11 15" xfId="24112" xr:uid="{8DEDBD60-AC53-4F01-A661-0EB12CF84C92}"/>
    <cellStyle name="Style 85 11 2" xfId="3549" xr:uid="{0103D3A4-1F5F-44F0-AC8B-2A2A43ACF4A4}"/>
    <cellStyle name="Style 85 11 2 10" xfId="14962" xr:uid="{6824B778-CA78-4EBB-9A5C-08F3830FD48D}"/>
    <cellStyle name="Style 85 11 2 10 2" xfId="33657" xr:uid="{3D07A65F-AFE0-448F-BBD7-EF9F3E6848EC}"/>
    <cellStyle name="Style 85 11 2 11" xfId="14963" xr:uid="{8C787730-2F89-4A74-A549-6367A2CE9CF2}"/>
    <cellStyle name="Style 85 11 2 11 2" xfId="33658" xr:uid="{65A22443-FC76-423D-A97C-9843D55435C4}"/>
    <cellStyle name="Style 85 11 2 12" xfId="14964" xr:uid="{8441D9C7-C1F3-48D0-9051-8AAFD279D28B}"/>
    <cellStyle name="Style 85 11 2 12 2" xfId="33659" xr:uid="{CCDEEFF3-B3A4-4504-9353-E2223FC13A86}"/>
    <cellStyle name="Style 85 11 2 2" xfId="7198" xr:uid="{AA417E12-2944-473D-AF12-B537E1555660}"/>
    <cellStyle name="Style 85 11 2 2 2" xfId="14965" xr:uid="{951ADBDE-00F3-41E0-ABFF-7F7CA457DBE8}"/>
    <cellStyle name="Style 85 11 2 2 2 2" xfId="33660" xr:uid="{9D343C8D-43D4-4A60-B3FE-0191CCCE1F2D}"/>
    <cellStyle name="Style 85 11 2 2 3" xfId="14966" xr:uid="{1BB9B17C-9A0C-4E92-BEFF-274AE3695067}"/>
    <cellStyle name="Style 85 11 2 2 3 2" xfId="33661" xr:uid="{AB6C191C-123E-4D34-8BEC-894B0F0F5C3B}"/>
    <cellStyle name="Style 85 11 2 3" xfId="14967" xr:uid="{2252FD0B-DC2B-407A-8E78-084EF527F7C5}"/>
    <cellStyle name="Style 85 11 2 3 2" xfId="14968" xr:uid="{BF92BBC5-3260-40DD-984F-9F196B852C96}"/>
    <cellStyle name="Style 85 11 2 3 2 2" xfId="33662" xr:uid="{3AA009F1-F7FC-4851-A6E3-6A9E060F27FF}"/>
    <cellStyle name="Style 85 11 2 3 3" xfId="28099" xr:uid="{AD6025DC-303D-4DE5-A06E-2E3F032126C4}"/>
    <cellStyle name="Style 85 11 2 4" xfId="14969" xr:uid="{60C20B1F-2CFB-472C-B690-47C576C1162E}"/>
    <cellStyle name="Style 85 11 2 4 2" xfId="33663" xr:uid="{1E8B7CE1-2548-4CBF-825C-75582C1BD819}"/>
    <cellStyle name="Style 85 11 2 5" xfId="14970" xr:uid="{7625E247-E70E-4A80-9D2D-950A91AC0054}"/>
    <cellStyle name="Style 85 11 2 5 2" xfId="33664" xr:uid="{2950E5D5-6AC4-487D-BC9C-05DF3AACCC2A}"/>
    <cellStyle name="Style 85 11 2 6" xfId="14971" xr:uid="{9F5364C3-8CC5-40B9-8C8E-B3349EBEE074}"/>
    <cellStyle name="Style 85 11 2 6 2" xfId="33665" xr:uid="{2454E207-2AF6-4E4D-863A-B3F10DC4649C}"/>
    <cellStyle name="Style 85 11 2 7" xfId="14972" xr:uid="{49DB4CBB-6C95-4D96-AF44-67763066E385}"/>
    <cellStyle name="Style 85 11 2 7 2" xfId="33666" xr:uid="{5AE50DD0-B7FB-4E01-8529-B9734D30FBD0}"/>
    <cellStyle name="Style 85 11 2 8" xfId="14973" xr:uid="{BA4559F5-522A-4589-9AA7-8EE3E55E1CA1}"/>
    <cellStyle name="Style 85 11 2 8 2" xfId="33667" xr:uid="{6A1B967F-C973-40F6-926A-1F1353F65C30}"/>
    <cellStyle name="Style 85 11 2 9" xfId="14974" xr:uid="{8B8E0420-6ECC-490A-9716-6A12F8DC46C1}"/>
    <cellStyle name="Style 85 11 2 9 2" xfId="33668" xr:uid="{ED874A9C-57A7-47AF-8A02-133F5236DB24}"/>
    <cellStyle name="Style 85 11 3" xfId="7199" xr:uid="{96D58C54-FB14-42DC-A9AA-3894BF9290E1}"/>
    <cellStyle name="Style 85 11 3 2" xfId="14975" xr:uid="{67D65430-18B5-41B3-B6DA-FFB192D92245}"/>
    <cellStyle name="Style 85 11 3 2 2" xfId="33669" xr:uid="{75BA3E5A-1D00-4E89-9C4D-52C007DB38D8}"/>
    <cellStyle name="Style 85 11 3 3" xfId="14976" xr:uid="{D9C02E8D-9C45-49A9-9C62-8CE3E999C6E1}"/>
    <cellStyle name="Style 85 11 3 3 2" xfId="33670" xr:uid="{5E39F641-34D7-4D5F-ADBF-FD8379CEC499}"/>
    <cellStyle name="Style 85 11 4" xfId="7197" xr:uid="{7F645C90-D72F-45A3-9B14-812D55896E2F}"/>
    <cellStyle name="Style 85 11 4 2" xfId="14977" xr:uid="{05D7B3FE-07FE-4D39-AC12-AA353F9E9610}"/>
    <cellStyle name="Style 85 11 4 2 2" xfId="33671" xr:uid="{CD2BEA5E-5C97-443A-A27B-758210505701}"/>
    <cellStyle name="Style 85 11 5" xfId="14978" xr:uid="{155D49A2-C01D-477D-846D-2C11E419E6DB}"/>
    <cellStyle name="Style 85 11 5 2" xfId="14979" xr:uid="{0449320C-BE56-4F70-B160-7EF590273898}"/>
    <cellStyle name="Style 85 11 5 2 2" xfId="33672" xr:uid="{4BF04ED6-5A6D-4CBB-9EF4-82BC72CECA60}"/>
    <cellStyle name="Style 85 11 5 3" xfId="28098" xr:uid="{CE2A8838-33BD-471E-9E4E-421DA4870AB2}"/>
    <cellStyle name="Style 85 11 6" xfId="14980" xr:uid="{D5A12610-25EF-43AC-B7B8-3946C39BEFFD}"/>
    <cellStyle name="Style 85 11 6 2" xfId="33673" xr:uid="{3F72E1A5-BC08-470B-9307-7D3CF84B9E5F}"/>
    <cellStyle name="Style 85 11 7" xfId="14981" xr:uid="{66D3C66A-69F0-4844-923F-EB9B81FB722D}"/>
    <cellStyle name="Style 85 11 7 2" xfId="33674" xr:uid="{CDCF85F1-4613-49B6-AAFB-9D46CAC41B73}"/>
    <cellStyle name="Style 85 11 8" xfId="14982" xr:uid="{F0447419-3C2B-4DCC-8B07-4D68A123F4E6}"/>
    <cellStyle name="Style 85 11 8 2" xfId="33675" xr:uid="{3333117C-6C75-423E-AD99-3655E3CC864C}"/>
    <cellStyle name="Style 85 11 9" xfId="14983" xr:uid="{28DF9C6A-C5CE-49F8-8F11-A353D4828652}"/>
    <cellStyle name="Style 85 11 9 2" xfId="33676" xr:uid="{1C15E9AC-7DB2-41BD-BF71-BEA3C9B295CE}"/>
    <cellStyle name="Style 85 12" xfId="3550" xr:uid="{2E739471-AAF8-41DB-929F-3122C38CC092}"/>
    <cellStyle name="Style 85 12 10" xfId="14984" xr:uid="{C946378B-8B67-4BE9-9E2E-AC2DA17828FD}"/>
    <cellStyle name="Style 85 12 10 2" xfId="33677" xr:uid="{5C6119EC-9D39-4A4C-BBCE-575D31241C81}"/>
    <cellStyle name="Style 85 12 11" xfId="14985" xr:uid="{DA80C97E-832A-4551-8574-957EC5B1697C}"/>
    <cellStyle name="Style 85 12 11 2" xfId="33678" xr:uid="{69D87C27-AA97-4737-9197-70463A254200}"/>
    <cellStyle name="Style 85 12 12" xfId="14986" xr:uid="{03896243-ECB7-4F97-9652-A874CBA5C93D}"/>
    <cellStyle name="Style 85 12 12 2" xfId="33679" xr:uid="{CDDEB77F-1757-48A4-98A5-C972D5D44DC0}"/>
    <cellStyle name="Style 85 12 13" xfId="14987" xr:uid="{766D490E-02A5-4363-8021-4765EB492E3F}"/>
    <cellStyle name="Style 85 12 13 2" xfId="33680" xr:uid="{4E2AB209-BAD9-4C2F-950D-3672262AC94D}"/>
    <cellStyle name="Style 85 12 2" xfId="7200" xr:uid="{68BAA252-2864-4AE0-929B-B270FEBB07BD}"/>
    <cellStyle name="Style 85 12 2 10" xfId="14988" xr:uid="{94C4C719-F291-44CF-BEDB-A5FC6DAD4CF5}"/>
    <cellStyle name="Style 85 12 2 10 2" xfId="33681" xr:uid="{5E915958-0D02-40E5-BA17-CA65BDCAA148}"/>
    <cellStyle name="Style 85 12 2 11" xfId="14989" xr:uid="{DB15DC78-D119-441F-A78D-029A31E7E0C8}"/>
    <cellStyle name="Style 85 12 2 11 2" xfId="33682" xr:uid="{0B489AF5-963E-42D6-BA47-FE02A270ED9E}"/>
    <cellStyle name="Style 85 12 2 2" xfId="14990" xr:uid="{BE9F6FDF-EB8C-4C3F-A9CF-B7FBB06121D1}"/>
    <cellStyle name="Style 85 12 2 2 2" xfId="33683" xr:uid="{6BD20609-980C-4408-9D5B-C6DBB832D5C0}"/>
    <cellStyle name="Style 85 12 2 3" xfId="14991" xr:uid="{347C4AF1-953E-4F93-8D53-2B92B181D0CA}"/>
    <cellStyle name="Style 85 12 2 3 2" xfId="33684" xr:uid="{F6183535-C0B0-426D-9956-DC63A81EC459}"/>
    <cellStyle name="Style 85 12 2 4" xfId="14992" xr:uid="{6FA81541-F27E-4040-BCAB-CC9C01A2DF7B}"/>
    <cellStyle name="Style 85 12 2 4 2" xfId="33685" xr:uid="{BBAF2059-229D-471F-9255-9F17609357F6}"/>
    <cellStyle name="Style 85 12 2 5" xfId="14993" xr:uid="{C507E43D-C3A3-4C8B-B981-E94088B7450F}"/>
    <cellStyle name="Style 85 12 2 5 2" xfId="33686" xr:uid="{7A36944C-EC33-4404-9691-DDDE27E0AF5D}"/>
    <cellStyle name="Style 85 12 2 6" xfId="14994" xr:uid="{8215FE05-E5E7-424E-A049-3FF79A32069D}"/>
    <cellStyle name="Style 85 12 2 6 2" xfId="33687" xr:uid="{6033304F-4D03-45AC-B82F-08268385D8AF}"/>
    <cellStyle name="Style 85 12 2 7" xfId="14995" xr:uid="{DADA4BE5-AA4B-4D3C-A33D-6182D283A607}"/>
    <cellStyle name="Style 85 12 2 7 2" xfId="33688" xr:uid="{D5DD3A57-1872-44D5-9A14-EEFC39B2E171}"/>
    <cellStyle name="Style 85 12 2 8" xfId="14996" xr:uid="{D019A27E-502B-4D3E-A3B6-FB5CE6B9C88D}"/>
    <cellStyle name="Style 85 12 2 8 2" xfId="33689" xr:uid="{C5FBDD02-522F-4AAB-8A9F-4D93F918B637}"/>
    <cellStyle name="Style 85 12 2 9" xfId="14997" xr:uid="{91B014BB-0376-43C0-A751-07F0C430B485}"/>
    <cellStyle name="Style 85 12 2 9 2" xfId="33690" xr:uid="{BB140086-FB09-4800-B7DD-33D3A5C68228}"/>
    <cellStyle name="Style 85 12 3" xfId="14998" xr:uid="{73414EFF-11A2-4AC8-8841-6819880FCDCF}"/>
    <cellStyle name="Style 85 12 3 10" xfId="28100" xr:uid="{FB320F15-7865-4B1D-9753-3B52D9E797F3}"/>
    <cellStyle name="Style 85 12 3 2" xfId="14999" xr:uid="{9041CC9B-2AB3-4792-9540-9CFC6D03F3CB}"/>
    <cellStyle name="Style 85 12 3 2 2" xfId="33691" xr:uid="{B235E165-DFDC-4799-AA97-3976EF0CB532}"/>
    <cellStyle name="Style 85 12 3 3" xfId="15000" xr:uid="{6A79419B-8CFA-4707-9941-A041D134CA78}"/>
    <cellStyle name="Style 85 12 3 3 2" xfId="33692" xr:uid="{7261EF50-2A9A-4F1B-A95F-0403898C50C3}"/>
    <cellStyle name="Style 85 12 3 4" xfId="15001" xr:uid="{D583F480-58C9-4855-828C-8CBCC55AC145}"/>
    <cellStyle name="Style 85 12 3 4 2" xfId="33693" xr:uid="{2A176F14-19F2-4F62-AE9D-E0D269EE97BD}"/>
    <cellStyle name="Style 85 12 3 5" xfId="15002" xr:uid="{7F12B104-638A-45BC-8ADA-B07FEF1B7A13}"/>
    <cellStyle name="Style 85 12 3 5 2" xfId="33694" xr:uid="{BA49491F-379F-4C3C-AA12-F79DE6B6E4FC}"/>
    <cellStyle name="Style 85 12 3 6" xfId="15003" xr:uid="{3BE5F3EB-8F62-4A18-ABCB-388E0B8F3AC5}"/>
    <cellStyle name="Style 85 12 3 6 2" xfId="33695" xr:uid="{7FA5E37B-6046-481A-BDFF-574D960165E4}"/>
    <cellStyle name="Style 85 12 3 7" xfId="15004" xr:uid="{A56A67D7-93F0-41DD-815E-1C592555BEA0}"/>
    <cellStyle name="Style 85 12 3 7 2" xfId="33696" xr:uid="{A2379628-0C76-42D2-9F4A-EC1D9C2A1DA7}"/>
    <cellStyle name="Style 85 12 3 8" xfId="15005" xr:uid="{91E4E994-6758-4AD2-8A19-E933CF6DA681}"/>
    <cellStyle name="Style 85 12 3 8 2" xfId="33697" xr:uid="{367F84E1-0258-476D-A7B0-F2080C88113D}"/>
    <cellStyle name="Style 85 12 3 9" xfId="15006" xr:uid="{6AFB976F-A0F4-4668-B935-D340D3AF5CF5}"/>
    <cellStyle name="Style 85 12 3 9 2" xfId="33698" xr:uid="{825CB45D-DA56-418A-9527-85E9388FE873}"/>
    <cellStyle name="Style 85 12 4" xfId="15007" xr:uid="{4CC7D66C-1F84-4B8B-B220-C3227E2FEDE1}"/>
    <cellStyle name="Style 85 12 4 2" xfId="15008" xr:uid="{C8E15C76-4C9E-4993-B4D8-F3C363954CC8}"/>
    <cellStyle name="Style 85 12 4 2 2" xfId="33700" xr:uid="{1CD3C410-6309-46D5-9ECD-5DCDCBD855AA}"/>
    <cellStyle name="Style 85 12 4 3" xfId="15009" xr:uid="{5EB7FB37-A8D3-4421-B789-79173923BB91}"/>
    <cellStyle name="Style 85 12 4 3 2" xfId="33701" xr:uid="{9A267521-079C-43B4-96BF-F91D19B14323}"/>
    <cellStyle name="Style 85 12 4 4" xfId="15010" xr:uid="{9A844CCF-564E-48C9-86B0-8E5D00DAB9B1}"/>
    <cellStyle name="Style 85 12 4 4 2" xfId="33702" xr:uid="{80C76D2D-9039-4B27-A319-C8DA74AC9A44}"/>
    <cellStyle name="Style 85 12 4 5" xfId="15011" xr:uid="{4EB41228-EACF-4553-B41D-5111AB0B4608}"/>
    <cellStyle name="Style 85 12 4 5 2" xfId="33703" xr:uid="{70A7C1D9-053A-41BC-8A5F-D108405C0DA0}"/>
    <cellStyle name="Style 85 12 4 6" xfId="15012" xr:uid="{1553ACC2-F34D-4DE8-9717-A1116CD909CB}"/>
    <cellStyle name="Style 85 12 4 6 2" xfId="33704" xr:uid="{5A6EAFE3-E816-4B85-A306-62A857F0BD77}"/>
    <cellStyle name="Style 85 12 4 7" xfId="33699" xr:uid="{55D3BDBD-D862-4C5C-A8E7-78D5CB66CF31}"/>
    <cellStyle name="Style 85 12 5" xfId="15013" xr:uid="{B34B383F-B4E2-4028-B5DD-6547AA9E6127}"/>
    <cellStyle name="Style 85 12 5 2" xfId="33705" xr:uid="{E1072AA0-C212-4B1F-990F-2A6C6EBA49EA}"/>
    <cellStyle name="Style 85 12 6" xfId="15014" xr:uid="{D1948D1F-0595-494B-988E-6C7B3AD64ED6}"/>
    <cellStyle name="Style 85 12 6 2" xfId="33706" xr:uid="{A1F88CCA-63C7-4487-B4E1-91C6962A342B}"/>
    <cellStyle name="Style 85 12 7" xfId="15015" xr:uid="{705335E5-EE2B-4CB8-8C34-0AB055A84602}"/>
    <cellStyle name="Style 85 12 7 2" xfId="33707" xr:uid="{20516E14-9F57-412A-A849-E2454D7FF260}"/>
    <cellStyle name="Style 85 12 8" xfId="15016" xr:uid="{EEBC69E4-9A44-4DE7-B4CF-563A7E2FC25C}"/>
    <cellStyle name="Style 85 12 8 2" xfId="33708" xr:uid="{CB1A5101-DF63-46A1-8232-40425E3F795F}"/>
    <cellStyle name="Style 85 12 9" xfId="15017" xr:uid="{4732413B-AD25-495B-822A-D8E3EA9C4149}"/>
    <cellStyle name="Style 85 12 9 2" xfId="33709" xr:uid="{CF55136D-0D97-4D3B-8229-A81902508BDB}"/>
    <cellStyle name="Style 85 13" xfId="7201" xr:uid="{54D32E7C-501E-468B-8395-F3E3109832F0}"/>
    <cellStyle name="Style 85 13 10" xfId="15018" xr:uid="{986BE2E2-A813-497D-9E5F-4D88F968C356}"/>
    <cellStyle name="Style 85 13 10 2" xfId="33710" xr:uid="{408F81AD-57BB-43C5-AE0B-F6EE3745654E}"/>
    <cellStyle name="Style 85 13 11" xfId="15019" xr:uid="{B4A0541F-C63B-4EDB-BE5E-74B48A1196A1}"/>
    <cellStyle name="Style 85 13 11 2" xfId="33711" xr:uid="{E361984E-7647-4FCD-9210-A6FA6FF9D895}"/>
    <cellStyle name="Style 85 13 2" xfId="15020" xr:uid="{6DDEF8E0-5F1E-4417-BD4B-EFBB40B47558}"/>
    <cellStyle name="Style 85 13 2 2" xfId="33712" xr:uid="{8254ED65-6BC8-454C-A310-28BCBB3C0604}"/>
    <cellStyle name="Style 85 13 3" xfId="15021" xr:uid="{A1687965-9FAC-4CCD-99C2-9B05CA32FC7C}"/>
    <cellStyle name="Style 85 13 3 2" xfId="33713" xr:uid="{03245563-7418-415D-A98F-20D5563B57BF}"/>
    <cellStyle name="Style 85 13 4" xfId="15022" xr:uid="{41947676-F84F-452B-8374-FEF146D70DB5}"/>
    <cellStyle name="Style 85 13 4 2" xfId="33714" xr:uid="{2C747448-AE63-4403-B743-2E7A987A39EE}"/>
    <cellStyle name="Style 85 13 5" xfId="15023" xr:uid="{1B409C66-DF94-47F5-84F1-CE26F6132ACD}"/>
    <cellStyle name="Style 85 13 5 2" xfId="33715" xr:uid="{C8FE38D9-BA97-400E-93EA-5C3FEE319E31}"/>
    <cellStyle name="Style 85 13 6" xfId="15024" xr:uid="{7715398C-AA19-4F9B-B3D5-9F1738E9E789}"/>
    <cellStyle name="Style 85 13 6 2" xfId="33716" xr:uid="{ED693783-7D17-432C-A63E-61848F69A903}"/>
    <cellStyle name="Style 85 13 7" xfId="15025" xr:uid="{D44821C6-23EC-4F2C-B1A9-3BFB83B1860E}"/>
    <cellStyle name="Style 85 13 7 2" xfId="33717" xr:uid="{F2FBC880-DE55-4E15-AF70-B7DD37676260}"/>
    <cellStyle name="Style 85 13 8" xfId="15026" xr:uid="{65DBA276-7E7F-412E-A0BA-5DA7229E217F}"/>
    <cellStyle name="Style 85 13 8 2" xfId="33718" xr:uid="{441B22D3-33FA-43D7-A5B4-4FFAD3BDF058}"/>
    <cellStyle name="Style 85 13 9" xfId="15027" xr:uid="{660A916A-F5C3-42A4-B7B5-C85EB14AC339}"/>
    <cellStyle name="Style 85 13 9 2" xfId="33719" xr:uid="{B5B25FAA-2949-461D-A252-F481468BBBE6}"/>
    <cellStyle name="Style 85 14" xfId="7193" xr:uid="{91C3A716-E8EE-4B7C-9581-35F4F3099BE9}"/>
    <cellStyle name="Style 85 14 2" xfId="15028" xr:uid="{DECBE1EF-46D0-49B2-8C52-AEE9CF951043}"/>
    <cellStyle name="Style 85 14 2 2" xfId="33720" xr:uid="{02B9047F-866B-4D92-BFCF-DA2C2374BCDB}"/>
    <cellStyle name="Style 85 14 3" xfId="15029" xr:uid="{7E7A017C-CA47-4196-8C9E-217DCF0E54B2}"/>
    <cellStyle name="Style 85 14 3 2" xfId="33721" xr:uid="{E560CAD4-A378-4660-B2B3-025C361FB9B4}"/>
    <cellStyle name="Style 85 14 4" xfId="15030" xr:uid="{C92A5CBB-8AB7-480B-9B47-E292EA4AF4C2}"/>
    <cellStyle name="Style 85 14 4 2" xfId="33722" xr:uid="{44D47E98-CB9E-4E45-97F1-EECFDB5042E6}"/>
    <cellStyle name="Style 85 14 5" xfId="15031" xr:uid="{E936883B-294C-49D8-B2A8-D8C62F5DAE08}"/>
    <cellStyle name="Style 85 14 5 2" xfId="33723" xr:uid="{0190A9E9-F657-48F0-B01E-F67955ACFE88}"/>
    <cellStyle name="Style 85 14 6" xfId="15032" xr:uid="{9385082D-71E8-4A12-8B4E-6F9F566FF86B}"/>
    <cellStyle name="Style 85 14 6 2" xfId="33724" xr:uid="{5A44E047-8EAA-4D49-B49A-B837AB905145}"/>
    <cellStyle name="Style 85 14 7" xfId="15033" xr:uid="{724B2E8E-5B88-4EDB-84C8-08F1ED1FECB8}"/>
    <cellStyle name="Style 85 14 7 2" xfId="33725" xr:uid="{060F750A-25EC-4FE9-AA9C-CFDCBEE52377}"/>
    <cellStyle name="Style 85 14 8" xfId="15034" xr:uid="{71D761E7-4600-4E35-87A1-22913E6C74FD}"/>
    <cellStyle name="Style 85 14 8 2" xfId="33726" xr:uid="{54A8F5CF-201F-473D-899E-B8624E1A55E3}"/>
    <cellStyle name="Style 85 14 9" xfId="15035" xr:uid="{DA76A201-434E-4220-BC90-45053649843D}"/>
    <cellStyle name="Style 85 14 9 2" xfId="33727" xr:uid="{85B2D3F7-8DAC-40AD-90C3-E70A4CE97DF1}"/>
    <cellStyle name="Style 85 15" xfId="15036" xr:uid="{2D483929-2622-47DD-99BF-128FCBADC753}"/>
    <cellStyle name="Style 85 15 2" xfId="15037" xr:uid="{0ECB802A-9E74-49F0-A791-D116583F0434}"/>
    <cellStyle name="Style 85 15 2 2" xfId="33728" xr:uid="{58CE4A3E-5229-48E5-A59B-E51B1E725B11}"/>
    <cellStyle name="Style 85 15 3" xfId="15038" xr:uid="{7FCA22DA-A862-4741-967B-37AC240B408C}"/>
    <cellStyle name="Style 85 15 3 2" xfId="33729" xr:uid="{56E45195-BB40-43DB-8A6C-031752F2691B}"/>
    <cellStyle name="Style 85 15 4" xfId="15039" xr:uid="{06BE69A3-C2DF-4824-A6EB-776BF5E4513A}"/>
    <cellStyle name="Style 85 15 4 2" xfId="33730" xr:uid="{A44BCEF3-CCFD-4021-8724-5BECBC5C776E}"/>
    <cellStyle name="Style 85 15 5" xfId="15040" xr:uid="{170C171C-AC9C-4301-8988-B4A1526E082D}"/>
    <cellStyle name="Style 85 15 5 2" xfId="33731" xr:uid="{283BDA72-5C90-451D-AD88-4E1B9652FEA0}"/>
    <cellStyle name="Style 85 15 6" xfId="15041" xr:uid="{5CB22A79-F42F-4B26-9D5A-09DF74A10563}"/>
    <cellStyle name="Style 85 15 6 2" xfId="33732" xr:uid="{EA8B1471-EE5C-4A1F-BDA5-6D5BF36EBE1A}"/>
    <cellStyle name="Style 85 15 7" xfId="15042" xr:uid="{2D51882D-69B9-45B2-AD2D-229FFF030508}"/>
    <cellStyle name="Style 85 15 7 2" xfId="33733" xr:uid="{25EF434D-030A-4E42-8124-F0F520BC6818}"/>
    <cellStyle name="Style 85 15 8" xfId="26710" xr:uid="{841577CE-C57F-478D-90E7-944C0C17988F}"/>
    <cellStyle name="Style 85 16" xfId="15043" xr:uid="{61B5E5C6-BD7B-4660-805C-D86A52E5CAED}"/>
    <cellStyle name="Style 85 16 2" xfId="33734" xr:uid="{DCD68EFD-9F05-487B-AE38-08722F22DD2B}"/>
    <cellStyle name="Style 85 17" xfId="15044" xr:uid="{AF474388-9460-4F13-90EC-4596B0C68528}"/>
    <cellStyle name="Style 85 17 2" xfId="33735" xr:uid="{A0A0282F-9992-404D-B27E-283C8A96C79A}"/>
    <cellStyle name="Style 85 18" xfId="15045" xr:uid="{19B64454-0AE0-4060-9BC6-822896E8ADE1}"/>
    <cellStyle name="Style 85 18 2" xfId="33736" xr:uid="{54486DB7-B9F3-4EF6-AFDF-BCA9402A3CE0}"/>
    <cellStyle name="Style 85 19" xfId="15046" xr:uid="{4A81CCFC-D391-4F1D-BE85-DA0F597CAEBA}"/>
    <cellStyle name="Style 85 19 2" xfId="33737" xr:uid="{DD4445B3-B6AC-4757-B86B-BE350140F3D4}"/>
    <cellStyle name="Style 85 2" xfId="3551" xr:uid="{A8EDBA10-95BB-43CC-A597-468F4AEB9ECA}"/>
    <cellStyle name="Style 85 2 10" xfId="15047" xr:uid="{019C9261-3DF3-404E-816D-AE54860DC796}"/>
    <cellStyle name="Style 85 2 10 2" xfId="33738" xr:uid="{B269CF7D-E6E3-4138-BF6F-5AEB5EDF5240}"/>
    <cellStyle name="Style 85 2 11" xfId="15048" xr:uid="{B222EEDA-BA97-4D1E-9049-0045CE17AF5D}"/>
    <cellStyle name="Style 85 2 11 2" xfId="33739" xr:uid="{4EECED2A-E9E0-47EE-9432-1A07F3F07263}"/>
    <cellStyle name="Style 85 2 12" xfId="15049" xr:uid="{3F34678E-F584-4944-88F3-5F746011F0A5}"/>
    <cellStyle name="Style 85 2 12 2" xfId="33740" xr:uid="{DEE2315C-328C-4A72-A7EC-7591E7FC83BD}"/>
    <cellStyle name="Style 85 2 13" xfId="15050" xr:uid="{8256F0D8-8931-49BF-A413-35C7E967D5D1}"/>
    <cellStyle name="Style 85 2 13 2" xfId="33741" xr:uid="{09BF3FE6-FA62-4C21-8144-25E9022EC92E}"/>
    <cellStyle name="Style 85 2 14" xfId="24113" xr:uid="{31B79EF0-1891-444F-A435-DD6AE2DD18AA}"/>
    <cellStyle name="Style 85 2 2" xfId="7203" xr:uid="{B5607D67-49B5-43BC-BC43-B96F0A03E118}"/>
    <cellStyle name="Style 85 2 2 2" xfId="15051" xr:uid="{675A03AD-C42E-4981-9BDB-A6AD039857FF}"/>
    <cellStyle name="Style 85 2 2 2 2" xfId="33742" xr:uid="{06BACF18-EE4B-4868-84FC-7F92E36AEB8D}"/>
    <cellStyle name="Style 85 2 2 3" xfId="15052" xr:uid="{4EB082D4-E662-4820-863D-4181AFE45366}"/>
    <cellStyle name="Style 85 2 2 3 2" xfId="33743" xr:uid="{CDAE9BC6-B829-4EF5-80D9-3E85D9AE26CE}"/>
    <cellStyle name="Style 85 2 3" xfId="7202" xr:uid="{D638A2D2-0522-4B61-827B-28557F3BD993}"/>
    <cellStyle name="Style 85 2 3 2" xfId="15053" xr:uid="{B606A955-BE50-4915-AC78-41E4718D9AA1}"/>
    <cellStyle name="Style 85 2 3 2 2" xfId="33744" xr:uid="{2E075102-FAE8-4D4D-B3E4-346710B4351A}"/>
    <cellStyle name="Style 85 2 4" xfId="4445" xr:uid="{6086CCCE-AA51-4195-B42D-FE0348E350EE}"/>
    <cellStyle name="Style 85 2 4 2" xfId="15054" xr:uid="{0E8181AB-7052-4FA3-81C0-64F8C8A26C8D}"/>
    <cellStyle name="Style 85 2 4 2 2" xfId="33745" xr:uid="{C64AEE70-1AEE-4455-80C7-88E355EBB99F}"/>
    <cellStyle name="Style 85 2 4 3" xfId="26711" xr:uid="{43C59616-46B9-494D-BA90-EC8AE5B7E776}"/>
    <cellStyle name="Style 85 2 5" xfId="15055" xr:uid="{A3F12463-7D87-4A03-A380-D0878377D01C}"/>
    <cellStyle name="Style 85 2 5 2" xfId="33746" xr:uid="{B12A7D8F-706B-462B-BD78-056E88E2A72E}"/>
    <cellStyle name="Style 85 2 6" xfId="15056" xr:uid="{CDDD7942-D323-4A0B-ACE9-AE5A0E1AAF11}"/>
    <cellStyle name="Style 85 2 6 2" xfId="33747" xr:uid="{BEAAC065-7028-48B2-AB0B-785517D0FF20}"/>
    <cellStyle name="Style 85 2 7" xfId="15057" xr:uid="{78DF9FE4-AF84-4CC2-A72C-618049AB8B44}"/>
    <cellStyle name="Style 85 2 7 2" xfId="33748" xr:uid="{BB6515C5-493D-417B-9A63-DAD2B382E0B1}"/>
    <cellStyle name="Style 85 2 8" xfId="15058" xr:uid="{601FF810-7FAC-42DE-8C59-8F80F72034FC}"/>
    <cellStyle name="Style 85 2 8 2" xfId="33749" xr:uid="{216F9618-773F-4038-A343-AC1792D9AAED}"/>
    <cellStyle name="Style 85 2 9" xfId="15059" xr:uid="{E1C6EDF9-CD1C-442E-B0A6-602D56E841C7}"/>
    <cellStyle name="Style 85 2 9 2" xfId="33750" xr:uid="{8834DBF4-6203-4437-BEC0-28289E34F1E4}"/>
    <cellStyle name="Style 85 20" xfId="15060" xr:uid="{C278DAB3-D04D-4D5B-9FE1-DEC533FDA06E}"/>
    <cellStyle name="Style 85 20 2" xfId="33751" xr:uid="{EA96D82F-CA04-499B-947E-D1FD8D132938}"/>
    <cellStyle name="Style 85 21" xfId="15061" xr:uid="{6D81DB45-B967-4737-BB89-5EA6E7508CD7}"/>
    <cellStyle name="Style 85 21 2" xfId="33752" xr:uid="{5182946E-F664-4737-8EE3-5A8A63BFA902}"/>
    <cellStyle name="Style 85 22" xfId="15062" xr:uid="{42D4672C-65A9-41D7-9D8E-E6FD5A9ED270}"/>
    <cellStyle name="Style 85 22 2" xfId="33753" xr:uid="{6CAC5E1C-B63D-43B4-A4ED-2EAE1034C401}"/>
    <cellStyle name="Style 85 23" xfId="15063" xr:uid="{6C1C1D35-1D8A-4ED7-AF58-123216061D33}"/>
    <cellStyle name="Style 85 23 2" xfId="33754" xr:uid="{7EA22B26-C94D-4E17-874C-053DD251A037}"/>
    <cellStyle name="Style 85 24" xfId="15064" xr:uid="{8AE99D1C-010E-40B7-8E0F-9AC62EAFB06F}"/>
    <cellStyle name="Style 85 24 2" xfId="33755" xr:uid="{C72A7B24-0808-4EAF-A198-B0270BAF14C0}"/>
    <cellStyle name="Style 85 25" xfId="15065" xr:uid="{832BF06B-F825-4C6D-B908-A16F08F7DD48}"/>
    <cellStyle name="Style 85 25 2" xfId="33756" xr:uid="{B772F36F-EFF3-4CEC-A812-17D798E29BE2}"/>
    <cellStyle name="Style 85 26" xfId="24110" xr:uid="{0AD932B1-ED3E-4158-92F5-94B66DFBE5DD}"/>
    <cellStyle name="Style 85 3" xfId="3552" xr:uid="{11367D46-B1E3-455D-AB57-6E864ACDF497}"/>
    <cellStyle name="Style 85 3 10" xfId="15066" xr:uid="{D011016A-1521-409A-8AAE-CC65172C3009}"/>
    <cellStyle name="Style 85 3 10 2" xfId="33757" xr:uid="{1FD127A7-3846-4DFF-A918-BA3FFCB5F346}"/>
    <cellStyle name="Style 85 3 11" xfId="15067" xr:uid="{3206DDED-F91F-4E2D-844A-9803E11452F0}"/>
    <cellStyle name="Style 85 3 11 2" xfId="33758" xr:uid="{55C3ABBE-2FD9-4F42-8AAB-186247B61D85}"/>
    <cellStyle name="Style 85 3 12" xfId="15068" xr:uid="{CBD5EB78-72C8-46BA-9164-B03B126E5FE8}"/>
    <cellStyle name="Style 85 3 12 2" xfId="33759" xr:uid="{BCDA152C-51DE-4B48-B776-B5D32A8331DE}"/>
    <cellStyle name="Style 85 3 13" xfId="15069" xr:uid="{48932334-42D5-4A8C-833F-2F2ED824B867}"/>
    <cellStyle name="Style 85 3 13 2" xfId="33760" xr:uid="{76F2BE8D-D371-4F31-AAFD-805B5B3C1ABA}"/>
    <cellStyle name="Style 85 3 14" xfId="15070" xr:uid="{BDFA31E4-45AA-4C9E-B8FA-0D200E3873F9}"/>
    <cellStyle name="Style 85 3 14 2" xfId="33761" xr:uid="{A70FE144-1D33-40EE-B6F7-0F28F16266C6}"/>
    <cellStyle name="Style 85 3 15" xfId="15071" xr:uid="{11AAFEF0-8B96-4A68-A1B5-F5FF69CA239C}"/>
    <cellStyle name="Style 85 3 15 2" xfId="33762" xr:uid="{DAAD2224-4907-4E3E-A834-397EC350AB77}"/>
    <cellStyle name="Style 85 3 16" xfId="15072" xr:uid="{5BFBCF61-5591-4952-8B41-B3882005BEE0}"/>
    <cellStyle name="Style 85 3 16 2" xfId="33763" xr:uid="{342D0ABF-3692-45F6-9196-FF41CFB03151}"/>
    <cellStyle name="Style 85 3 17" xfId="15073" xr:uid="{D92C7D30-CE7A-4F4B-9126-A2D864DAA56E}"/>
    <cellStyle name="Style 85 3 17 2" xfId="33764" xr:uid="{1DDD92BC-85D2-46E0-96DD-DF5A252C462A}"/>
    <cellStyle name="Style 85 3 18" xfId="24114" xr:uid="{9911AFF4-D5B5-4390-B49F-B6C5BEAA7CD5}"/>
    <cellStyle name="Style 85 3 2" xfId="3553" xr:uid="{B430D7EA-0F6B-4573-A8DF-4780CAEB73AC}"/>
    <cellStyle name="Style 85 3 2 10" xfId="15074" xr:uid="{E9D55CD2-3875-4DD7-A38F-05E765E267A7}"/>
    <cellStyle name="Style 85 3 2 10 2" xfId="33765" xr:uid="{748100FC-960A-425B-8818-E94E9BC9A264}"/>
    <cellStyle name="Style 85 3 2 11" xfId="15075" xr:uid="{AB97AC98-14B1-4E3E-98EB-66703244346D}"/>
    <cellStyle name="Style 85 3 2 11 2" xfId="33766" xr:uid="{8173BA78-DDA5-4FC2-92B7-6389CE64D2A7}"/>
    <cellStyle name="Style 85 3 2 12" xfId="15076" xr:uid="{6F0D4506-952B-4A62-B842-F106E3A52C82}"/>
    <cellStyle name="Style 85 3 2 12 2" xfId="33767" xr:uid="{3AB7E246-E8EC-4895-A0C3-8E85D42FD2EC}"/>
    <cellStyle name="Style 85 3 2 13" xfId="15077" xr:uid="{02EF70CE-7AF8-42ED-B6F9-E6C74A288284}"/>
    <cellStyle name="Style 85 3 2 13 2" xfId="33768" xr:uid="{78940DCC-E1D2-40CE-B495-29EC1F888386}"/>
    <cellStyle name="Style 85 3 2 14" xfId="15078" xr:uid="{54D303D7-706E-4E4B-BDBE-098768E245FB}"/>
    <cellStyle name="Style 85 3 2 14 2" xfId="33769" xr:uid="{2503E579-6E5E-469D-9D1C-620D441ED068}"/>
    <cellStyle name="Style 85 3 2 15" xfId="24115" xr:uid="{F6E64664-461E-40B1-8F27-2790D987F195}"/>
    <cellStyle name="Style 85 3 2 2" xfId="3554" xr:uid="{BBCCE24D-3DD2-4406-85A1-304B7DBFC68C}"/>
    <cellStyle name="Style 85 3 2 2 10" xfId="15079" xr:uid="{30151A6A-74C2-4A56-8549-548BA4A0B60E}"/>
    <cellStyle name="Style 85 3 2 2 10 2" xfId="33770" xr:uid="{381E9EA9-DB41-4414-B5D7-BDEFA064FEE9}"/>
    <cellStyle name="Style 85 3 2 2 11" xfId="15080" xr:uid="{7FD0AF16-DF05-47D1-8C54-B68956F07F67}"/>
    <cellStyle name="Style 85 3 2 2 11 2" xfId="33771" xr:uid="{5C352EAE-7E6C-4177-A48E-C24286C9DB54}"/>
    <cellStyle name="Style 85 3 2 2 12" xfId="15081" xr:uid="{37CACDA9-B892-40B9-84C0-A18A736A9F77}"/>
    <cellStyle name="Style 85 3 2 2 12 2" xfId="33772" xr:uid="{C4D09A8A-1CEB-435E-8747-08AF513501DB}"/>
    <cellStyle name="Style 85 3 2 2 13" xfId="15082" xr:uid="{C12615FF-C60A-43CE-ADBB-51543E84DEA2}"/>
    <cellStyle name="Style 85 3 2 2 13 2" xfId="33773" xr:uid="{2554F46E-3030-4CB7-BF22-EF16FBDE62E4}"/>
    <cellStyle name="Style 85 3 2 2 14" xfId="24116" xr:uid="{0FB9ACB3-9D52-46E5-A163-6F0B1D510953}"/>
    <cellStyle name="Style 85 3 2 2 2" xfId="7207" xr:uid="{D1BE6722-95A1-4E77-B8B3-CA2E654F9B00}"/>
    <cellStyle name="Style 85 3 2 2 2 2" xfId="15083" xr:uid="{C769270E-DF10-493D-A16E-AB6A6BE018DE}"/>
    <cellStyle name="Style 85 3 2 2 2 2 2" xfId="33774" xr:uid="{A149D415-1F34-422A-9FB0-7AF960E45CDF}"/>
    <cellStyle name="Style 85 3 2 2 2 3" xfId="15084" xr:uid="{79856E36-DFC3-4D35-90FD-5234F273FF0F}"/>
    <cellStyle name="Style 85 3 2 2 2 3 2" xfId="33775" xr:uid="{07AE95E9-DFDF-488D-9046-A85A8202AAD2}"/>
    <cellStyle name="Style 85 3 2 2 3" xfId="7206" xr:uid="{799F4041-14AA-4880-A6B3-7AFAC99A63A9}"/>
    <cellStyle name="Style 85 3 2 2 3 2" xfId="15085" xr:uid="{C7D97150-86B4-4652-9BAF-D32D88659CAD}"/>
    <cellStyle name="Style 85 3 2 2 3 2 2" xfId="33776" xr:uid="{6236E496-D381-4BD5-8C08-04E022C79453}"/>
    <cellStyle name="Style 85 3 2 2 4" xfId="15086" xr:uid="{1B6BE7F0-BE89-46BC-9AA6-C05BCD6006CB}"/>
    <cellStyle name="Style 85 3 2 2 4 2" xfId="15087" xr:uid="{97652AAC-28CA-42B4-B83A-5582197F744D}"/>
    <cellStyle name="Style 85 3 2 2 4 2 2" xfId="33777" xr:uid="{D0122D1E-4FDC-4090-9EF2-F6B28F37ED1B}"/>
    <cellStyle name="Style 85 3 2 2 4 3" xfId="28101" xr:uid="{48ECF7C2-8FCD-46BA-9208-6A7986E41619}"/>
    <cellStyle name="Style 85 3 2 2 5" xfId="15088" xr:uid="{B57F1355-0FBD-48A2-9EBB-2A33E2A7BA67}"/>
    <cellStyle name="Style 85 3 2 2 5 2" xfId="33778" xr:uid="{4BF2CFB7-A7BF-4B87-AB9C-60EE3835A818}"/>
    <cellStyle name="Style 85 3 2 2 6" xfId="15089" xr:uid="{82A47A0E-91F2-4598-AD6C-644F694F586B}"/>
    <cellStyle name="Style 85 3 2 2 6 2" xfId="33779" xr:uid="{C53F5EC1-ACA5-4A08-A75F-717222203E2F}"/>
    <cellStyle name="Style 85 3 2 2 7" xfId="15090" xr:uid="{AEEE2FCA-B0FC-4512-96EF-7768936A9238}"/>
    <cellStyle name="Style 85 3 2 2 7 2" xfId="33780" xr:uid="{21874804-39A9-41B7-9A01-081D72C9B859}"/>
    <cellStyle name="Style 85 3 2 2 8" xfId="15091" xr:uid="{4C27F45C-2C5C-4061-A852-4276938A4C42}"/>
    <cellStyle name="Style 85 3 2 2 8 2" xfId="33781" xr:uid="{E327C6ED-6874-4058-BDEB-2C547A8DDE19}"/>
    <cellStyle name="Style 85 3 2 2 9" xfId="15092" xr:uid="{7E5D655F-9CAE-4F04-8AD6-CD60B5955EFA}"/>
    <cellStyle name="Style 85 3 2 2 9 2" xfId="33782" xr:uid="{61AC0468-ACFB-424D-B4A2-8BDFC05F25AB}"/>
    <cellStyle name="Style 85 3 2 3" xfId="7208" xr:uid="{D2036E87-AFBA-49A1-97B6-8C80F1324655}"/>
    <cellStyle name="Style 85 3 2 3 2" xfId="15093" xr:uid="{80BF638E-D813-4560-967F-18489CD38E11}"/>
    <cellStyle name="Style 85 3 2 3 2 2" xfId="33783" xr:uid="{7FAADC3F-FE49-40D7-9499-755B5A4796D4}"/>
    <cellStyle name="Style 85 3 2 3 3" xfId="15094" xr:uid="{F0D1D217-12A0-4773-85B9-9BC29FB4BC86}"/>
    <cellStyle name="Style 85 3 2 3 3 2" xfId="33784" xr:uid="{741E1164-15A8-444E-9F3B-67F7FE5201ED}"/>
    <cellStyle name="Style 85 3 2 4" xfId="7205" xr:uid="{66AEA827-9C2C-4A1E-ADBC-23330E82E380}"/>
    <cellStyle name="Style 85 3 2 4 2" xfId="15095" xr:uid="{43C57422-74F9-4D61-8CD3-D783DCCC2D1D}"/>
    <cellStyle name="Style 85 3 2 4 2 2" xfId="33785" xr:uid="{51FB3EC2-A438-4A03-A01F-898F31D22EB1}"/>
    <cellStyle name="Style 85 3 2 5" xfId="4447" xr:uid="{38BDE078-BC0D-413A-90CE-1F1B48504CC6}"/>
    <cellStyle name="Style 85 3 2 5 2" xfId="15096" xr:uid="{249B8E7D-3B39-4028-8AEB-58CBB991A499}"/>
    <cellStyle name="Style 85 3 2 5 2 2" xfId="33786" xr:uid="{15E2FC77-B10F-4A3F-9297-A82CDBD6E506}"/>
    <cellStyle name="Style 85 3 2 5 3" xfId="26713" xr:uid="{C1D0EFED-8445-4CEF-8254-14A53ECF500C}"/>
    <cellStyle name="Style 85 3 2 6" xfId="15097" xr:uid="{4C14336D-F6EB-4584-AD0A-FA86B5D7A333}"/>
    <cellStyle name="Style 85 3 2 6 2" xfId="33787" xr:uid="{A13C6BA8-0F51-42D9-9FB0-58E4252A989A}"/>
    <cellStyle name="Style 85 3 2 7" xfId="15098" xr:uid="{A2300B80-A45B-4CB7-A248-C81028629E35}"/>
    <cellStyle name="Style 85 3 2 7 2" xfId="33788" xr:uid="{412640DF-F522-4493-B835-C68C576BF39F}"/>
    <cellStyle name="Style 85 3 2 8" xfId="15099" xr:uid="{B32A2B13-79E5-45DF-856D-A07694357893}"/>
    <cellStyle name="Style 85 3 2 8 2" xfId="33789" xr:uid="{4D59BADD-82D0-4B5F-A40D-77BCEBCFBFF8}"/>
    <cellStyle name="Style 85 3 2 9" xfId="15100" xr:uid="{817ACB83-B268-4880-8A8A-CA88DF5999D3}"/>
    <cellStyle name="Style 85 3 2 9 2" xfId="33790" xr:uid="{0BE34570-4F1D-42DB-9FF8-9FC6205310ED}"/>
    <cellStyle name="Style 85 3 3" xfId="3555" xr:uid="{AB6E583E-068C-48E0-B931-9F8FC4BF98DC}"/>
    <cellStyle name="Style 85 3 3 10" xfId="15101" xr:uid="{990428C2-266B-4F0F-B006-A89574246F3C}"/>
    <cellStyle name="Style 85 3 3 10 2" xfId="33791" xr:uid="{21B23F33-F802-4D9D-8837-4A74D7456FCA}"/>
    <cellStyle name="Style 85 3 3 11" xfId="15102" xr:uid="{772045D9-29CF-4199-96A8-412DEEE482BD}"/>
    <cellStyle name="Style 85 3 3 11 2" xfId="33792" xr:uid="{C64C4C95-D433-4123-B429-F5FE88B8DB9C}"/>
    <cellStyle name="Style 85 3 3 12" xfId="15103" xr:uid="{C961A409-15D0-4156-BBEA-21DA296CA4F5}"/>
    <cellStyle name="Style 85 3 3 12 2" xfId="33793" xr:uid="{949C886B-5CD2-4650-A9D1-49CB52D3B761}"/>
    <cellStyle name="Style 85 3 3 13" xfId="15104" xr:uid="{05293B64-CB20-4146-A766-C3D3BA614D3F}"/>
    <cellStyle name="Style 85 3 3 13 2" xfId="33794" xr:uid="{80CB5AB1-5030-439B-B417-44FCA50BBB8F}"/>
    <cellStyle name="Style 85 3 3 14" xfId="15105" xr:uid="{0CC1AE7F-7E3C-449D-AAE4-078EE12F91C9}"/>
    <cellStyle name="Style 85 3 3 14 2" xfId="33795" xr:uid="{82BC3886-8067-4B83-B091-42264DF969BF}"/>
    <cellStyle name="Style 85 3 3 15" xfId="15106" xr:uid="{E6DFC4D1-FFC1-4A23-A31F-19BF835B1896}"/>
    <cellStyle name="Style 85 3 3 15 2" xfId="33796" xr:uid="{A038A11C-3895-4AA3-8585-E214E487ADCA}"/>
    <cellStyle name="Style 85 3 3 16" xfId="15107" xr:uid="{8462F508-F900-4439-ABB7-D4E80C0DC439}"/>
    <cellStyle name="Style 85 3 3 16 2" xfId="33797" xr:uid="{810D09AB-24C5-4279-B336-ECB196E1D7FA}"/>
    <cellStyle name="Style 85 3 3 17" xfId="15108" xr:uid="{CC0216C5-0339-4A82-A979-89D2432AD7DC}"/>
    <cellStyle name="Style 85 3 3 17 2" xfId="33798" xr:uid="{88CC50D4-F819-4B17-9DB2-821D498426D5}"/>
    <cellStyle name="Style 85 3 3 18" xfId="24117" xr:uid="{0F617E64-522C-47A2-AEEC-F9CCF8CFD6FF}"/>
    <cellStyle name="Style 85 3 3 2" xfId="3556" xr:uid="{F7F2AC93-A222-4A78-BAEB-A5EF5EB69B71}"/>
    <cellStyle name="Style 85 3 3 2 10" xfId="15109" xr:uid="{8EC9C8D5-A5B1-4585-B42B-F7441B6D2556}"/>
    <cellStyle name="Style 85 3 3 2 10 2" xfId="33799" xr:uid="{62C6FC01-548A-4C75-87C0-8B80A9BA0EF4}"/>
    <cellStyle name="Style 85 3 3 2 11" xfId="15110" xr:uid="{234A297A-2159-4521-A6EC-7003DE738117}"/>
    <cellStyle name="Style 85 3 3 2 11 2" xfId="33800" xr:uid="{18F4717A-ED26-4FC1-9195-8F8BB8E65727}"/>
    <cellStyle name="Style 85 3 3 2 12" xfId="15111" xr:uid="{1B26BD91-3DD4-4AE4-901F-FCD01DEFB3CB}"/>
    <cellStyle name="Style 85 3 3 2 12 2" xfId="33801" xr:uid="{BFBCFA47-4D49-4631-8A92-792D235CCC54}"/>
    <cellStyle name="Style 85 3 3 2 13" xfId="15112" xr:uid="{F229244A-0337-439E-B705-917651E1FAB3}"/>
    <cellStyle name="Style 85 3 3 2 13 2" xfId="33802" xr:uid="{A590F8E9-7913-49B6-B377-FFCFBED2B639}"/>
    <cellStyle name="Style 85 3 3 2 14" xfId="24118" xr:uid="{1D63C7F8-91F7-4D7E-8F9D-C527A1390D1B}"/>
    <cellStyle name="Style 85 3 3 2 2" xfId="7211" xr:uid="{7846EA83-833C-4349-9A50-CC672314ED54}"/>
    <cellStyle name="Style 85 3 3 2 2 2" xfId="15113" xr:uid="{B4E082FB-6A4E-4253-BC74-EC520B38FD72}"/>
    <cellStyle name="Style 85 3 3 2 2 2 2" xfId="33803" xr:uid="{0DEF0B4B-5A10-4CB8-9986-5D1971874088}"/>
    <cellStyle name="Style 85 3 3 2 2 3" xfId="15114" xr:uid="{5247B627-8D68-453C-A06B-9E06CCA71E33}"/>
    <cellStyle name="Style 85 3 3 2 2 3 2" xfId="33804" xr:uid="{878E467F-9C39-48AA-BCDC-1FE298899D31}"/>
    <cellStyle name="Style 85 3 3 2 3" xfId="7210" xr:uid="{997D57C8-D1D5-4686-97EE-E45B3B0AB016}"/>
    <cellStyle name="Style 85 3 3 2 3 2" xfId="15115" xr:uid="{A30388B5-4E10-4606-BFB4-ACB4255B37E5}"/>
    <cellStyle name="Style 85 3 3 2 3 2 2" xfId="33805" xr:uid="{C698DC23-FC0C-4D6E-A05C-E47EC5F0FBAC}"/>
    <cellStyle name="Style 85 3 3 2 4" xfId="15116" xr:uid="{6C88E35E-3733-499B-B67D-00FEA18C84D3}"/>
    <cellStyle name="Style 85 3 3 2 4 2" xfId="15117" xr:uid="{AF3C19D1-496E-404B-AAE7-F27B989D7D6F}"/>
    <cellStyle name="Style 85 3 3 2 4 2 2" xfId="33806" xr:uid="{D3F9B29F-885F-49F7-93D0-53C7D5ACB6B5}"/>
    <cellStyle name="Style 85 3 3 2 4 3" xfId="28103" xr:uid="{3315F905-EBD3-44AF-948B-5D51F25BE44E}"/>
    <cellStyle name="Style 85 3 3 2 5" xfId="15118" xr:uid="{D7683C53-1AFB-46AC-9A41-00F0428290D5}"/>
    <cellStyle name="Style 85 3 3 2 5 2" xfId="33807" xr:uid="{93B4C05F-93E2-48B3-A686-F4A08C563333}"/>
    <cellStyle name="Style 85 3 3 2 6" xfId="15119" xr:uid="{A482EED7-62E5-4633-A1BB-0396E83D20E8}"/>
    <cellStyle name="Style 85 3 3 2 6 2" xfId="33808" xr:uid="{3A944F5C-9AFA-4A1B-A102-CFA98568E0AE}"/>
    <cellStyle name="Style 85 3 3 2 7" xfId="15120" xr:uid="{55826FD5-4385-4FEB-A6CB-76F159B2027F}"/>
    <cellStyle name="Style 85 3 3 2 7 2" xfId="33809" xr:uid="{EFF09DE1-E0B9-496E-8341-2C8F283C0BBC}"/>
    <cellStyle name="Style 85 3 3 2 8" xfId="15121" xr:uid="{8E73FA0A-65F5-4DD7-BEE5-8741BA4C6420}"/>
    <cellStyle name="Style 85 3 3 2 8 2" xfId="33810" xr:uid="{329EC738-1227-4426-84D0-5EE13AB1E35A}"/>
    <cellStyle name="Style 85 3 3 2 9" xfId="15122" xr:uid="{A6DE8757-CFCD-47B0-BBB4-74544CB35149}"/>
    <cellStyle name="Style 85 3 3 2 9 2" xfId="33811" xr:uid="{59F52EBD-2F90-4F43-A29D-C14C4ECD3B7E}"/>
    <cellStyle name="Style 85 3 3 3" xfId="3557" xr:uid="{51659AB5-84F5-4F7D-AEB3-C85C8AF7114C}"/>
    <cellStyle name="Style 85 3 3 3 10" xfId="15123" xr:uid="{2C7A0C07-AE69-4612-ABF8-2BFCB03B1B35}"/>
    <cellStyle name="Style 85 3 3 3 10 2" xfId="33812" xr:uid="{8BBD1083-D74E-4C6E-92D4-02B571AB1FE9}"/>
    <cellStyle name="Style 85 3 3 3 11" xfId="15124" xr:uid="{744A8940-7688-463B-8581-E78D65D3294C}"/>
    <cellStyle name="Style 85 3 3 3 11 2" xfId="33813" xr:uid="{61BBCCE9-780A-4B11-B23C-62A9D24760F3}"/>
    <cellStyle name="Style 85 3 3 3 12" xfId="15125" xr:uid="{771DFC30-3C26-4BB7-B933-5E9037513149}"/>
    <cellStyle name="Style 85 3 3 3 12 2" xfId="33814" xr:uid="{6A2CD7C4-DAA5-4EBD-AAD6-A0A1F7210613}"/>
    <cellStyle name="Style 85 3 3 3 13" xfId="15126" xr:uid="{ADE9DDC3-EAD8-4E03-82E1-7C2D11617255}"/>
    <cellStyle name="Style 85 3 3 3 13 2" xfId="33815" xr:uid="{4141F62A-DAFA-4331-8E31-323FC02C1692}"/>
    <cellStyle name="Style 85 3 3 3 14" xfId="15127" xr:uid="{F620984A-2B59-48E5-8065-983133ABE6C1}"/>
    <cellStyle name="Style 85 3 3 3 14 2" xfId="33816" xr:uid="{325DEA6A-9A58-4BA1-9148-CC12C5AC1179}"/>
    <cellStyle name="Style 85 3 3 3 15" xfId="15128" xr:uid="{8B4150F2-A983-4C1C-BF6B-8E66BF7FC55F}"/>
    <cellStyle name="Style 85 3 3 3 15 2" xfId="33817" xr:uid="{5B16A56F-0D3C-48B1-858F-7C5D4FFAB59E}"/>
    <cellStyle name="Style 85 3 3 3 16" xfId="24119" xr:uid="{FA7DE1B8-1BD7-4030-BF42-BD9AD6C3D48A}"/>
    <cellStyle name="Style 85 3 3 3 2" xfId="3558" xr:uid="{D4D800DC-2151-434B-ACF2-8F3A0CE80463}"/>
    <cellStyle name="Style 85 3 3 3 2 10" xfId="15129" xr:uid="{63D920F8-18D1-4503-B4CA-25183C30351F}"/>
    <cellStyle name="Style 85 3 3 3 2 10 2" xfId="33818" xr:uid="{BB355D97-54A9-4C2F-A198-2D8699F26397}"/>
    <cellStyle name="Style 85 3 3 3 2 11" xfId="15130" xr:uid="{07D3F7C6-B2ED-4275-ADCD-4AF3A7175AAD}"/>
    <cellStyle name="Style 85 3 3 3 2 11 2" xfId="33819" xr:uid="{867132AC-E13B-4E45-82A3-A4478BD917D2}"/>
    <cellStyle name="Style 85 3 3 3 2 12" xfId="15131" xr:uid="{5C566D5D-F5EF-46D1-B2C9-4BAE7B3140AC}"/>
    <cellStyle name="Style 85 3 3 3 2 12 2" xfId="33820" xr:uid="{D87C01B0-1589-4755-BB72-514FB1F943FC}"/>
    <cellStyle name="Style 85 3 3 3 2 13" xfId="15132" xr:uid="{F73D895D-8D3F-418B-AF09-462B8C8F0210}"/>
    <cellStyle name="Style 85 3 3 3 2 13 2" xfId="33821" xr:uid="{A854D430-ADA2-4C43-83E1-D59AFCD872CF}"/>
    <cellStyle name="Style 85 3 3 3 2 14" xfId="24120" xr:uid="{994235F0-0DEF-4708-B1C7-29C4697380BE}"/>
    <cellStyle name="Style 85 3 3 3 2 2" xfId="7214" xr:uid="{77562087-DACA-4CE3-9A20-82380F4CEA05}"/>
    <cellStyle name="Style 85 3 3 3 2 2 2" xfId="15133" xr:uid="{C328108D-50B3-460C-A8ED-D04C94FE8F03}"/>
    <cellStyle name="Style 85 3 3 3 2 2 2 2" xfId="33822" xr:uid="{7FC94ECC-1F6E-4CE8-AE33-2D87002C0BBB}"/>
    <cellStyle name="Style 85 3 3 3 2 2 3" xfId="15134" xr:uid="{E83C195F-D539-483F-8E5E-C309183CD724}"/>
    <cellStyle name="Style 85 3 3 3 2 2 3 2" xfId="33823" xr:uid="{B5DA2ED2-E178-4C37-B70E-6FB21D427BF8}"/>
    <cellStyle name="Style 85 3 3 3 2 3" xfId="7213" xr:uid="{74D85D11-9004-43D7-A536-F4BCD4F27CB5}"/>
    <cellStyle name="Style 85 3 3 3 2 3 2" xfId="15135" xr:uid="{431C2DB0-0B8D-44F6-9C41-F078D6D0B12D}"/>
    <cellStyle name="Style 85 3 3 3 2 3 2 2" xfId="33824" xr:uid="{C83B863B-7905-4317-87AC-3E3D510F0C01}"/>
    <cellStyle name="Style 85 3 3 3 2 4" xfId="15136" xr:uid="{408892DC-FA57-4BC3-8D76-FA9AEC6130DE}"/>
    <cellStyle name="Style 85 3 3 3 2 4 2" xfId="15137" xr:uid="{C54C0D49-2A6C-44B8-B689-80A3A9610EAA}"/>
    <cellStyle name="Style 85 3 3 3 2 4 2 2" xfId="33825" xr:uid="{F42847F8-BC4D-4E74-A0B4-B1571BEBDDC9}"/>
    <cellStyle name="Style 85 3 3 3 2 4 3" xfId="28105" xr:uid="{A3A9F875-A934-4306-9CF4-370303327015}"/>
    <cellStyle name="Style 85 3 3 3 2 5" xfId="15138" xr:uid="{5F6A5F6B-CB58-4B6A-AE6C-00F0D9363F6E}"/>
    <cellStyle name="Style 85 3 3 3 2 5 2" xfId="33826" xr:uid="{4849FC7C-DBB4-4304-AE73-BCABCF58A6B9}"/>
    <cellStyle name="Style 85 3 3 3 2 6" xfId="15139" xr:uid="{749EF1B9-8D6C-439F-8C49-A65113B24FD7}"/>
    <cellStyle name="Style 85 3 3 3 2 6 2" xfId="33827" xr:uid="{866F57E4-0D97-4D8B-A5F3-A3143AB7788E}"/>
    <cellStyle name="Style 85 3 3 3 2 7" xfId="15140" xr:uid="{446E2953-5358-4C94-B647-223A9429AAE7}"/>
    <cellStyle name="Style 85 3 3 3 2 7 2" xfId="33828" xr:uid="{32A7D6E7-4D74-4369-BBA1-6F44FFC34346}"/>
    <cellStyle name="Style 85 3 3 3 2 8" xfId="15141" xr:uid="{8100A796-5B98-4F7D-B654-FB9A8C416EAF}"/>
    <cellStyle name="Style 85 3 3 3 2 8 2" xfId="33829" xr:uid="{901F651A-DA49-4E01-B1BE-F2E19DCB4411}"/>
    <cellStyle name="Style 85 3 3 3 2 9" xfId="15142" xr:uid="{18D9DBFD-C1A2-41E3-AC5F-F79B1FEED394}"/>
    <cellStyle name="Style 85 3 3 3 2 9 2" xfId="33830" xr:uid="{71E8AFB5-945F-4B6F-9946-6F07E8E9B80A}"/>
    <cellStyle name="Style 85 3 3 3 3" xfId="7215" xr:uid="{5DF49F56-1542-4F03-95A2-23CB36E585DD}"/>
    <cellStyle name="Style 85 3 3 3 3 2" xfId="7216" xr:uid="{C2540887-83D4-41E0-8408-20604F9D67E8}"/>
    <cellStyle name="Style 85 3 3 3 3 2 2" xfId="15143" xr:uid="{55318243-0EEA-4535-BE5E-A0B2CBE98F1B}"/>
    <cellStyle name="Style 85 3 3 3 3 2 2 2" xfId="33831" xr:uid="{44508A23-57B1-402D-8B34-9C83C002EC89}"/>
    <cellStyle name="Style 85 3 3 3 3 2 3" xfId="15144" xr:uid="{8865D91B-73F3-43E5-BFCB-FC0BCD31EA2A}"/>
    <cellStyle name="Style 85 3 3 3 3 2 3 2" xfId="33832" xr:uid="{C411FBFC-F2E3-441B-BC78-B71DDA242783}"/>
    <cellStyle name="Style 85 3 3 3 3 3" xfId="15145" xr:uid="{C88CED5D-2894-4759-B523-60361FAF1CF8}"/>
    <cellStyle name="Style 85 3 3 3 3 3 2" xfId="33833" xr:uid="{0C8FA758-0CC6-4B8E-B40A-D7876DE13FAC}"/>
    <cellStyle name="Style 85 3 3 3 3 4" xfId="15146" xr:uid="{DE4A5C91-7BDA-49F5-8F22-25F48982A906}"/>
    <cellStyle name="Style 85 3 3 3 3 4 2" xfId="33834" xr:uid="{259B44EE-C87F-4674-B7B5-144CE9C70E0B}"/>
    <cellStyle name="Style 85 3 3 3 3 5" xfId="15147" xr:uid="{A6183842-FE9C-44A5-92A6-5F0B36E5E061}"/>
    <cellStyle name="Style 85 3 3 3 3 5 2" xfId="33835" xr:uid="{992C95B1-CB77-4F9A-A96E-218941A302C2}"/>
    <cellStyle name="Style 85 3 3 3 3 6" xfId="24121" xr:uid="{79C525D1-BA69-4246-B2EB-567E6BCFAB77}"/>
    <cellStyle name="Style 85 3 3 3 4" xfId="7217" xr:uid="{32436AB8-5907-40CA-BFE2-43F89810E9A1}"/>
    <cellStyle name="Style 85 3 3 3 4 2" xfId="15148" xr:uid="{DB09748D-0C00-410E-8166-C25A127CD5BE}"/>
    <cellStyle name="Style 85 3 3 3 4 2 2" xfId="33836" xr:uid="{1CFA86AE-8CEF-4AE4-AE66-78211B9FB85B}"/>
    <cellStyle name="Style 85 3 3 3 4 3" xfId="15149" xr:uid="{35F45F48-0FDB-4147-928A-76D41CFD97CD}"/>
    <cellStyle name="Style 85 3 3 3 4 3 2" xfId="33837" xr:uid="{2E51109F-BA08-4E4E-A967-87D2E1FC74EA}"/>
    <cellStyle name="Style 85 3 3 3 5" xfId="7218" xr:uid="{AF749901-E097-408B-BB70-A258347859D4}"/>
    <cellStyle name="Style 85 3 3 3 5 2" xfId="15150" xr:uid="{1CB4F3D0-E2E8-4F62-9AB6-3B21DF44195B}"/>
    <cellStyle name="Style 85 3 3 3 5 2 2" xfId="33838" xr:uid="{91BC6614-90E7-4D5D-B349-DA5C8DF64B54}"/>
    <cellStyle name="Style 85 3 3 3 6" xfId="7212" xr:uid="{6DC8D58F-7869-4A1C-9F51-DFD9C47708B9}"/>
    <cellStyle name="Style 85 3 3 3 6 2" xfId="15151" xr:uid="{9F15B456-46F6-4EEE-A5DC-71166A3CFA67}"/>
    <cellStyle name="Style 85 3 3 3 6 2 2" xfId="33839" xr:uid="{417E894C-3A28-4B88-BF6B-EFBB6A1E25F5}"/>
    <cellStyle name="Style 85 3 3 3 7" xfId="15152" xr:uid="{22B3FB99-1B76-4F7C-9351-81C1DC4B54A3}"/>
    <cellStyle name="Style 85 3 3 3 7 2" xfId="15153" xr:uid="{BA940819-AA18-4C43-BC97-994CAC7BEC5F}"/>
    <cellStyle name="Style 85 3 3 3 7 2 2" xfId="33840" xr:uid="{BF2736D0-D685-4C70-A23D-38F07985DFAA}"/>
    <cellStyle name="Style 85 3 3 3 7 3" xfId="28104" xr:uid="{2CAE307D-8E50-4386-8B55-78707E96C58C}"/>
    <cellStyle name="Style 85 3 3 3 8" xfId="15154" xr:uid="{56C2F580-8A28-45F7-9E0E-E7066A31800B}"/>
    <cellStyle name="Style 85 3 3 3 8 2" xfId="33841" xr:uid="{70D2BDE7-542D-4E76-8201-FEBE804866EF}"/>
    <cellStyle name="Style 85 3 3 3 9" xfId="15155" xr:uid="{5248193D-0BF5-4873-A041-EA83617E8960}"/>
    <cellStyle name="Style 85 3 3 3 9 2" xfId="33842" xr:uid="{EAD017E1-38E0-465A-AA2F-F4228797526E}"/>
    <cellStyle name="Style 85 3 3 4" xfId="3559" xr:uid="{44EAC3F3-E4B3-485A-9AF7-5AB43F272B4F}"/>
    <cellStyle name="Style 85 3 3 4 10" xfId="15156" xr:uid="{136C1F41-377F-4462-8175-05EFB34B315B}"/>
    <cellStyle name="Style 85 3 3 4 10 2" xfId="33843" xr:uid="{689E3C56-B0C5-4E02-B6E6-F1FF7796AE54}"/>
    <cellStyle name="Style 85 3 3 4 11" xfId="15157" xr:uid="{6B143F0A-11D3-4828-8BCA-046D947B6C18}"/>
    <cellStyle name="Style 85 3 3 4 11 2" xfId="33844" xr:uid="{6C5E5CBE-116C-4B6D-814D-74E985EBF4B7}"/>
    <cellStyle name="Style 85 3 3 4 12" xfId="15158" xr:uid="{D4C056BA-A4E1-47F1-B870-B2FAF8DFFA2B}"/>
    <cellStyle name="Style 85 3 3 4 12 2" xfId="33845" xr:uid="{EDACFCBD-56EC-4C21-8959-BDCCFF08296A}"/>
    <cellStyle name="Style 85 3 3 4 13" xfId="15159" xr:uid="{591AB43D-DF70-4B5D-8DF7-29829434D6CF}"/>
    <cellStyle name="Style 85 3 3 4 13 2" xfId="33846" xr:uid="{A739679F-A5F0-4FF7-A4C6-84B5E9B83B42}"/>
    <cellStyle name="Style 85 3 3 4 14" xfId="15160" xr:uid="{0BA33B09-54A9-4CFF-8FF8-8984BEAD1A83}"/>
    <cellStyle name="Style 85 3 3 4 14 2" xfId="33847" xr:uid="{1EDE835B-1611-4695-9884-6E49EA397DFA}"/>
    <cellStyle name="Style 85 3 3 4 15" xfId="24122" xr:uid="{DD693F5D-C5C8-49FC-9C00-75107E14B42A}"/>
    <cellStyle name="Style 85 3 3 4 2" xfId="3560" xr:uid="{338FE62C-D29F-46C9-A68E-D21FBD15B051}"/>
    <cellStyle name="Style 85 3 3 4 2 10" xfId="15161" xr:uid="{884E8149-E7F6-490B-89DB-9E53F77BB1C0}"/>
    <cellStyle name="Style 85 3 3 4 2 10 2" xfId="33848" xr:uid="{964F80FE-6F54-40E9-B578-7C315E030998}"/>
    <cellStyle name="Style 85 3 3 4 2 11" xfId="15162" xr:uid="{D9DF8E64-73DB-4ACD-9BDC-1FE7EE748308}"/>
    <cellStyle name="Style 85 3 3 4 2 11 2" xfId="33849" xr:uid="{734F2C6E-1690-425B-8696-40C938650AB8}"/>
    <cellStyle name="Style 85 3 3 4 2 12" xfId="15163" xr:uid="{5BE9DFB4-037A-410F-BB6A-10E55B486030}"/>
    <cellStyle name="Style 85 3 3 4 2 12 2" xfId="33850" xr:uid="{8E5AE478-6618-44FF-9B61-29E6DE861BA1}"/>
    <cellStyle name="Style 85 3 3 4 2 13" xfId="15164" xr:uid="{31798489-EF0E-453F-9F1C-C21DD5D78383}"/>
    <cellStyle name="Style 85 3 3 4 2 13 2" xfId="33851" xr:uid="{77CB43E9-2F06-40C3-B40A-0A7111D5BCAD}"/>
    <cellStyle name="Style 85 3 3 4 2 14" xfId="24123" xr:uid="{9B4B957C-001F-4708-ACD6-DE9D0210F61B}"/>
    <cellStyle name="Style 85 3 3 4 2 2" xfId="7221" xr:uid="{F0AB8883-BE54-4A60-BBDB-F6F93ABE4A86}"/>
    <cellStyle name="Style 85 3 3 4 2 2 2" xfId="15165" xr:uid="{D5516F5E-1EB1-441D-A293-EC143394869F}"/>
    <cellStyle name="Style 85 3 3 4 2 2 2 2" xfId="33852" xr:uid="{68C50531-91B6-43B4-9045-862773283D5E}"/>
    <cellStyle name="Style 85 3 3 4 2 2 3" xfId="15166" xr:uid="{FE3D5868-25AA-4BF9-A407-146D38A94970}"/>
    <cellStyle name="Style 85 3 3 4 2 2 3 2" xfId="33853" xr:uid="{84103B6F-DB90-48DE-A386-7CE13CF07EDC}"/>
    <cellStyle name="Style 85 3 3 4 2 3" xfId="7220" xr:uid="{B0BFF5E3-36C8-4858-8457-0771FD245C4C}"/>
    <cellStyle name="Style 85 3 3 4 2 3 2" xfId="15167" xr:uid="{8FF2B028-9DE4-46FA-A76E-4C8AD447C954}"/>
    <cellStyle name="Style 85 3 3 4 2 3 2 2" xfId="33854" xr:uid="{D7AD17DE-5D04-409F-9407-992DC821EF31}"/>
    <cellStyle name="Style 85 3 3 4 2 4" xfId="15168" xr:uid="{32BEC779-BD3C-4B92-ADBA-6B62AEE7A2FB}"/>
    <cellStyle name="Style 85 3 3 4 2 4 2" xfId="15169" xr:uid="{3A2F4C08-FF63-4A60-BFA9-5434D4543648}"/>
    <cellStyle name="Style 85 3 3 4 2 4 2 2" xfId="33855" xr:uid="{36A51F47-4E80-483F-BCE3-F45B5CBBF382}"/>
    <cellStyle name="Style 85 3 3 4 2 4 3" xfId="28107" xr:uid="{D9BFD54F-C9E1-4F26-B8B7-9443C9BA5A96}"/>
    <cellStyle name="Style 85 3 3 4 2 5" xfId="15170" xr:uid="{A5E3C85D-44E8-4BDB-B721-173A101CB7E0}"/>
    <cellStyle name="Style 85 3 3 4 2 5 2" xfId="33856" xr:uid="{58BA7AF8-37ED-4091-9B17-B5E68548EA20}"/>
    <cellStyle name="Style 85 3 3 4 2 6" xfId="15171" xr:uid="{79806649-464D-4973-9CF4-68BC15C4C5F5}"/>
    <cellStyle name="Style 85 3 3 4 2 6 2" xfId="33857" xr:uid="{4A541899-1507-4CBA-9F61-80B9AD38027A}"/>
    <cellStyle name="Style 85 3 3 4 2 7" xfId="15172" xr:uid="{3DDE92CB-968F-48C5-BAB1-9357845634DD}"/>
    <cellStyle name="Style 85 3 3 4 2 7 2" xfId="33858" xr:uid="{184FE2EA-6B89-4A8F-8B59-34F238768427}"/>
    <cellStyle name="Style 85 3 3 4 2 8" xfId="15173" xr:uid="{6D44E884-98B2-40B9-9167-AE350B293D16}"/>
    <cellStyle name="Style 85 3 3 4 2 8 2" xfId="33859" xr:uid="{D5DC5CD9-74B0-4155-A27C-36F59DB922EF}"/>
    <cellStyle name="Style 85 3 3 4 2 9" xfId="15174" xr:uid="{2232265C-D3A8-4075-B3F5-ED0792523B15}"/>
    <cellStyle name="Style 85 3 3 4 2 9 2" xfId="33860" xr:uid="{CA548C8E-82E3-4ECF-AD6F-23F1870E434D}"/>
    <cellStyle name="Style 85 3 3 4 3" xfId="7222" xr:uid="{81BFEA84-AF8D-4092-BA08-727C4D54C1AF}"/>
    <cellStyle name="Style 85 3 3 4 3 2" xfId="15175" xr:uid="{C873FC3A-33E0-483E-91C0-4EABCBA2A3B7}"/>
    <cellStyle name="Style 85 3 3 4 3 2 2" xfId="33861" xr:uid="{A0017883-E162-4BDA-9050-4250DE3AEBBB}"/>
    <cellStyle name="Style 85 3 3 4 3 3" xfId="15176" xr:uid="{9158DC9E-9C4E-47E4-A000-57AC418C13F6}"/>
    <cellStyle name="Style 85 3 3 4 3 3 2" xfId="33862" xr:uid="{E4F9788D-E64C-4560-B6AF-0958B4C4B3CE}"/>
    <cellStyle name="Style 85 3 3 4 4" xfId="7219" xr:uid="{047BFC34-3EDC-44D3-A564-E305456780E8}"/>
    <cellStyle name="Style 85 3 3 4 4 2" xfId="15177" xr:uid="{893B2CAF-590D-421B-B982-80A29D5286B3}"/>
    <cellStyle name="Style 85 3 3 4 4 2 2" xfId="33863" xr:uid="{F8AC4FA3-F704-4432-B3A2-6AF63B151520}"/>
    <cellStyle name="Style 85 3 3 4 5" xfId="15178" xr:uid="{B3B1DAA0-702C-462C-82BD-B4178388B251}"/>
    <cellStyle name="Style 85 3 3 4 5 2" xfId="15179" xr:uid="{AEADFD16-C25F-4410-BA3D-965856431F97}"/>
    <cellStyle name="Style 85 3 3 4 5 2 2" xfId="33864" xr:uid="{CFC0E41E-D183-4DC3-8C3B-47D04407CD67}"/>
    <cellStyle name="Style 85 3 3 4 5 3" xfId="28106" xr:uid="{DB2B275E-CDA3-480D-9806-5EAF06E5FB53}"/>
    <cellStyle name="Style 85 3 3 4 6" xfId="15180" xr:uid="{109FF997-E002-43DE-890F-9CF258BF3CDF}"/>
    <cellStyle name="Style 85 3 3 4 6 2" xfId="33865" xr:uid="{80658DDF-9E67-4B7A-851E-26F72A1B11DD}"/>
    <cellStyle name="Style 85 3 3 4 7" xfId="15181" xr:uid="{AAEED5CB-530A-463A-8CE6-5C06CEE19E01}"/>
    <cellStyle name="Style 85 3 3 4 7 2" xfId="33866" xr:uid="{4CD97DFF-12C8-4790-B525-B2B03F815C72}"/>
    <cellStyle name="Style 85 3 3 4 8" xfId="15182" xr:uid="{187A4184-C83C-4679-B681-D80C971B098E}"/>
    <cellStyle name="Style 85 3 3 4 8 2" xfId="33867" xr:uid="{49E38A40-91CE-4B1A-91FE-9E178BFA5A59}"/>
    <cellStyle name="Style 85 3 3 4 9" xfId="15183" xr:uid="{23E8995E-1202-4A3A-B553-138F44724066}"/>
    <cellStyle name="Style 85 3 3 4 9 2" xfId="33868" xr:uid="{80B3A54B-34CB-4059-8A8B-32B7FDF9C629}"/>
    <cellStyle name="Style 85 3 3 5" xfId="7223" xr:uid="{2898ABB1-D316-4496-93DF-9CD081A1D0FB}"/>
    <cellStyle name="Style 85 3 3 5 2" xfId="15184" xr:uid="{D339FD32-6234-4358-9170-B1B1585B4465}"/>
    <cellStyle name="Style 85 3 3 5 2 2" xfId="15185" xr:uid="{28AD253D-91BA-4EFF-8CEA-E6777A2EE757}"/>
    <cellStyle name="Style 85 3 3 5 2 2 2" xfId="33870" xr:uid="{19409BB5-A2E4-44B5-986B-74213D243F68}"/>
    <cellStyle name="Style 85 3 3 5 2 3" xfId="33869" xr:uid="{6E210474-768B-44A3-91A0-54B6A32E1A05}"/>
    <cellStyle name="Style 85 3 3 5 3" xfId="15186" xr:uid="{AB62010C-803E-4DEE-B73C-CC7C93E8024C}"/>
    <cellStyle name="Style 85 3 3 5 3 2" xfId="33871" xr:uid="{DD6ECD13-5C93-4CF0-BD60-54A9D7331143}"/>
    <cellStyle name="Style 85 3 3 5 4" xfId="15187" xr:uid="{5A3C866C-E596-4A93-9215-D135CCAE5A61}"/>
    <cellStyle name="Style 85 3 3 5 4 2" xfId="33872" xr:uid="{4726BC7D-65A1-495D-B3B7-84CE3B522EA7}"/>
    <cellStyle name="Style 85 3 3 5 5" xfId="15188" xr:uid="{C85F7DA7-E55F-411E-8F46-9C60B6736357}"/>
    <cellStyle name="Style 85 3 3 5 5 2" xfId="33873" xr:uid="{038B796E-82BF-4D17-9052-551689DB82D7}"/>
    <cellStyle name="Style 85 3 3 6" xfId="7224" xr:uid="{CD0DF2D7-3295-4EBF-8969-0A0923DA1346}"/>
    <cellStyle name="Style 85 3 3 6 2" xfId="15189" xr:uid="{ED7E660B-A8F4-4085-8086-62464429A69A}"/>
    <cellStyle name="Style 85 3 3 6 2 2" xfId="33874" xr:uid="{43F7906E-C6E2-477D-AA65-5D25A92C4A1F}"/>
    <cellStyle name="Style 85 3 3 6 3" xfId="15190" xr:uid="{766E4C30-FBA2-4275-AE6B-FEFC5C495319}"/>
    <cellStyle name="Style 85 3 3 6 3 2" xfId="33875" xr:uid="{20CD4A0C-E779-4584-8747-62A6D99977D7}"/>
    <cellStyle name="Style 85 3 3 7" xfId="7209" xr:uid="{B50F08DE-B5C4-4031-848E-5F69C4271632}"/>
    <cellStyle name="Style 85 3 3 7 2" xfId="15191" xr:uid="{E22905A7-6772-40A9-896F-708D5668D33B}"/>
    <cellStyle name="Style 85 3 3 7 2 2" xfId="33876" xr:uid="{4BD78254-7DBD-42BD-985C-9BDE34B291C6}"/>
    <cellStyle name="Style 85 3 3 8" xfId="15192" xr:uid="{A9DFFDFF-BEB2-4EBC-BBB7-4276A1F39F81}"/>
    <cellStyle name="Style 85 3 3 8 2" xfId="15193" xr:uid="{E133ECB5-C111-4D50-BD7C-AF8BE0AD24EE}"/>
    <cellStyle name="Style 85 3 3 8 2 2" xfId="33877" xr:uid="{82E58F74-0C36-453B-9177-6B10CFE60DF3}"/>
    <cellStyle name="Style 85 3 3 8 3" xfId="28102" xr:uid="{C1C3F0F4-124F-4BD3-90FD-753ED8F24582}"/>
    <cellStyle name="Style 85 3 3 9" xfId="15194" xr:uid="{02777499-EB12-4344-8939-D85A99D24AB9}"/>
    <cellStyle name="Style 85 3 3 9 2" xfId="33878" xr:uid="{B3F2EDAE-9C18-492D-9BD7-AEC5DA9DF2B7}"/>
    <cellStyle name="Style 85 3 4" xfId="3561" xr:uid="{45E25BFE-750E-49CC-A37E-70FD9EE41E63}"/>
    <cellStyle name="Style 85 3 4 10" xfId="15195" xr:uid="{9368562A-23D7-49BB-A5FB-978E964FA9BE}"/>
    <cellStyle name="Style 85 3 4 10 2" xfId="33879" xr:uid="{548C8B89-0941-4B2D-93F8-B3C3CBF33ED2}"/>
    <cellStyle name="Style 85 3 4 11" xfId="15196" xr:uid="{E5FC989D-7946-40F6-ABC2-90117EA84ACC}"/>
    <cellStyle name="Style 85 3 4 11 2" xfId="33880" xr:uid="{54A22A39-5F63-4EFF-9524-D39ADBAA35E0}"/>
    <cellStyle name="Style 85 3 4 12" xfId="15197" xr:uid="{7EBB0E8A-DB77-4F57-9D85-81582D20F6AF}"/>
    <cellStyle name="Style 85 3 4 12 2" xfId="33881" xr:uid="{B8864359-5B13-49C2-B8DE-B896FB49BB9E}"/>
    <cellStyle name="Style 85 3 4 13" xfId="15198" xr:uid="{D72E2488-BDF2-4609-B44C-785AE808EA6E}"/>
    <cellStyle name="Style 85 3 4 13 2" xfId="33882" xr:uid="{AA500909-574D-4410-B431-C754A96A8573}"/>
    <cellStyle name="Style 85 3 4 14" xfId="24124" xr:uid="{39EB8203-DE6D-47CE-8BC3-A7A58B802733}"/>
    <cellStyle name="Style 85 3 4 2" xfId="7226" xr:uid="{699C88EB-0C4D-4571-AC0A-F11F78DEBEAE}"/>
    <cellStyle name="Style 85 3 4 2 2" xfId="7227" xr:uid="{F8E4D319-F6A8-4427-8750-CFC58161D1E0}"/>
    <cellStyle name="Style 85 3 4 2 2 2" xfId="15199" xr:uid="{025D9544-6B6F-459B-96D3-8E2A03D2C390}"/>
    <cellStyle name="Style 85 3 4 2 2 2 2" xfId="33883" xr:uid="{6FD43C6F-C8D6-4D71-A8D5-B126396DA4ED}"/>
    <cellStyle name="Style 85 3 4 2 3" xfId="15200" xr:uid="{7C6756F0-5FEE-4CE4-AEE5-0D579B800ADF}"/>
    <cellStyle name="Style 85 3 4 2 3 2" xfId="33884" xr:uid="{F96FC40C-9C23-4C82-90CF-57F45A8C9BE8}"/>
    <cellStyle name="Style 85 3 4 2 4" xfId="24125" xr:uid="{08B3145D-7E47-4474-8447-EED6EA4019B5}"/>
    <cellStyle name="Style 85 3 4 3" xfId="7228" xr:uid="{0B53396B-6F4D-4734-88ED-3006EDC27EAA}"/>
    <cellStyle name="Style 85 3 4 3 2" xfId="15201" xr:uid="{B2A0302E-B62B-41DA-9678-C0B9CF102450}"/>
    <cellStyle name="Style 85 3 4 3 2 2" xfId="33885" xr:uid="{F2C46EE9-9B47-4692-957C-4DBBA423D7C4}"/>
    <cellStyle name="Style 85 3 4 4" xfId="7229" xr:uid="{D2AE30C7-A861-47A5-8F47-56C84B01E1FC}"/>
    <cellStyle name="Style 85 3 4 4 2" xfId="15202" xr:uid="{2FF36F98-E8DB-4DF2-876C-F938AE887454}"/>
    <cellStyle name="Style 85 3 4 4 2 2" xfId="33886" xr:uid="{F4A80781-7317-42B1-ACAA-FFDFB81AEB3F}"/>
    <cellStyle name="Style 85 3 4 5" xfId="7225" xr:uid="{0D0D1025-4105-4C1C-AFC4-A63B821CDC28}"/>
    <cellStyle name="Style 85 3 4 5 2" xfId="15203" xr:uid="{6C78455B-818A-4DE5-A6D5-434E820BA8E7}"/>
    <cellStyle name="Style 85 3 4 5 2 2" xfId="33887" xr:uid="{A3EFA366-C6EE-4145-B331-A13F834F8B3D}"/>
    <cellStyle name="Style 85 3 4 6" xfId="15204" xr:uid="{A2C31E77-58F8-4B28-8A2D-C9D433EE6166}"/>
    <cellStyle name="Style 85 3 4 6 2" xfId="15205" xr:uid="{A7AAF4A5-7F6C-46D7-ADA3-BB5CDFEC3E89}"/>
    <cellStyle name="Style 85 3 4 6 2 2" xfId="33888" xr:uid="{C7D2460A-F835-43C6-90F3-EF5429867FD5}"/>
    <cellStyle name="Style 85 3 4 6 3" xfId="28108" xr:uid="{572C8165-CFFD-4F0D-8407-9CE5D5188773}"/>
    <cellStyle name="Style 85 3 4 7" xfId="15206" xr:uid="{3162E1E1-A79D-4862-B873-281BC05F615F}"/>
    <cellStyle name="Style 85 3 4 7 2" xfId="33889" xr:uid="{07DA9A27-12C9-446D-9698-31EBFFF463C3}"/>
    <cellStyle name="Style 85 3 4 8" xfId="15207" xr:uid="{B37BFB8A-AD51-4913-BEAC-BF5E8E86F919}"/>
    <cellStyle name="Style 85 3 4 8 2" xfId="33890" xr:uid="{60866FB8-387A-4159-84E9-171B68B2D24F}"/>
    <cellStyle name="Style 85 3 4 9" xfId="15208" xr:uid="{CA0C1EE9-15C6-4B76-98C3-6A7D66922980}"/>
    <cellStyle name="Style 85 3 4 9 2" xfId="33891" xr:uid="{BCDEE272-36C6-4554-A1D1-596673BC10F4}"/>
    <cellStyle name="Style 85 3 5" xfId="7230" xr:uid="{432F071D-1874-42D5-87B1-AC713242399C}"/>
    <cellStyle name="Style 85 3 5 2" xfId="7231" xr:uid="{828F6EE4-996E-4F6F-A633-AFCF9CD07761}"/>
    <cellStyle name="Style 85 3 5 2 2" xfId="15209" xr:uid="{E68DE4CE-ABEA-467B-9863-64EECA1ADDC8}"/>
    <cellStyle name="Style 85 3 5 2 2 2" xfId="33892" xr:uid="{EA565C44-9E90-4987-A7B3-D7A65263040B}"/>
    <cellStyle name="Style 85 3 5 3" xfId="15210" xr:uid="{361BCD0E-13FC-46E7-9D67-F1B86F9C89A9}"/>
    <cellStyle name="Style 85 3 5 4" xfId="15211" xr:uid="{A94DFEDA-076A-4036-8EF2-9A2EDC77AF16}"/>
    <cellStyle name="Style 85 3 5 4 2" xfId="33893" xr:uid="{4BF04EDE-0CC3-4C61-9CB6-BFF9DE48DEC4}"/>
    <cellStyle name="Style 85 3 5 5" xfId="24126" xr:uid="{F3CDDD0A-FF4F-4689-BE67-8AFEB0D1F684}"/>
    <cellStyle name="Style 85 3 6" xfId="7232" xr:uid="{1928D495-F330-4C5D-9B17-6F17FD89E189}"/>
    <cellStyle name="Style 85 3 6 2" xfId="15212" xr:uid="{0EBC18C5-039B-41C2-8670-F74117BC52B5}"/>
    <cellStyle name="Style 85 3 6 2 2" xfId="33894" xr:uid="{B1596876-D861-4B3A-972E-921DF9CADFED}"/>
    <cellStyle name="Style 85 3 7" xfId="7204" xr:uid="{DC513694-0F34-4DFC-91FD-015D28C33CEB}"/>
    <cellStyle name="Style 85 3 7 2" xfId="15213" xr:uid="{A800484D-7C5B-4AA5-A4B7-CE059EC0E351}"/>
    <cellStyle name="Style 85 3 7 2 2" xfId="33895" xr:uid="{A8ABB67C-A1F8-41BF-93A6-33C8BA5488A9}"/>
    <cellStyle name="Style 85 3 8" xfId="4446" xr:uid="{E1DEB0C8-5C2A-41CC-A4D4-BE7AE36F9326}"/>
    <cellStyle name="Style 85 3 8 2" xfId="15214" xr:uid="{A7CC8ECA-6A81-4E7F-BFB4-45CA7ADC79C1}"/>
    <cellStyle name="Style 85 3 8 2 2" xfId="33896" xr:uid="{B8341E42-FA47-4F82-8CA5-3FED29F3BAB3}"/>
    <cellStyle name="Style 85 3 8 3" xfId="26712" xr:uid="{07F3B79D-FC74-4FD9-8FF6-F34A9D66097B}"/>
    <cellStyle name="Style 85 3 9" xfId="15215" xr:uid="{C811CBA6-9408-4A1A-BB44-602C2F81E72D}"/>
    <cellStyle name="Style 85 3 9 2" xfId="33897" xr:uid="{F6167C00-3B0D-4ED2-9C96-523A7A1D39A9}"/>
    <cellStyle name="Style 85 4" xfId="3562" xr:uid="{B7CF21F4-152D-4969-81BB-7EAA446F31FD}"/>
    <cellStyle name="Style 85 4 10" xfId="15216" xr:uid="{A54EBFC9-DBD8-47A5-9254-03C5AE5A2AA7}"/>
    <cellStyle name="Style 85 4 10 2" xfId="33898" xr:uid="{FA6CDAF6-87DD-4534-BA02-01D047B6DDFD}"/>
    <cellStyle name="Style 85 4 11" xfId="15217" xr:uid="{B5BA5E23-3BE5-471E-9F75-1F0EEFFCB20D}"/>
    <cellStyle name="Style 85 4 11 2" xfId="33899" xr:uid="{A01280B6-CEC5-4D92-B941-CFC713BA5F68}"/>
    <cellStyle name="Style 85 4 12" xfId="15218" xr:uid="{87BA4632-F6AE-4237-8FAD-CFC28CCDC786}"/>
    <cellStyle name="Style 85 4 12 2" xfId="33900" xr:uid="{2F6F369E-EB7C-4FF8-9910-034CE05296BD}"/>
    <cellStyle name="Style 85 4 13" xfId="15219" xr:uid="{5FDE3CF3-2E72-4833-A97C-0B0E254F1476}"/>
    <cellStyle name="Style 85 4 13 2" xfId="33901" xr:uid="{ACA194B8-F6F1-4447-A506-363C4981CB97}"/>
    <cellStyle name="Style 85 4 14" xfId="15220" xr:uid="{C7F6147A-BAB4-468A-87AE-21F48A128041}"/>
    <cellStyle name="Style 85 4 14 2" xfId="33902" xr:uid="{D07535ED-26C0-419C-BD6E-24CABCBCFF3E}"/>
    <cellStyle name="Style 85 4 15" xfId="15221" xr:uid="{5BBD5617-DB2D-4338-B8A2-F0A9319D7AB2}"/>
    <cellStyle name="Style 85 4 15 2" xfId="33903" xr:uid="{00B166F5-F33F-4E71-B547-4CF6AE99696D}"/>
    <cellStyle name="Style 85 4 16" xfId="15222" xr:uid="{CD3EAA78-C07B-48D7-8B97-29AFFA5B1107}"/>
    <cellStyle name="Style 85 4 16 2" xfId="33904" xr:uid="{BA9CDC66-43AE-45BF-A816-BC15BA64C919}"/>
    <cellStyle name="Style 85 4 17" xfId="24127" xr:uid="{11E152E7-FE07-4843-A593-F883D8E69E95}"/>
    <cellStyle name="Style 85 4 2" xfId="3563" xr:uid="{66A0A322-3AF6-4193-92B4-C38F37F5DFF5}"/>
    <cellStyle name="Style 85 4 2 10" xfId="15223" xr:uid="{BBE3219C-71EF-43FA-8A54-DAD688D8B07D}"/>
    <cellStyle name="Style 85 4 2 10 2" xfId="33905" xr:uid="{5A47C5FE-8F52-401A-8A5D-EDD179F8082B}"/>
    <cellStyle name="Style 85 4 2 11" xfId="15224" xr:uid="{923C675E-0E77-4A7B-8541-36E430725175}"/>
    <cellStyle name="Style 85 4 2 11 2" xfId="33906" xr:uid="{B1B905C2-23FD-4A26-9473-7614562648E8}"/>
    <cellStyle name="Style 85 4 2 12" xfId="15225" xr:uid="{22A4CC7B-2E7E-4230-911E-A5EDD0EBC31F}"/>
    <cellStyle name="Style 85 4 2 12 2" xfId="33907" xr:uid="{9A5F1BEF-B373-4BAB-9DD6-D6C36A6C9C6F}"/>
    <cellStyle name="Style 85 4 2 13" xfId="15226" xr:uid="{5B226993-A9ED-4D3D-A0DA-9972CFA82F2E}"/>
    <cellStyle name="Style 85 4 2 13 2" xfId="33908" xr:uid="{258FFA97-3A79-4C72-B283-E676A427CED3}"/>
    <cellStyle name="Style 85 4 2 14" xfId="15227" xr:uid="{A2A955CF-5D20-4297-B117-23CDEEBF18B5}"/>
    <cellStyle name="Style 85 4 2 14 2" xfId="33909" xr:uid="{B5B2F3D3-D11F-4C0C-B6F2-6F82E5F508CA}"/>
    <cellStyle name="Style 85 4 2 15" xfId="15228" xr:uid="{E89667DA-2D24-4372-9992-8E778B0DBC2C}"/>
    <cellStyle name="Style 85 4 2 15 2" xfId="33910" xr:uid="{178FC00A-8E61-4518-86E7-4319788A5DE7}"/>
    <cellStyle name="Style 85 4 2 16" xfId="15229" xr:uid="{BAF6E9FF-9CCE-49B5-BFAC-A7103D2DDF1E}"/>
    <cellStyle name="Style 85 4 2 16 2" xfId="33911" xr:uid="{223699A4-6E4D-4AD1-8570-C52521A035C8}"/>
    <cellStyle name="Style 85 4 2 17" xfId="15230" xr:uid="{93BF7808-BC31-4458-896B-68574E62ECE4}"/>
    <cellStyle name="Style 85 4 2 17 2" xfId="33912" xr:uid="{A73C2707-C7F7-4133-9440-B8307B679A13}"/>
    <cellStyle name="Style 85 4 2 18" xfId="24128" xr:uid="{7319E9EB-DDCC-475F-AFE7-80B03FB43834}"/>
    <cellStyle name="Style 85 4 2 2" xfId="3564" xr:uid="{4BEF3A74-A709-4539-945B-785D1735595B}"/>
    <cellStyle name="Style 85 4 2 2 10" xfId="15231" xr:uid="{DD6E584F-B70D-4925-9665-EA7D6BC10EF8}"/>
    <cellStyle name="Style 85 4 2 2 10 2" xfId="33913" xr:uid="{CE1D245C-FE57-424C-B710-93DC3A919B99}"/>
    <cellStyle name="Style 85 4 2 2 11" xfId="15232" xr:uid="{9A67D11C-34CC-4575-AB6F-0DEDA109D04A}"/>
    <cellStyle name="Style 85 4 2 2 11 2" xfId="33914" xr:uid="{CD16E65D-80A8-45C2-BAA4-D0EA2E5CA672}"/>
    <cellStyle name="Style 85 4 2 2 12" xfId="15233" xr:uid="{91F85AD8-5C14-458F-B1A6-551EA34B8127}"/>
    <cellStyle name="Style 85 4 2 2 12 2" xfId="33915" xr:uid="{53DC7AFA-0285-41E8-A518-C61D589B4EC1}"/>
    <cellStyle name="Style 85 4 2 2 13" xfId="15234" xr:uid="{7F3BB372-A02B-47CE-B959-620B02FBC9DC}"/>
    <cellStyle name="Style 85 4 2 2 13 2" xfId="33916" xr:uid="{CA7D38A9-7ED8-498C-82D1-47E32782B947}"/>
    <cellStyle name="Style 85 4 2 2 14" xfId="24129" xr:uid="{62F2B7F9-3299-4C5E-8EBF-137D04E5307D}"/>
    <cellStyle name="Style 85 4 2 2 2" xfId="7236" xr:uid="{69933A81-EDA6-4B39-829F-4E5B951055E7}"/>
    <cellStyle name="Style 85 4 2 2 2 2" xfId="15235" xr:uid="{15B66260-5FD7-4632-877D-661EEC37CED3}"/>
    <cellStyle name="Style 85 4 2 2 2 2 2" xfId="33917" xr:uid="{FA3B93E4-D142-40ED-A278-05A017A22E42}"/>
    <cellStyle name="Style 85 4 2 2 2 3" xfId="15236" xr:uid="{F360E37C-6EDC-4F4F-BADB-8CCD4EF43453}"/>
    <cellStyle name="Style 85 4 2 2 2 3 2" xfId="33918" xr:uid="{EBD6FC75-40F2-4BA8-849E-0052CC7918F5}"/>
    <cellStyle name="Style 85 4 2 2 3" xfId="7235" xr:uid="{891BA75B-FE43-4FD4-A183-29CECB237317}"/>
    <cellStyle name="Style 85 4 2 2 3 2" xfId="15237" xr:uid="{B9905631-079D-425A-AFF2-52919473AB58}"/>
    <cellStyle name="Style 85 4 2 2 3 2 2" xfId="33919" xr:uid="{79C9BDD3-B060-4D3B-A308-A2CF31DAF787}"/>
    <cellStyle name="Style 85 4 2 2 4" xfId="15238" xr:uid="{8BAAB681-2ADE-4AA7-ADCA-0CEE8A28A2FB}"/>
    <cellStyle name="Style 85 4 2 2 4 2" xfId="15239" xr:uid="{632EBB1D-F260-494D-A034-25CB95DD3489}"/>
    <cellStyle name="Style 85 4 2 2 4 2 2" xfId="33920" xr:uid="{F0C7287E-1041-4C9F-834F-E7C8A588845E}"/>
    <cellStyle name="Style 85 4 2 2 4 3" xfId="28111" xr:uid="{EF7AA306-CA77-4DE9-804F-66A8E4C22F0C}"/>
    <cellStyle name="Style 85 4 2 2 5" xfId="15240" xr:uid="{7D82AD4C-01C8-4BCD-9BE1-9B711D25C795}"/>
    <cellStyle name="Style 85 4 2 2 5 2" xfId="33921" xr:uid="{61771678-2789-4318-8477-161EECFE7627}"/>
    <cellStyle name="Style 85 4 2 2 6" xfId="15241" xr:uid="{ED5BD39D-0EC0-4A28-BC7F-150CF925D44E}"/>
    <cellStyle name="Style 85 4 2 2 6 2" xfId="33922" xr:uid="{D47EFD6E-A233-480B-9A86-FA37B662DACB}"/>
    <cellStyle name="Style 85 4 2 2 7" xfId="15242" xr:uid="{FDBD1DF9-44F5-4538-B034-261714577C0A}"/>
    <cellStyle name="Style 85 4 2 2 7 2" xfId="33923" xr:uid="{CC31E3E3-91E9-4D12-85BF-09D604AD1244}"/>
    <cellStyle name="Style 85 4 2 2 8" xfId="15243" xr:uid="{E62C6CEC-2D44-4CD7-AAE9-AD1A73476570}"/>
    <cellStyle name="Style 85 4 2 2 8 2" xfId="33924" xr:uid="{0A873613-E210-45C0-A5E0-D79FC1063160}"/>
    <cellStyle name="Style 85 4 2 2 9" xfId="15244" xr:uid="{C84ECE4C-EC7A-48E3-A6CB-E7CDC6131611}"/>
    <cellStyle name="Style 85 4 2 2 9 2" xfId="33925" xr:uid="{3BDCFBA2-5AD4-48D9-81CD-8A58F5ACB636}"/>
    <cellStyle name="Style 85 4 2 3" xfId="3565" xr:uid="{930C27CC-F457-470D-AABA-64008DA4CAF3}"/>
    <cellStyle name="Style 85 4 2 3 10" xfId="15245" xr:uid="{EF531399-4E4A-438A-BE42-989500BFEFE0}"/>
    <cellStyle name="Style 85 4 2 3 10 2" xfId="33926" xr:uid="{2D98B4F4-CA29-45A9-B897-EE3899FB4F85}"/>
    <cellStyle name="Style 85 4 2 3 11" xfId="15246" xr:uid="{D5BBD4BC-0FE9-400D-8C9F-F977B02D613F}"/>
    <cellStyle name="Style 85 4 2 3 11 2" xfId="33927" xr:uid="{BB4CE4D4-4D67-4A59-B4AF-6CFAF125F1AF}"/>
    <cellStyle name="Style 85 4 2 3 12" xfId="15247" xr:uid="{F968D6DE-F0A0-4080-B0B0-3C9457C319AB}"/>
    <cellStyle name="Style 85 4 2 3 12 2" xfId="33928" xr:uid="{C4CDC207-88E3-4B14-A1FA-D07E77278E80}"/>
    <cellStyle name="Style 85 4 2 3 13" xfId="15248" xr:uid="{DC14CE56-39B2-4BF2-A024-427E5F748496}"/>
    <cellStyle name="Style 85 4 2 3 13 2" xfId="33929" xr:uid="{FFFBE4F5-73B8-4305-AB53-0F6AB2FCB43D}"/>
    <cellStyle name="Style 85 4 2 3 14" xfId="15249" xr:uid="{2CD5723B-9383-45CC-B860-4102C0D6D875}"/>
    <cellStyle name="Style 85 4 2 3 14 2" xfId="33930" xr:uid="{87DE4095-D3E9-407B-BE69-465A02D15A82}"/>
    <cellStyle name="Style 85 4 2 3 15" xfId="15250" xr:uid="{41EA88DB-1D99-4AB2-88B0-0E7C7EDDE7AC}"/>
    <cellStyle name="Style 85 4 2 3 15 2" xfId="33931" xr:uid="{F87842D6-772B-4861-9057-5826CD45B229}"/>
    <cellStyle name="Style 85 4 2 3 16" xfId="24130" xr:uid="{84B22918-8746-4277-AB50-AFFBE99BBD32}"/>
    <cellStyle name="Style 85 4 2 3 2" xfId="3566" xr:uid="{66FCD518-B1DC-4BA0-B5A1-3BA79F5E088E}"/>
    <cellStyle name="Style 85 4 2 3 2 10" xfId="15251" xr:uid="{2E145A16-AA92-4D4F-A5D4-01900A1AEC21}"/>
    <cellStyle name="Style 85 4 2 3 2 10 2" xfId="33932" xr:uid="{885E1063-148F-4237-8634-3AB95518E2DF}"/>
    <cellStyle name="Style 85 4 2 3 2 11" xfId="15252" xr:uid="{55ED7FDA-5DF4-4D45-84A2-8721F922493E}"/>
    <cellStyle name="Style 85 4 2 3 2 11 2" xfId="33933" xr:uid="{404F9FD2-EC01-4B31-B0BF-832C422D1492}"/>
    <cellStyle name="Style 85 4 2 3 2 12" xfId="15253" xr:uid="{10FF8096-82C8-4375-883D-F65064991E78}"/>
    <cellStyle name="Style 85 4 2 3 2 12 2" xfId="33934" xr:uid="{71443286-321A-4F62-8A38-0991F7496783}"/>
    <cellStyle name="Style 85 4 2 3 2 13" xfId="15254" xr:uid="{C204912D-BE28-4018-B63F-862249E22F26}"/>
    <cellStyle name="Style 85 4 2 3 2 13 2" xfId="33935" xr:uid="{C50BEB11-F4E0-4CA0-9748-15E0B1BB5182}"/>
    <cellStyle name="Style 85 4 2 3 2 14" xfId="24131" xr:uid="{A07F22E2-FDAA-4913-89F8-135C2056F113}"/>
    <cellStyle name="Style 85 4 2 3 2 2" xfId="7239" xr:uid="{45B69C3B-8F23-4756-9168-AAAE9C19CEA7}"/>
    <cellStyle name="Style 85 4 2 3 2 2 2" xfId="15255" xr:uid="{59E7E770-BF93-4C8C-AD50-1C4AAFE6C639}"/>
    <cellStyle name="Style 85 4 2 3 2 2 2 2" xfId="33936" xr:uid="{8E6BD421-7B23-4C05-B807-C409DA138A5B}"/>
    <cellStyle name="Style 85 4 2 3 2 2 3" xfId="15256" xr:uid="{699F81DE-2B97-496B-AC67-85292195D61E}"/>
    <cellStyle name="Style 85 4 2 3 2 2 3 2" xfId="33937" xr:uid="{CB047BE3-7392-4AB5-8B46-656C5D97327B}"/>
    <cellStyle name="Style 85 4 2 3 2 3" xfId="7238" xr:uid="{93CBAD9E-752D-465E-91A1-74909ECEFBDA}"/>
    <cellStyle name="Style 85 4 2 3 2 3 2" xfId="15257" xr:uid="{E4E53433-34DF-45C3-968A-471E8F8DD6B1}"/>
    <cellStyle name="Style 85 4 2 3 2 3 2 2" xfId="33938" xr:uid="{95FBAD89-0940-498C-BEB6-67C6F96600BC}"/>
    <cellStyle name="Style 85 4 2 3 2 4" xfId="15258" xr:uid="{AF069C09-56A2-4DFB-BCCB-F537A42770F2}"/>
    <cellStyle name="Style 85 4 2 3 2 4 2" xfId="15259" xr:uid="{EBA455E3-20AF-41DD-B9B4-26AFE8C6A38D}"/>
    <cellStyle name="Style 85 4 2 3 2 4 2 2" xfId="33939" xr:uid="{66A79B73-39EE-4F01-A96F-3EE2DD02122D}"/>
    <cellStyle name="Style 85 4 2 3 2 4 3" xfId="28113" xr:uid="{5A33436F-6AC7-4CC3-BA9D-80FB1841B42A}"/>
    <cellStyle name="Style 85 4 2 3 2 5" xfId="15260" xr:uid="{C163F4AE-E785-44C4-B2DE-A0B9CBE18092}"/>
    <cellStyle name="Style 85 4 2 3 2 5 2" xfId="33940" xr:uid="{4AD845BF-A038-4147-99F1-3C35DA77F017}"/>
    <cellStyle name="Style 85 4 2 3 2 6" xfId="15261" xr:uid="{93DA325E-2B53-4F2A-982D-A720B71E0D47}"/>
    <cellStyle name="Style 85 4 2 3 2 6 2" xfId="33941" xr:uid="{B7CE3EE5-98B6-47EF-8844-629C4CE92704}"/>
    <cellStyle name="Style 85 4 2 3 2 7" xfId="15262" xr:uid="{C288B1FE-F8BF-4E95-833F-98869CA262A2}"/>
    <cellStyle name="Style 85 4 2 3 2 7 2" xfId="33942" xr:uid="{935B54EF-92D2-4531-8DB8-ED921885E419}"/>
    <cellStyle name="Style 85 4 2 3 2 8" xfId="15263" xr:uid="{4E10DF79-4388-4945-B4C2-D6CF2DF31798}"/>
    <cellStyle name="Style 85 4 2 3 2 8 2" xfId="33943" xr:uid="{8A6462E9-A638-4CE5-8395-84C385ADF8A7}"/>
    <cellStyle name="Style 85 4 2 3 2 9" xfId="15264" xr:uid="{8DF9526F-F21A-48B3-9C75-2BDC33491AFA}"/>
    <cellStyle name="Style 85 4 2 3 2 9 2" xfId="33944" xr:uid="{67684A2A-0E93-44FB-BB80-CB72B70DAFD0}"/>
    <cellStyle name="Style 85 4 2 3 3" xfId="7240" xr:uid="{1DA29134-0820-4DFA-B5E6-722D2CD273AC}"/>
    <cellStyle name="Style 85 4 2 3 3 2" xfId="7241" xr:uid="{BAED60F2-E63D-4145-8BAE-48C2C9006E96}"/>
    <cellStyle name="Style 85 4 2 3 3 2 2" xfId="15265" xr:uid="{30D61EBF-C059-4FD4-A805-42D4297DF9A5}"/>
    <cellStyle name="Style 85 4 2 3 3 2 2 2" xfId="33945" xr:uid="{16BA2C7A-B871-4EB6-90B8-CA2DABB7B180}"/>
    <cellStyle name="Style 85 4 2 3 3 2 3" xfId="15266" xr:uid="{1CDEEC8E-A51E-4DAF-B78B-C577FAA565E1}"/>
    <cellStyle name="Style 85 4 2 3 3 2 3 2" xfId="33946" xr:uid="{4BF17051-B341-4F34-A153-45EB4046CCEE}"/>
    <cellStyle name="Style 85 4 2 3 3 3" xfId="15267" xr:uid="{FBD56B22-AAB7-439D-B6AF-774DDAAA390A}"/>
    <cellStyle name="Style 85 4 2 3 3 3 2" xfId="33947" xr:uid="{038D2852-6EFC-4548-A23E-151CBC8D4AD5}"/>
    <cellStyle name="Style 85 4 2 3 3 4" xfId="15268" xr:uid="{3E620638-A0BF-4070-906E-2CB18EB4D906}"/>
    <cellStyle name="Style 85 4 2 3 3 4 2" xfId="33948" xr:uid="{D5875C1C-0730-4B79-B0AC-1E183A1BE592}"/>
    <cellStyle name="Style 85 4 2 3 3 5" xfId="15269" xr:uid="{BA71C5BF-4363-411F-961F-7352CB6E08CC}"/>
    <cellStyle name="Style 85 4 2 3 3 5 2" xfId="33949" xr:uid="{CF0D9277-610C-412B-AFB0-BE805F3656C1}"/>
    <cellStyle name="Style 85 4 2 3 3 6" xfId="24132" xr:uid="{D77A7E3E-24C8-4ACD-BDEB-EC3CCE324643}"/>
    <cellStyle name="Style 85 4 2 3 4" xfId="7242" xr:uid="{7CF6B792-B31F-4A9D-A2D0-7F90F36474E8}"/>
    <cellStyle name="Style 85 4 2 3 4 2" xfId="15270" xr:uid="{FD741695-F3D5-431B-B2E2-330F1CD3C690}"/>
    <cellStyle name="Style 85 4 2 3 4 2 2" xfId="33950" xr:uid="{8B70ED17-6F0D-4C54-966F-DEE40A45EB27}"/>
    <cellStyle name="Style 85 4 2 3 4 3" xfId="15271" xr:uid="{CA291B54-2DF9-4F22-B36B-9739A0DE02BF}"/>
    <cellStyle name="Style 85 4 2 3 4 3 2" xfId="33951" xr:uid="{793EFE17-4E55-4F4F-B057-5A4CBE0D5FB7}"/>
    <cellStyle name="Style 85 4 2 3 5" xfId="7243" xr:uid="{00340C79-E2B2-4752-A5D9-1C34E0C22F62}"/>
    <cellStyle name="Style 85 4 2 3 5 2" xfId="15272" xr:uid="{7A12B399-FB32-43C0-839F-2AB3B282C9E3}"/>
    <cellStyle name="Style 85 4 2 3 5 2 2" xfId="33952" xr:uid="{C8C021C5-09D8-4EE0-B9D1-DBC0615B14E9}"/>
    <cellStyle name="Style 85 4 2 3 6" xfId="7237" xr:uid="{11466030-BA72-4460-A10B-BAAD3BC56901}"/>
    <cellStyle name="Style 85 4 2 3 6 2" xfId="15273" xr:uid="{10C7A818-ACE7-49B1-9EE6-22E6C256AE03}"/>
    <cellStyle name="Style 85 4 2 3 6 2 2" xfId="33953" xr:uid="{8E63DE0D-FF59-40E2-B003-88D586EEFC7F}"/>
    <cellStyle name="Style 85 4 2 3 7" xfId="15274" xr:uid="{E154A4F8-969D-4C88-A700-1DFA876C63AF}"/>
    <cellStyle name="Style 85 4 2 3 7 2" xfId="15275" xr:uid="{20F346E0-1F4E-4516-BA8E-11A9ED4F649C}"/>
    <cellStyle name="Style 85 4 2 3 7 2 2" xfId="33954" xr:uid="{23BE343C-FD65-4165-A591-F7C49E1AE624}"/>
    <cellStyle name="Style 85 4 2 3 7 3" xfId="28112" xr:uid="{2333A9A6-EE9E-4D72-B3F2-956A7EC7B74A}"/>
    <cellStyle name="Style 85 4 2 3 8" xfId="15276" xr:uid="{0D0CF307-AB67-488D-A660-EADA2D890AD4}"/>
    <cellStyle name="Style 85 4 2 3 8 2" xfId="33955" xr:uid="{D689A1B6-06BB-484B-9845-CF9899E9898F}"/>
    <cellStyle name="Style 85 4 2 3 9" xfId="15277" xr:uid="{3ABDCA1F-D14C-4AB7-BCA8-5296487F9C99}"/>
    <cellStyle name="Style 85 4 2 3 9 2" xfId="33956" xr:uid="{F37E12C2-351D-4AF3-A3D6-C22CB6400B99}"/>
    <cellStyle name="Style 85 4 2 4" xfId="3567" xr:uid="{C594DF76-43AC-41D4-9BE5-C1F04BA0EFCD}"/>
    <cellStyle name="Style 85 4 2 4 10" xfId="15278" xr:uid="{4E9EA356-7311-4B47-B566-F1FF0011EF1B}"/>
    <cellStyle name="Style 85 4 2 4 10 2" xfId="33957" xr:uid="{D91F3B4F-A36E-4E06-88FF-DF536AE3D447}"/>
    <cellStyle name="Style 85 4 2 4 11" xfId="15279" xr:uid="{A446BA27-3CB5-42EE-8164-AC836D0E1457}"/>
    <cellStyle name="Style 85 4 2 4 11 2" xfId="33958" xr:uid="{EA211783-2535-4FE3-BBE6-F0DCF2B0BAAD}"/>
    <cellStyle name="Style 85 4 2 4 12" xfId="15280" xr:uid="{3AF20E85-EBAE-48C9-A524-46766047FA4E}"/>
    <cellStyle name="Style 85 4 2 4 12 2" xfId="33959" xr:uid="{9C213732-6F6D-4FE1-8D57-4EA5C9E3B22E}"/>
    <cellStyle name="Style 85 4 2 4 13" xfId="15281" xr:uid="{A121A7A2-C6C2-4611-9000-3F6EBE1F06AC}"/>
    <cellStyle name="Style 85 4 2 4 13 2" xfId="33960" xr:uid="{75680C34-7152-4BF8-BCC4-0A5172BBF1BB}"/>
    <cellStyle name="Style 85 4 2 4 14" xfId="15282" xr:uid="{8C38D07F-71ED-4C43-A933-7A389C23AAEC}"/>
    <cellStyle name="Style 85 4 2 4 14 2" xfId="33961" xr:uid="{A9223D35-99DC-491C-B80B-6F7BF5226C16}"/>
    <cellStyle name="Style 85 4 2 4 15" xfId="24133" xr:uid="{E393921A-5A57-446B-8210-397EDEF7C8E9}"/>
    <cellStyle name="Style 85 4 2 4 2" xfId="3568" xr:uid="{0C1609DF-1DC7-470C-BFE9-1B52C9762CDD}"/>
    <cellStyle name="Style 85 4 2 4 2 10" xfId="15283" xr:uid="{AB5524C6-7A9B-4743-94E9-E71278E0128D}"/>
    <cellStyle name="Style 85 4 2 4 2 10 2" xfId="33962" xr:uid="{BCE9DFB3-EE48-4EE9-B49C-CD52DB23CB71}"/>
    <cellStyle name="Style 85 4 2 4 2 11" xfId="15284" xr:uid="{6FBB545C-CD90-4B42-BDD6-024D83919888}"/>
    <cellStyle name="Style 85 4 2 4 2 11 2" xfId="33963" xr:uid="{9A307EED-1DCA-4C8B-AAAC-8083C3DCE658}"/>
    <cellStyle name="Style 85 4 2 4 2 12" xfId="15285" xr:uid="{743DEA85-FDC1-4A43-B756-5AC4ECCFC08D}"/>
    <cellStyle name="Style 85 4 2 4 2 12 2" xfId="33964" xr:uid="{AEA780EA-C735-42B2-A4DF-BA7963E6816A}"/>
    <cellStyle name="Style 85 4 2 4 2 13" xfId="15286" xr:uid="{D81D4C98-B3E1-4FF8-9E3A-DC14AB132F13}"/>
    <cellStyle name="Style 85 4 2 4 2 13 2" xfId="33965" xr:uid="{00D65DB9-BF84-46AD-A775-832A1543C852}"/>
    <cellStyle name="Style 85 4 2 4 2 14" xfId="24134" xr:uid="{7C65FB3B-06AC-49AC-9D54-D7E1E42F5C32}"/>
    <cellStyle name="Style 85 4 2 4 2 2" xfId="7246" xr:uid="{71E911B5-8852-41AE-86A9-03CA9399A080}"/>
    <cellStyle name="Style 85 4 2 4 2 2 2" xfId="15287" xr:uid="{C366AFBF-2FE4-4329-99C7-59A1ED057A62}"/>
    <cellStyle name="Style 85 4 2 4 2 2 2 2" xfId="33966" xr:uid="{53E141D1-545E-42C5-BEA4-ADBFDDBE2A40}"/>
    <cellStyle name="Style 85 4 2 4 2 2 3" xfId="15288" xr:uid="{EF36362B-1930-495B-BCAC-3B808F2B152A}"/>
    <cellStyle name="Style 85 4 2 4 2 2 3 2" xfId="33967" xr:uid="{A99D1C72-B348-496D-BA37-E142B17925A8}"/>
    <cellStyle name="Style 85 4 2 4 2 3" xfId="7245" xr:uid="{80D1E690-F060-4CFD-BD5F-E32B494E19D4}"/>
    <cellStyle name="Style 85 4 2 4 2 3 2" xfId="15289" xr:uid="{CE63AD63-67A2-4483-B6C9-9385AE7B3519}"/>
    <cellStyle name="Style 85 4 2 4 2 3 2 2" xfId="33968" xr:uid="{93AAFDD0-B9B6-4B3F-9D8E-4014D3E88CDA}"/>
    <cellStyle name="Style 85 4 2 4 2 4" xfId="15290" xr:uid="{EC333386-A0C6-458F-86E5-982DEB43ADEC}"/>
    <cellStyle name="Style 85 4 2 4 2 4 2" xfId="15291" xr:uid="{B89D3BF1-D183-44AF-8E77-8C18C1344948}"/>
    <cellStyle name="Style 85 4 2 4 2 4 2 2" xfId="33969" xr:uid="{0816CFB9-04DA-490A-96B7-18C22871FD52}"/>
    <cellStyle name="Style 85 4 2 4 2 4 3" xfId="28115" xr:uid="{0195450C-86FF-4EF0-98F4-3F463E6B0C32}"/>
    <cellStyle name="Style 85 4 2 4 2 5" xfId="15292" xr:uid="{771DB3C5-1CA4-4E50-B918-E0C23130F719}"/>
    <cellStyle name="Style 85 4 2 4 2 5 2" xfId="33970" xr:uid="{2573B91E-1B46-4DFA-907A-22CBB38516FB}"/>
    <cellStyle name="Style 85 4 2 4 2 6" xfId="15293" xr:uid="{51168653-980D-4632-A233-0252C408FC27}"/>
    <cellStyle name="Style 85 4 2 4 2 6 2" xfId="33971" xr:uid="{1DAC47CC-C4F2-4B14-832A-B56F9E726B14}"/>
    <cellStyle name="Style 85 4 2 4 2 7" xfId="15294" xr:uid="{86DC113B-4B74-424F-8549-0671AC43A22B}"/>
    <cellStyle name="Style 85 4 2 4 2 7 2" xfId="33972" xr:uid="{B72A7C5E-F212-434E-9AEE-13B13B77D7A7}"/>
    <cellStyle name="Style 85 4 2 4 2 8" xfId="15295" xr:uid="{0ED1AA39-B38E-459C-8B28-A4C45CE9D9CE}"/>
    <cellStyle name="Style 85 4 2 4 2 8 2" xfId="33973" xr:uid="{089FF068-E8E9-4F7F-A265-A5C2DFCE47B4}"/>
    <cellStyle name="Style 85 4 2 4 2 9" xfId="15296" xr:uid="{54F326C3-4F26-41DB-B346-8B9CDBEA4ED1}"/>
    <cellStyle name="Style 85 4 2 4 2 9 2" xfId="33974" xr:uid="{20933D4A-C612-448A-9B87-00DF27A50701}"/>
    <cellStyle name="Style 85 4 2 4 3" xfId="7247" xr:uid="{5099D79B-2229-4E01-9728-8496CA983E33}"/>
    <cellStyle name="Style 85 4 2 4 3 2" xfId="15297" xr:uid="{805A1F72-11C4-40C2-ACED-861C2CFF40E8}"/>
    <cellStyle name="Style 85 4 2 4 3 2 2" xfId="33975" xr:uid="{38FFC0B4-45C8-4FE5-AFC2-D0497DE6661C}"/>
    <cellStyle name="Style 85 4 2 4 3 3" xfId="15298" xr:uid="{69E6F073-C536-4D1A-81D8-580671A002FF}"/>
    <cellStyle name="Style 85 4 2 4 3 3 2" xfId="33976" xr:uid="{D99245A2-029C-45E9-8F98-0EB3DBA0A2F3}"/>
    <cellStyle name="Style 85 4 2 4 4" xfId="7244" xr:uid="{9936FCDC-3BA7-4E13-BC2C-E98A5E3E3222}"/>
    <cellStyle name="Style 85 4 2 4 4 2" xfId="15299" xr:uid="{490DBD32-6098-4C2E-9F4B-3D0D5642A4E4}"/>
    <cellStyle name="Style 85 4 2 4 4 2 2" xfId="33977" xr:uid="{27AF8AF0-0508-43B4-8042-0BE83D8889D3}"/>
    <cellStyle name="Style 85 4 2 4 5" xfId="15300" xr:uid="{03DB95D1-629E-4F75-B1A8-ED0B1CF89FEC}"/>
    <cellStyle name="Style 85 4 2 4 5 2" xfId="15301" xr:uid="{AF0ED20E-9C4B-416B-99BA-FE1DE82B4057}"/>
    <cellStyle name="Style 85 4 2 4 5 2 2" xfId="33978" xr:uid="{4177C0BA-A40E-44DC-AF2D-34804B2A2DCF}"/>
    <cellStyle name="Style 85 4 2 4 5 3" xfId="28114" xr:uid="{221DE148-71D7-4E88-A053-CABAFDC0A71F}"/>
    <cellStyle name="Style 85 4 2 4 6" xfId="15302" xr:uid="{812FAC47-0D24-4B21-A199-F19406CB4092}"/>
    <cellStyle name="Style 85 4 2 4 6 2" xfId="33979" xr:uid="{82B33454-FEBD-41FA-8F73-24B366D13D80}"/>
    <cellStyle name="Style 85 4 2 4 7" xfId="15303" xr:uid="{EE4F83C8-50A0-4FDE-A6D8-47D856A3F449}"/>
    <cellStyle name="Style 85 4 2 4 7 2" xfId="33980" xr:uid="{431F649B-3B6C-408B-BA80-76EC656A2231}"/>
    <cellStyle name="Style 85 4 2 4 8" xfId="15304" xr:uid="{F67A2D76-B828-4947-BA27-53651C8FA83C}"/>
    <cellStyle name="Style 85 4 2 4 8 2" xfId="33981" xr:uid="{9C71A987-4BCD-4C77-8826-5120EDAC87A2}"/>
    <cellStyle name="Style 85 4 2 4 9" xfId="15305" xr:uid="{0D15B5F7-7604-4772-9918-FFA511F5B029}"/>
    <cellStyle name="Style 85 4 2 4 9 2" xfId="33982" xr:uid="{85AD5DBC-7317-4179-99D6-69A33C286A60}"/>
    <cellStyle name="Style 85 4 2 5" xfId="7248" xr:uid="{C737235A-1576-4C51-8DC0-53FB2227DE52}"/>
    <cellStyle name="Style 85 4 2 5 2" xfId="15306" xr:uid="{1CFC0351-3E21-4521-8A35-9CA24A3558B5}"/>
    <cellStyle name="Style 85 4 2 5 2 2" xfId="15307" xr:uid="{842DBC81-9B32-44B3-B6AC-CFCC083B0C46}"/>
    <cellStyle name="Style 85 4 2 5 2 2 2" xfId="33984" xr:uid="{B54BD3D1-7AA7-405A-8A02-A83BA483DDB8}"/>
    <cellStyle name="Style 85 4 2 5 2 3" xfId="33983" xr:uid="{91C7F8A5-D33A-4BA8-AB7B-F0717E6A91DC}"/>
    <cellStyle name="Style 85 4 2 5 3" xfId="15308" xr:uid="{6DD12608-A84C-4126-9F37-5FF39F87F3F6}"/>
    <cellStyle name="Style 85 4 2 5 3 2" xfId="33985" xr:uid="{68E00AA5-6D11-4622-AF54-BE25E54E08CF}"/>
    <cellStyle name="Style 85 4 2 5 4" xfId="15309" xr:uid="{B0222C87-ADA5-4572-B43D-94EEACE6CCD7}"/>
    <cellStyle name="Style 85 4 2 5 4 2" xfId="33986" xr:uid="{3166BF9D-7D2B-4D0B-846F-D1B8DEFAD731}"/>
    <cellStyle name="Style 85 4 2 5 5" xfId="15310" xr:uid="{15F9BD99-C763-4CCD-ADAF-9C9D9A593D53}"/>
    <cellStyle name="Style 85 4 2 5 5 2" xfId="33987" xr:uid="{936A0515-8B8F-43E1-805D-D928F7CA07F8}"/>
    <cellStyle name="Style 85 4 2 6" xfId="7249" xr:uid="{622B7B5C-B750-4E24-B7CA-0C4CCC8E4906}"/>
    <cellStyle name="Style 85 4 2 6 2" xfId="15311" xr:uid="{DB435D01-423A-4ED8-8024-C57CBAD3B11E}"/>
    <cellStyle name="Style 85 4 2 6 2 2" xfId="33988" xr:uid="{CBAD199D-1FA9-4BDA-8205-44CBD912D29C}"/>
    <cellStyle name="Style 85 4 2 6 3" xfId="15312" xr:uid="{CB56A7A3-5260-408F-9A1A-49943FE94EFA}"/>
    <cellStyle name="Style 85 4 2 6 3 2" xfId="33989" xr:uid="{69FDA690-0A27-479E-ACB3-3F350D3713D6}"/>
    <cellStyle name="Style 85 4 2 7" xfId="7234" xr:uid="{CC8E8818-0CF1-47DF-A8FD-F6EA08EEE8CF}"/>
    <cellStyle name="Style 85 4 2 7 2" xfId="15313" xr:uid="{B59510BA-5BA2-4631-83C9-0E1F5877CEE6}"/>
    <cellStyle name="Style 85 4 2 7 2 2" xfId="33990" xr:uid="{65C5E426-E8F9-4934-A977-8E87D32EE415}"/>
    <cellStyle name="Style 85 4 2 8" xfId="15314" xr:uid="{BB738710-5161-407D-875E-D09E4F28F3AE}"/>
    <cellStyle name="Style 85 4 2 8 2" xfId="15315" xr:uid="{A87A742C-352A-4A6F-ABB3-D015966C2D16}"/>
    <cellStyle name="Style 85 4 2 8 2 2" xfId="33991" xr:uid="{DA9CD214-6755-4B7C-B692-BD1EB26351DB}"/>
    <cellStyle name="Style 85 4 2 8 3" xfId="28110" xr:uid="{78E630F9-E545-4AF9-B63A-95D9C87B37D5}"/>
    <cellStyle name="Style 85 4 2 9" xfId="15316" xr:uid="{6D6A8EC5-F03C-45B8-9422-C48C00632A2E}"/>
    <cellStyle name="Style 85 4 2 9 2" xfId="33992" xr:uid="{A48E1DF8-A890-4B3F-800E-D2C04A4A3FEA}"/>
    <cellStyle name="Style 85 4 3" xfId="3569" xr:uid="{FFA8A035-5520-4098-8EC1-C9437116DF08}"/>
    <cellStyle name="Style 85 4 3 10" xfId="15317" xr:uid="{7823E475-2264-49D4-8F70-8D5D376562F7}"/>
    <cellStyle name="Style 85 4 3 10 2" xfId="33993" xr:uid="{989D5E7D-8D3F-4428-9BCD-91F0025B5B88}"/>
    <cellStyle name="Style 85 4 3 11" xfId="15318" xr:uid="{67271EF0-263E-4E52-AE4A-8F22DBF3B2C0}"/>
    <cellStyle name="Style 85 4 3 11 2" xfId="33994" xr:uid="{015A133D-1C65-4A77-9696-4A4A06B2A8D6}"/>
    <cellStyle name="Style 85 4 3 12" xfId="15319" xr:uid="{6FB6C7B7-68A4-4038-A105-E5D6CC658783}"/>
    <cellStyle name="Style 85 4 3 12 2" xfId="33995" xr:uid="{4E0BD7A2-6311-4A9C-BE9A-065B4282F412}"/>
    <cellStyle name="Style 85 4 3 13" xfId="15320" xr:uid="{0604EDCF-85B7-402B-AC44-C2EB0786CAAF}"/>
    <cellStyle name="Style 85 4 3 13 2" xfId="33996" xr:uid="{83F7716E-A1F9-420B-8CBF-BB21065FE1AA}"/>
    <cellStyle name="Style 85 4 3 14" xfId="24135" xr:uid="{DCCE0289-EA7E-46F5-8D6D-8625068F335E}"/>
    <cellStyle name="Style 85 4 3 2" xfId="7251" xr:uid="{24342C48-79BF-4C77-B7E4-8553889C2DF3}"/>
    <cellStyle name="Style 85 4 3 2 2" xfId="15321" xr:uid="{580943C6-B148-41C4-9EB1-A0C9AADDA91C}"/>
    <cellStyle name="Style 85 4 3 2 2 2" xfId="33997" xr:uid="{620E74B0-C198-4F37-9A6D-8D17C7EAF923}"/>
    <cellStyle name="Style 85 4 3 2 3" xfId="15322" xr:uid="{CD4C9A32-5430-44DD-A7E0-883D2F1C4849}"/>
    <cellStyle name="Style 85 4 3 2 3 2" xfId="33998" xr:uid="{B88452AC-2F6F-4663-AF6B-87ACD88395E4}"/>
    <cellStyle name="Style 85 4 3 3" xfId="7250" xr:uid="{1D70D544-9674-44C2-9D98-AE3549EAC0BB}"/>
    <cellStyle name="Style 85 4 3 3 2" xfId="15323" xr:uid="{066D5887-7C6F-409B-B96B-420B42A702BE}"/>
    <cellStyle name="Style 85 4 3 3 2 2" xfId="33999" xr:uid="{8F13A329-06FF-46AB-B631-4CAEB226D45E}"/>
    <cellStyle name="Style 85 4 3 4" xfId="15324" xr:uid="{C1BEC4C8-1F4A-47D1-B4B1-B620181CFA9D}"/>
    <cellStyle name="Style 85 4 3 4 2" xfId="15325" xr:uid="{3794DE85-EE90-409E-9CFF-57845D4DD6F5}"/>
    <cellStyle name="Style 85 4 3 4 2 2" xfId="34000" xr:uid="{BDEEF7AC-1810-4907-BE1C-77B429E5BC3C}"/>
    <cellStyle name="Style 85 4 3 4 3" xfId="28116" xr:uid="{E3BFD402-8172-4055-B105-6D6021310A4E}"/>
    <cellStyle name="Style 85 4 3 5" xfId="15326" xr:uid="{043F5B20-CE3B-44F6-9AEE-F386366A2587}"/>
    <cellStyle name="Style 85 4 3 5 2" xfId="34001" xr:uid="{3DC29FBA-2781-4291-8B05-75CEC06FC800}"/>
    <cellStyle name="Style 85 4 3 6" xfId="15327" xr:uid="{37FFC280-9527-4D44-A82F-8BD612470C1E}"/>
    <cellStyle name="Style 85 4 3 6 2" xfId="34002" xr:uid="{D0AEAAB3-2C75-4D6D-86C1-6C6DFD438A1F}"/>
    <cellStyle name="Style 85 4 3 7" xfId="15328" xr:uid="{A8841F7D-333C-4BC9-A26D-6157DA3DF776}"/>
    <cellStyle name="Style 85 4 3 7 2" xfId="34003" xr:uid="{6E0CDCEB-E3D1-4D3C-B611-FDE27F0E00A0}"/>
    <cellStyle name="Style 85 4 3 8" xfId="15329" xr:uid="{572A93F2-C134-4B1B-AFE2-4C59A4D75B77}"/>
    <cellStyle name="Style 85 4 3 8 2" xfId="34004" xr:uid="{551D391A-FB5B-423D-8985-5FFB3588FC64}"/>
    <cellStyle name="Style 85 4 3 9" xfId="15330" xr:uid="{513B6577-79A4-4065-88AF-F7679D823B5D}"/>
    <cellStyle name="Style 85 4 3 9 2" xfId="34005" xr:uid="{13C09AB0-9884-4ED6-A19D-5E28EA44D36D}"/>
    <cellStyle name="Style 85 4 4" xfId="7252" xr:uid="{E81A8593-B916-4251-A908-19E62B0CBAAD}"/>
    <cellStyle name="Style 85 4 4 2" xfId="7253" xr:uid="{2747A0D6-5F22-4699-AA79-CD8B5D986EC7}"/>
    <cellStyle name="Style 85 4 4 2 2" xfId="15331" xr:uid="{1822CF8D-59B8-4C6E-ABDE-5229A7BFEA9C}"/>
    <cellStyle name="Style 85 4 4 2 2 2" xfId="34006" xr:uid="{FC743993-9C57-4263-A31A-E843C9FDB901}"/>
    <cellStyle name="Style 85 4 4 2 3" xfId="15332" xr:uid="{DCA94A2E-DF0E-4D62-9041-855604F35893}"/>
    <cellStyle name="Style 85 4 4 2 3 2" xfId="34007" xr:uid="{3F0CB84F-3EC5-4F94-901A-4302DD781665}"/>
    <cellStyle name="Style 85 4 4 3" xfId="7254" xr:uid="{63983EFC-80DA-4AAB-8BDD-E9F2130A51DB}"/>
    <cellStyle name="Style 85 4 4 3 2" xfId="15333" xr:uid="{00B21E15-FF8B-4EE3-ABCD-7A1F2754969E}"/>
    <cellStyle name="Style 85 4 4 3 2 2" xfId="34008" xr:uid="{CB6E6A34-8EFD-440F-A24B-2DB7E998265B}"/>
    <cellStyle name="Style 85 4 4 4" xfId="15334" xr:uid="{353F2D21-AB50-465A-9A61-541C9A9BED9F}"/>
    <cellStyle name="Style 85 4 4 4 2" xfId="34009" xr:uid="{171EFCC6-A1ED-48DE-9177-78D5A241A617}"/>
    <cellStyle name="Style 85 4 4 5" xfId="15335" xr:uid="{20EA8618-1E58-45C6-8513-9175A9867108}"/>
    <cellStyle name="Style 85 4 4 5 2" xfId="34010" xr:uid="{373E737E-6EC1-4BA1-8134-558A58578540}"/>
    <cellStyle name="Style 85 4 4 6" xfId="24136" xr:uid="{26BB7D37-0A59-4C50-BD3C-68638C996225}"/>
    <cellStyle name="Style 85 4 5" xfId="7255" xr:uid="{9347F071-DAA3-48F2-B62F-AC2A3FF2A3EF}"/>
    <cellStyle name="Style 85 4 5 2" xfId="15336" xr:uid="{5E1CC228-FD88-4BCE-A1C2-AE3C69872C17}"/>
    <cellStyle name="Style 85 4 5 2 2" xfId="34011" xr:uid="{775C3075-EC80-41E4-A4AA-A3D16D3C6BCB}"/>
    <cellStyle name="Style 85 4 5 3" xfId="15337" xr:uid="{EE78CDD4-64CC-4695-8893-5669B2685D55}"/>
    <cellStyle name="Style 85 4 5 3 2" xfId="34012" xr:uid="{D8C7BC0B-C475-423D-8248-3603B6BB7000}"/>
    <cellStyle name="Style 85 4 6" xfId="7233" xr:uid="{2D011DA6-7E51-47A4-9248-3322616D68DA}"/>
    <cellStyle name="Style 85 4 6 2" xfId="15338" xr:uid="{D0A96B98-9527-4DF8-9DAC-2D902CF0262A}"/>
    <cellStyle name="Style 85 4 6 2 2" xfId="34013" xr:uid="{88FF7180-E86E-47F0-BCA7-D2885739F922}"/>
    <cellStyle name="Style 85 4 7" xfId="4448" xr:uid="{68FC97B7-F420-46FB-973E-D1CCFDF157F0}"/>
    <cellStyle name="Style 85 4 7 2" xfId="15339" xr:uid="{4590E7A1-11F5-4444-8489-D661EA1D227D}"/>
    <cellStyle name="Style 85 4 7 2 2" xfId="34014" xr:uid="{11FBEE20-52FD-4774-9437-5459F49024E0}"/>
    <cellStyle name="Style 85 4 7 3" xfId="26714" xr:uid="{9B3AB225-781B-4572-9810-20A395CD764C}"/>
    <cellStyle name="Style 85 4 8" xfId="15340" xr:uid="{888C9F23-BAA8-4AA9-BEA5-E609C56886CF}"/>
    <cellStyle name="Style 85 4 8 2" xfId="15341" xr:uid="{9A217812-94C1-48B6-95F0-267A2846439E}"/>
    <cellStyle name="Style 85 4 8 2 2" xfId="34015" xr:uid="{9C696184-FDA5-4BF4-AAA8-1939A6CF21F8}"/>
    <cellStyle name="Style 85 4 8 3" xfId="28109" xr:uid="{7ABDACE5-12A4-40CB-BCB7-A34D0FCD09E1}"/>
    <cellStyle name="Style 85 4 9" xfId="15342" xr:uid="{24BE1023-204E-4B1D-98A9-A73A373E09C5}"/>
    <cellStyle name="Style 85 4 9 2" xfId="34016" xr:uid="{64392CC5-A359-4D7C-B070-9504CA362FE3}"/>
    <cellStyle name="Style 85 5" xfId="3570" xr:uid="{C7C03365-525B-4F04-829C-00EAB07611C4}"/>
    <cellStyle name="Style 85 5 10" xfId="15343" xr:uid="{44805D02-134F-42AF-883D-35B9F842CCCA}"/>
    <cellStyle name="Style 85 5 10 2" xfId="34017" xr:uid="{99256F43-9763-416A-9A53-9BDB47BD4F34}"/>
    <cellStyle name="Style 85 5 11" xfId="15344" xr:uid="{E3AE840D-B064-491F-AA09-2524ADE08DE7}"/>
    <cellStyle name="Style 85 5 11 2" xfId="34018" xr:uid="{6ED5A757-0006-4860-9FAD-B9C110C87512}"/>
    <cellStyle name="Style 85 5 12" xfId="15345" xr:uid="{DC5E5BFE-F5D2-45BB-B8AE-30981EC6505E}"/>
    <cellStyle name="Style 85 5 12 2" xfId="34019" xr:uid="{9334672F-AFBD-41BA-A043-A431C55654A0}"/>
    <cellStyle name="Style 85 5 13" xfId="15346" xr:uid="{E79FFC12-2903-4ADD-A4C3-ED06E865157C}"/>
    <cellStyle name="Style 85 5 13 2" xfId="34020" xr:uid="{C83F2BBC-66B7-47C1-9352-254710D86BFC}"/>
    <cellStyle name="Style 85 5 14" xfId="15347" xr:uid="{403BB7C1-EC7D-4110-8226-E9CF5B3DE35C}"/>
    <cellStyle name="Style 85 5 14 2" xfId="34021" xr:uid="{DB5CA5DC-1CE3-4F35-9B22-6FBB162A6E85}"/>
    <cellStyle name="Style 85 5 15" xfId="15348" xr:uid="{4517A913-BC28-4F7B-9216-05ABC0152839}"/>
    <cellStyle name="Style 85 5 15 2" xfId="34022" xr:uid="{DF6DB79B-85CB-4E1E-BBC1-2A0F88475BD1}"/>
    <cellStyle name="Style 85 5 16" xfId="15349" xr:uid="{7DCF50FD-BB8B-4710-8835-BDA7B2E95FE2}"/>
    <cellStyle name="Style 85 5 16 2" xfId="34023" xr:uid="{BCFBDD59-F63F-4627-A972-15E6309EE63F}"/>
    <cellStyle name="Style 85 5 17" xfId="24137" xr:uid="{B097BC98-5E9E-46D4-9A03-5FBA1C7861CE}"/>
    <cellStyle name="Style 85 5 2" xfId="3571" xr:uid="{DD85F52F-174D-4A03-9E73-BBA07CC56AF3}"/>
    <cellStyle name="Style 85 5 2 10" xfId="15350" xr:uid="{5E6A66E5-416B-4DDA-AFB9-0F9ACF73CF82}"/>
    <cellStyle name="Style 85 5 2 10 2" xfId="34024" xr:uid="{98A0B574-34A4-46D8-819B-1706D9F10B27}"/>
    <cellStyle name="Style 85 5 2 11" xfId="15351" xr:uid="{582F5F50-58E8-403B-9486-CB770C6A4F26}"/>
    <cellStyle name="Style 85 5 2 11 2" xfId="34025" xr:uid="{DF78886F-F321-4F0F-B1FC-23BFF77EBDE2}"/>
    <cellStyle name="Style 85 5 2 12" xfId="15352" xr:uid="{C648EED8-5CF5-40E5-B88E-15F32FE33B5E}"/>
    <cellStyle name="Style 85 5 2 12 2" xfId="34026" xr:uid="{10135792-5F4D-4ED3-B745-65E4DE00EF9E}"/>
    <cellStyle name="Style 85 5 2 13" xfId="15353" xr:uid="{06A9C19A-CB4B-48FD-9A05-490453F56416}"/>
    <cellStyle name="Style 85 5 2 13 2" xfId="34027" xr:uid="{6C629883-500E-4B59-B9B4-887852CCF53C}"/>
    <cellStyle name="Style 85 5 2 14" xfId="15354" xr:uid="{712A336E-0877-424B-8843-9E198B445313}"/>
    <cellStyle name="Style 85 5 2 14 2" xfId="34028" xr:uid="{8E4E855C-2427-4646-BFE6-11CC10EADC8D}"/>
    <cellStyle name="Style 85 5 2 15" xfId="15355" xr:uid="{35DDEF15-2E7E-4976-AD33-724D8413C199}"/>
    <cellStyle name="Style 85 5 2 15 2" xfId="34029" xr:uid="{A29CA187-AABE-4392-A542-2E695F08E2DA}"/>
    <cellStyle name="Style 85 5 2 16" xfId="15356" xr:uid="{19ECE6F2-9CEA-4B21-996B-17C9C735C316}"/>
    <cellStyle name="Style 85 5 2 16 2" xfId="34030" xr:uid="{D576974E-B608-43F2-AACE-3776B224D1EA}"/>
    <cellStyle name="Style 85 5 2 17" xfId="24138" xr:uid="{9BE0B156-0AC6-4558-A4EE-E319B039FB18}"/>
    <cellStyle name="Style 85 5 2 2" xfId="3572" xr:uid="{7C04650A-EFD0-4FB7-9B0D-B758FED5B226}"/>
    <cellStyle name="Style 85 5 2 2 10" xfId="15357" xr:uid="{D8B9F60C-0C9D-4B1F-8826-E4940D311D48}"/>
    <cellStyle name="Style 85 5 2 2 10 2" xfId="34031" xr:uid="{3DA3633B-0010-4836-926E-A481EC7F91E1}"/>
    <cellStyle name="Style 85 5 2 2 11" xfId="15358" xr:uid="{12F0572C-B125-497E-8113-D33357C80F07}"/>
    <cellStyle name="Style 85 5 2 2 11 2" xfId="34032" xr:uid="{1A5C17C9-835D-493B-B2E6-07DC44661F81}"/>
    <cellStyle name="Style 85 5 2 2 12" xfId="15359" xr:uid="{C7F730AC-B926-4492-9A67-83E281A937D1}"/>
    <cellStyle name="Style 85 5 2 2 12 2" xfId="34033" xr:uid="{479F497C-6537-4059-9799-FA9A9F35285A}"/>
    <cellStyle name="Style 85 5 2 2 13" xfId="15360" xr:uid="{1CD08B4B-055B-4D6A-9A75-788C89FE17A7}"/>
    <cellStyle name="Style 85 5 2 2 13 2" xfId="34034" xr:uid="{3C7327EC-A3AF-4C01-8400-77E0714EC3E2}"/>
    <cellStyle name="Style 85 5 2 2 14" xfId="24139" xr:uid="{A61B1240-CCBE-4083-B583-F1B72645080F}"/>
    <cellStyle name="Style 85 5 2 2 2" xfId="7259" xr:uid="{10530987-9079-4877-8F0B-42F160C98A67}"/>
    <cellStyle name="Style 85 5 2 2 2 2" xfId="15361" xr:uid="{E856078F-59FF-410C-88AF-2423B369E75D}"/>
    <cellStyle name="Style 85 5 2 2 2 2 2" xfId="34035" xr:uid="{CBFD339E-707B-455D-ACBE-937F3FFA8BDB}"/>
    <cellStyle name="Style 85 5 2 2 2 3" xfId="15362" xr:uid="{A4A8A41B-734C-4CEC-A181-23DC44689453}"/>
    <cellStyle name="Style 85 5 2 2 2 3 2" xfId="34036" xr:uid="{1F45C7D8-E623-4B43-B71E-2489DC02FC38}"/>
    <cellStyle name="Style 85 5 2 2 3" xfId="7258" xr:uid="{957FD3BB-9C4A-4041-9076-0453D84032C5}"/>
    <cellStyle name="Style 85 5 2 2 3 2" xfId="15363" xr:uid="{1F3247EB-0B37-4193-9013-F241A318762C}"/>
    <cellStyle name="Style 85 5 2 2 3 2 2" xfId="34037" xr:uid="{6319070E-9E9F-4906-8CA6-FB29F7D5351E}"/>
    <cellStyle name="Style 85 5 2 2 4" xfId="15364" xr:uid="{0CB687A4-82A4-4552-A44F-91BC8B1BCC26}"/>
    <cellStyle name="Style 85 5 2 2 4 2" xfId="15365" xr:uid="{016009E0-E052-4CB0-8B76-F757EEDFA327}"/>
    <cellStyle name="Style 85 5 2 2 4 2 2" xfId="34038" xr:uid="{8C05CB24-12ED-4390-BF66-547CF43BC9BD}"/>
    <cellStyle name="Style 85 5 2 2 4 3" xfId="28119" xr:uid="{00F8A6C1-6EED-4E13-BEFE-25B5059C8FB5}"/>
    <cellStyle name="Style 85 5 2 2 5" xfId="15366" xr:uid="{1E3704C0-F9BA-4E4A-A992-3241A9BBA6BF}"/>
    <cellStyle name="Style 85 5 2 2 5 2" xfId="34039" xr:uid="{A004E5A9-B8F3-49CE-967C-7668B81F9C67}"/>
    <cellStyle name="Style 85 5 2 2 6" xfId="15367" xr:uid="{4A499A96-0AC8-4D45-B074-7EE14A43CC90}"/>
    <cellStyle name="Style 85 5 2 2 6 2" xfId="34040" xr:uid="{ED91972D-2108-468F-9701-9738F096EB1F}"/>
    <cellStyle name="Style 85 5 2 2 7" xfId="15368" xr:uid="{AEE0D9EB-D65C-4FD0-956E-0B340EB56898}"/>
    <cellStyle name="Style 85 5 2 2 7 2" xfId="34041" xr:uid="{C675CE4E-6D8C-443F-A6EB-FB6C02C5CF41}"/>
    <cellStyle name="Style 85 5 2 2 8" xfId="15369" xr:uid="{5508A2E1-049C-46EC-BA4B-5C29403343C2}"/>
    <cellStyle name="Style 85 5 2 2 8 2" xfId="34042" xr:uid="{DF121F0A-2FF4-4E45-944F-9E61A8D2ED2F}"/>
    <cellStyle name="Style 85 5 2 2 9" xfId="15370" xr:uid="{A7A3D151-56B6-42F8-BA09-5B6487EC6EB9}"/>
    <cellStyle name="Style 85 5 2 2 9 2" xfId="34043" xr:uid="{30D6A971-3855-46EE-A77D-75E858FF0799}"/>
    <cellStyle name="Style 85 5 2 3" xfId="3573" xr:uid="{9859924D-E012-4281-9682-A03851ED84F2}"/>
    <cellStyle name="Style 85 5 2 3 10" xfId="15371" xr:uid="{65592490-939B-4C62-9406-EB7C61A6F787}"/>
    <cellStyle name="Style 85 5 2 3 10 2" xfId="34044" xr:uid="{08BD59E7-0977-4AFC-A51B-DA5DA69FA40E}"/>
    <cellStyle name="Style 85 5 2 3 11" xfId="15372" xr:uid="{C79D6006-803E-4388-A8B9-5A8ACBCA2504}"/>
    <cellStyle name="Style 85 5 2 3 11 2" xfId="34045" xr:uid="{28F95C8B-9A54-47B2-9E7B-4F9837310441}"/>
    <cellStyle name="Style 85 5 2 3 12" xfId="15373" xr:uid="{FCFC0196-EACC-4274-A033-F0F7DF8D56C6}"/>
    <cellStyle name="Style 85 5 2 3 12 2" xfId="34046" xr:uid="{468552B0-1960-4D39-95F7-F6F6F0006170}"/>
    <cellStyle name="Style 85 5 2 3 13" xfId="15374" xr:uid="{D365273B-4163-4A8D-B529-A722BBA9D8C7}"/>
    <cellStyle name="Style 85 5 2 3 13 2" xfId="34047" xr:uid="{721B7A06-8836-4436-BC13-24EC62A39DF6}"/>
    <cellStyle name="Style 85 5 2 3 14" xfId="15375" xr:uid="{E84A7213-F2B2-4EA7-8321-4CF3350FDF52}"/>
    <cellStyle name="Style 85 5 2 3 14 2" xfId="34048" xr:uid="{8218548B-F582-4CEF-8C9F-57A5DB153B78}"/>
    <cellStyle name="Style 85 5 2 3 15" xfId="15376" xr:uid="{45955C67-C0A6-4CA6-A7FE-39E5F63FDE92}"/>
    <cellStyle name="Style 85 5 2 3 15 2" xfId="34049" xr:uid="{FCE574ED-28BC-4B34-ADCB-5013546EFEE5}"/>
    <cellStyle name="Style 85 5 2 3 16" xfId="24140" xr:uid="{F2684A0E-FA56-4C21-84A7-D4666C38F76F}"/>
    <cellStyle name="Style 85 5 2 3 2" xfId="3574" xr:uid="{0F2B4D3C-EFFB-4F35-8116-669AD7D64883}"/>
    <cellStyle name="Style 85 5 2 3 2 10" xfId="15377" xr:uid="{01E71E92-E783-464E-AE41-7B1A609A3C00}"/>
    <cellStyle name="Style 85 5 2 3 2 10 2" xfId="34050" xr:uid="{78035EBC-1A76-43CC-9D0D-AE8797413215}"/>
    <cellStyle name="Style 85 5 2 3 2 11" xfId="15378" xr:uid="{07528713-91EE-453C-934D-797FA622ACFA}"/>
    <cellStyle name="Style 85 5 2 3 2 11 2" xfId="34051" xr:uid="{239D88C4-0AF6-4704-BE26-0E96BBDAEA59}"/>
    <cellStyle name="Style 85 5 2 3 2 12" xfId="15379" xr:uid="{86903B30-E92F-48C8-8494-DADB48585F70}"/>
    <cellStyle name="Style 85 5 2 3 2 12 2" xfId="34052" xr:uid="{75DFAFD8-2206-4CAC-BBC3-0B27251FDF89}"/>
    <cellStyle name="Style 85 5 2 3 2 13" xfId="15380" xr:uid="{2D4D79C2-AB8E-4DD3-8013-52655AE1568F}"/>
    <cellStyle name="Style 85 5 2 3 2 13 2" xfId="34053" xr:uid="{F0731A15-7B63-49D5-9757-8563F4CB9168}"/>
    <cellStyle name="Style 85 5 2 3 2 14" xfId="24141" xr:uid="{7854BE79-E9F4-4621-B16A-1CE7B5184729}"/>
    <cellStyle name="Style 85 5 2 3 2 2" xfId="7262" xr:uid="{7706C336-2631-4947-8549-2CD84E093155}"/>
    <cellStyle name="Style 85 5 2 3 2 2 2" xfId="15381" xr:uid="{7D9F3A9C-E708-49E0-9651-40C8CB72861A}"/>
    <cellStyle name="Style 85 5 2 3 2 2 2 2" xfId="34054" xr:uid="{0CD4F852-09C8-4319-B194-9049636C353B}"/>
    <cellStyle name="Style 85 5 2 3 2 2 3" xfId="15382" xr:uid="{883AA645-A64F-444B-9CFC-C69C1DE9654F}"/>
    <cellStyle name="Style 85 5 2 3 2 2 3 2" xfId="34055" xr:uid="{5242FE09-B2F7-486E-B31F-4193C4BBB1F3}"/>
    <cellStyle name="Style 85 5 2 3 2 3" xfId="7261" xr:uid="{4A8957B8-A45A-4A6D-B3D1-238177928663}"/>
    <cellStyle name="Style 85 5 2 3 2 3 2" xfId="15383" xr:uid="{15E99FE6-528C-47BA-96BA-49C29127C7B8}"/>
    <cellStyle name="Style 85 5 2 3 2 3 2 2" xfId="34056" xr:uid="{2F32134D-EB5D-483B-871C-0609CBD4C266}"/>
    <cellStyle name="Style 85 5 2 3 2 4" xfId="15384" xr:uid="{4DA07A0E-0589-46C3-953F-CCB856AB528B}"/>
    <cellStyle name="Style 85 5 2 3 2 4 2" xfId="15385" xr:uid="{1F1B884F-2E71-4C72-BD2F-BB7BEC2B2415}"/>
    <cellStyle name="Style 85 5 2 3 2 4 2 2" xfId="34057" xr:uid="{ED922949-58FF-4B7A-8BA2-712B9772E777}"/>
    <cellStyle name="Style 85 5 2 3 2 4 3" xfId="28121" xr:uid="{467765B1-F835-4F42-B8EE-253B3868CA3D}"/>
    <cellStyle name="Style 85 5 2 3 2 5" xfId="15386" xr:uid="{802D70D4-8359-4893-8704-5A1594BA467F}"/>
    <cellStyle name="Style 85 5 2 3 2 5 2" xfId="34058" xr:uid="{EC723A64-C66A-425F-9245-CE8ECE4437CD}"/>
    <cellStyle name="Style 85 5 2 3 2 6" xfId="15387" xr:uid="{9B8F81E1-BBA0-4D99-82C6-20F611CCE6D3}"/>
    <cellStyle name="Style 85 5 2 3 2 6 2" xfId="34059" xr:uid="{D550DF4E-69C6-4651-A3B8-AEA65A290360}"/>
    <cellStyle name="Style 85 5 2 3 2 7" xfId="15388" xr:uid="{8006B7FA-FA9D-4C38-9A8B-48BCD0F0119B}"/>
    <cellStyle name="Style 85 5 2 3 2 7 2" xfId="34060" xr:uid="{798B179B-9354-4D69-AD08-142F1C96A182}"/>
    <cellStyle name="Style 85 5 2 3 2 8" xfId="15389" xr:uid="{A03F6E39-96B2-4C02-B81B-ACB99675DF88}"/>
    <cellStyle name="Style 85 5 2 3 2 8 2" xfId="34061" xr:uid="{388AC088-D163-461B-AC53-1F478BA8B1C7}"/>
    <cellStyle name="Style 85 5 2 3 2 9" xfId="15390" xr:uid="{610EDC58-2EFE-48D6-9BCE-7DA5FC140313}"/>
    <cellStyle name="Style 85 5 2 3 2 9 2" xfId="34062" xr:uid="{F2B3F20F-6048-407D-AD67-713AF3D7560B}"/>
    <cellStyle name="Style 85 5 2 3 3" xfId="7263" xr:uid="{1CCDB35F-72D9-4631-8948-BC068BC11454}"/>
    <cellStyle name="Style 85 5 2 3 3 2" xfId="7264" xr:uid="{6A6F8911-CB98-4DFC-8EDA-D45BBF768A62}"/>
    <cellStyle name="Style 85 5 2 3 3 2 2" xfId="15391" xr:uid="{BB2A267F-78A6-4675-ACD7-C291187BB929}"/>
    <cellStyle name="Style 85 5 2 3 3 2 2 2" xfId="34063" xr:uid="{08FDED3A-5E32-4724-BACF-D5D390B89B6B}"/>
    <cellStyle name="Style 85 5 2 3 3 2 3" xfId="15392" xr:uid="{C88D03DF-2371-4DD1-9561-4B73C49B0596}"/>
    <cellStyle name="Style 85 5 2 3 3 2 3 2" xfId="34064" xr:uid="{73CFF7FD-7909-4261-BCE9-51C586DA4D31}"/>
    <cellStyle name="Style 85 5 2 3 3 3" xfId="15393" xr:uid="{8869CD8D-DCBC-484A-8BDE-B400864ECF91}"/>
    <cellStyle name="Style 85 5 2 3 3 3 2" xfId="34065" xr:uid="{4D5F6F97-D540-4516-AE22-0BA32BFB840D}"/>
    <cellStyle name="Style 85 5 2 3 3 4" xfId="15394" xr:uid="{C3180A36-3600-4F47-873C-BC4D5D9F94C9}"/>
    <cellStyle name="Style 85 5 2 3 3 4 2" xfId="34066" xr:uid="{EC65A3A0-116B-4C4B-9415-7FC1E10C1034}"/>
    <cellStyle name="Style 85 5 2 3 3 5" xfId="15395" xr:uid="{D944604F-FF21-4AD7-827F-C6CA6F0AF104}"/>
    <cellStyle name="Style 85 5 2 3 3 5 2" xfId="34067" xr:uid="{0EA385E3-B82B-4E07-8ED5-9D67DEA5E537}"/>
    <cellStyle name="Style 85 5 2 3 3 6" xfId="24142" xr:uid="{D23F7A1E-12B6-4A4B-8295-C1AEC5C4EC2F}"/>
    <cellStyle name="Style 85 5 2 3 4" xfId="7265" xr:uid="{8B2357DE-0A83-4C67-A48E-743298B51043}"/>
    <cellStyle name="Style 85 5 2 3 4 2" xfId="15396" xr:uid="{8F122BA2-C9AA-4422-8DD3-CDD4B31D7148}"/>
    <cellStyle name="Style 85 5 2 3 4 2 2" xfId="34068" xr:uid="{2E365C3D-A947-45B6-A71A-A29CD9D1A6FE}"/>
    <cellStyle name="Style 85 5 2 3 4 3" xfId="15397" xr:uid="{573BEDB6-0E7C-4414-AA90-14DC25921931}"/>
    <cellStyle name="Style 85 5 2 3 4 3 2" xfId="34069" xr:uid="{FF7F607A-2497-48D6-99AE-5646E7C20C3D}"/>
    <cellStyle name="Style 85 5 2 3 5" xfId="7266" xr:uid="{37E7D3CA-AE9A-4A0B-976C-1F20A694BF26}"/>
    <cellStyle name="Style 85 5 2 3 5 2" xfId="15398" xr:uid="{8F5C96FC-5EB1-4A48-B48B-05BFB120657F}"/>
    <cellStyle name="Style 85 5 2 3 5 2 2" xfId="34070" xr:uid="{692DE733-967B-4FC7-88BC-D266A46CA45F}"/>
    <cellStyle name="Style 85 5 2 3 6" xfId="7260" xr:uid="{017F3629-5CA7-4B73-B60D-2B7407C6AB62}"/>
    <cellStyle name="Style 85 5 2 3 6 2" xfId="15399" xr:uid="{0C32AE58-D9C2-43A0-9E54-AE8919BE8888}"/>
    <cellStyle name="Style 85 5 2 3 6 2 2" xfId="34071" xr:uid="{73E7DB96-65F5-4394-AFDD-DF07CA27AAA2}"/>
    <cellStyle name="Style 85 5 2 3 7" xfId="15400" xr:uid="{08DB74A3-B272-4BC0-9AC5-9E661BE1FCCD}"/>
    <cellStyle name="Style 85 5 2 3 7 2" xfId="15401" xr:uid="{3377C253-3BFD-4A9D-B9B4-728DF5BA22BB}"/>
    <cellStyle name="Style 85 5 2 3 7 2 2" xfId="34072" xr:uid="{AA6650AA-2C37-402D-A3C1-9D01E0432B8D}"/>
    <cellStyle name="Style 85 5 2 3 7 3" xfId="28120" xr:uid="{85B42659-64F3-4A67-9283-D1C07E9D9E83}"/>
    <cellStyle name="Style 85 5 2 3 8" xfId="15402" xr:uid="{3DB12932-9F5D-4BEB-A99C-CBBC0F26F6EF}"/>
    <cellStyle name="Style 85 5 2 3 8 2" xfId="34073" xr:uid="{1B70FAED-8D19-4E2B-A2DE-021613AC1953}"/>
    <cellStyle name="Style 85 5 2 3 9" xfId="15403" xr:uid="{D2BEE671-E6EB-4812-B49C-1E87287DB740}"/>
    <cellStyle name="Style 85 5 2 3 9 2" xfId="34074" xr:uid="{5857F3CF-A9E3-46A6-9B7B-AC0625566312}"/>
    <cellStyle name="Style 85 5 2 4" xfId="3575" xr:uid="{DFAF0E2F-F699-4789-84DF-D6F24ED4697D}"/>
    <cellStyle name="Style 85 5 2 4 10" xfId="15404" xr:uid="{F2F0487A-5E2A-4767-9829-550EF054FA2B}"/>
    <cellStyle name="Style 85 5 2 4 10 2" xfId="34075" xr:uid="{94DA35FE-1185-4E52-82A5-73C78978A4F3}"/>
    <cellStyle name="Style 85 5 2 4 11" xfId="15405" xr:uid="{F54A9337-B129-45AE-863A-1D38A7C58913}"/>
    <cellStyle name="Style 85 5 2 4 11 2" xfId="34076" xr:uid="{8853D0BD-3EAF-4EF8-8CAC-30A239BB7982}"/>
    <cellStyle name="Style 85 5 2 4 12" xfId="15406" xr:uid="{23B15288-C829-463C-B9D6-6BEF3BC5E9DF}"/>
    <cellStyle name="Style 85 5 2 4 12 2" xfId="34077" xr:uid="{990C98B8-4B4F-4E0A-9217-A4C1D5B8C3AF}"/>
    <cellStyle name="Style 85 5 2 4 13" xfId="15407" xr:uid="{A508CCA5-46E9-4A82-80F0-A527B2E1C7DA}"/>
    <cellStyle name="Style 85 5 2 4 13 2" xfId="34078" xr:uid="{368DA4B3-0178-418C-891D-47939F897DF1}"/>
    <cellStyle name="Style 85 5 2 4 14" xfId="15408" xr:uid="{5D3BE6DD-D80C-4F02-B355-1B91078E19EE}"/>
    <cellStyle name="Style 85 5 2 4 14 2" xfId="34079" xr:uid="{E2C72E69-14DB-4854-9C9A-18346A2DCFC5}"/>
    <cellStyle name="Style 85 5 2 4 15" xfId="24143" xr:uid="{03F6D33B-92C7-4B40-847D-3217414E0628}"/>
    <cellStyle name="Style 85 5 2 4 2" xfId="3576" xr:uid="{9EA0214E-1AAD-4DF7-AB9C-D898180DF6CE}"/>
    <cellStyle name="Style 85 5 2 4 2 10" xfId="15409" xr:uid="{8ABB4564-04E0-46C7-AFE7-33D384E09ABC}"/>
    <cellStyle name="Style 85 5 2 4 2 10 2" xfId="34080" xr:uid="{45D9ABAF-FC27-4053-8F7D-808364E0B7D7}"/>
    <cellStyle name="Style 85 5 2 4 2 11" xfId="15410" xr:uid="{1B137A56-D7F7-4E2D-BD28-77A7D8BDDFD4}"/>
    <cellStyle name="Style 85 5 2 4 2 11 2" xfId="34081" xr:uid="{4F6EA324-38C5-45CF-B688-F54E23AFBC8C}"/>
    <cellStyle name="Style 85 5 2 4 2 12" xfId="15411" xr:uid="{64B0CF0A-9F02-4982-A126-6E1858C07617}"/>
    <cellStyle name="Style 85 5 2 4 2 12 2" xfId="34082" xr:uid="{8A560B94-3B22-4AA2-9A9C-A36F59B5F1F7}"/>
    <cellStyle name="Style 85 5 2 4 2 13" xfId="15412" xr:uid="{276D1057-0803-4A57-AC70-9FE0B375E9D8}"/>
    <cellStyle name="Style 85 5 2 4 2 13 2" xfId="34083" xr:uid="{EC012B56-962F-4703-823F-3E61DDA61656}"/>
    <cellStyle name="Style 85 5 2 4 2 14" xfId="24144" xr:uid="{EC5AC9ED-3D27-4C51-B8A4-38A702830285}"/>
    <cellStyle name="Style 85 5 2 4 2 2" xfId="7269" xr:uid="{8FF34CD8-AA70-4104-A93D-0FFE5A2475DE}"/>
    <cellStyle name="Style 85 5 2 4 2 2 2" xfId="15413" xr:uid="{694480D4-EF92-4966-B3A4-63C02D498C49}"/>
    <cellStyle name="Style 85 5 2 4 2 2 2 2" xfId="34084" xr:uid="{CA34EAE2-14A2-4A6B-A329-5DDD7F43CAE9}"/>
    <cellStyle name="Style 85 5 2 4 2 2 3" xfId="15414" xr:uid="{1714EA53-FDB6-4AC6-8277-DCEF2AD3F68C}"/>
    <cellStyle name="Style 85 5 2 4 2 2 3 2" xfId="34085" xr:uid="{DBF1347D-514B-4C20-A406-AD4317155952}"/>
    <cellStyle name="Style 85 5 2 4 2 3" xfId="7268" xr:uid="{66B8C098-D916-40E1-B330-6E0C395205DF}"/>
    <cellStyle name="Style 85 5 2 4 2 3 2" xfId="15415" xr:uid="{8DB6B76D-4EFA-4F5A-B205-7ED93C0D0D6F}"/>
    <cellStyle name="Style 85 5 2 4 2 3 2 2" xfId="34086" xr:uid="{D83CBE9B-347C-497A-A601-956D60F758DF}"/>
    <cellStyle name="Style 85 5 2 4 2 4" xfId="15416" xr:uid="{825CD08B-135A-43D4-84C6-87687E9EB3DA}"/>
    <cellStyle name="Style 85 5 2 4 2 4 2" xfId="15417" xr:uid="{DAC69D40-BC90-4A0E-82F3-11C3A8E5C955}"/>
    <cellStyle name="Style 85 5 2 4 2 4 2 2" xfId="34087" xr:uid="{365568A5-B25A-479B-B85E-3B3FF83D1B0B}"/>
    <cellStyle name="Style 85 5 2 4 2 4 3" xfId="28123" xr:uid="{C84FC8E3-5359-4CE3-BF31-55416542351F}"/>
    <cellStyle name="Style 85 5 2 4 2 5" xfId="15418" xr:uid="{1EED58BA-805A-4B69-A0BC-7C72C852C834}"/>
    <cellStyle name="Style 85 5 2 4 2 5 2" xfId="34088" xr:uid="{7470179B-0827-4440-A32F-5CAC1FE92EBD}"/>
    <cellStyle name="Style 85 5 2 4 2 6" xfId="15419" xr:uid="{B8F48158-987C-48C9-9DA1-2217B8939375}"/>
    <cellStyle name="Style 85 5 2 4 2 6 2" xfId="34089" xr:uid="{AF94A81E-6BE4-4576-AD0D-88364D3A04C3}"/>
    <cellStyle name="Style 85 5 2 4 2 7" xfId="15420" xr:uid="{159B4BA4-B19D-4C87-B180-D03568671AEB}"/>
    <cellStyle name="Style 85 5 2 4 2 7 2" xfId="34090" xr:uid="{CE2F2344-1653-4FE1-B9DE-4B62CA7D443D}"/>
    <cellStyle name="Style 85 5 2 4 2 8" xfId="15421" xr:uid="{A3891813-2FF6-45DC-9256-5F5CA0165D1B}"/>
    <cellStyle name="Style 85 5 2 4 2 8 2" xfId="34091" xr:uid="{979BBCE4-317F-4C06-BED8-F4DFBCF229F3}"/>
    <cellStyle name="Style 85 5 2 4 2 9" xfId="15422" xr:uid="{0F5477D1-33FB-4EA9-A7EF-3CA04260FC38}"/>
    <cellStyle name="Style 85 5 2 4 2 9 2" xfId="34092" xr:uid="{8DA498AE-2087-45E3-8351-07556A725B3C}"/>
    <cellStyle name="Style 85 5 2 4 3" xfId="7270" xr:uid="{A017F53E-A02D-442F-AE9A-2AB4C626E10A}"/>
    <cellStyle name="Style 85 5 2 4 3 2" xfId="15423" xr:uid="{DB76D34F-1A7C-47CA-A654-06C366A63B94}"/>
    <cellStyle name="Style 85 5 2 4 3 2 2" xfId="34093" xr:uid="{68E7CA0D-CD0A-46E1-BC8A-1DB6BE1BB81B}"/>
    <cellStyle name="Style 85 5 2 4 3 3" xfId="15424" xr:uid="{22683BC8-BD05-4A1B-B220-D61709A8957B}"/>
    <cellStyle name="Style 85 5 2 4 3 3 2" xfId="34094" xr:uid="{A0F0E5C6-F720-451E-BE6F-929E716FC82D}"/>
    <cellStyle name="Style 85 5 2 4 4" xfId="7267" xr:uid="{C7E5DDF4-66C0-4D50-9F33-8AC02F9E1511}"/>
    <cellStyle name="Style 85 5 2 4 4 2" xfId="15425" xr:uid="{FE11199F-099E-4C52-8716-1B9B7D18A5F0}"/>
    <cellStyle name="Style 85 5 2 4 4 2 2" xfId="34095" xr:uid="{4EC5109B-3499-4911-AC9A-60F80CED886E}"/>
    <cellStyle name="Style 85 5 2 4 5" xfId="15426" xr:uid="{295C66BD-E0CB-4402-A66E-91C383663723}"/>
    <cellStyle name="Style 85 5 2 4 5 2" xfId="15427" xr:uid="{3BD314BA-0D88-41AF-BE03-4E46E2C931D8}"/>
    <cellStyle name="Style 85 5 2 4 5 2 2" xfId="34096" xr:uid="{812E94AD-73E4-4825-B116-57E3CC439B2F}"/>
    <cellStyle name="Style 85 5 2 4 5 3" xfId="28122" xr:uid="{260A6FEA-8EA5-4E77-B1F9-301FFD7B78E5}"/>
    <cellStyle name="Style 85 5 2 4 6" xfId="15428" xr:uid="{4E191E48-7C5C-4856-B35E-FCEE0970485D}"/>
    <cellStyle name="Style 85 5 2 4 6 2" xfId="34097" xr:uid="{73E18847-3CE9-4277-B685-EDED72441D4B}"/>
    <cellStyle name="Style 85 5 2 4 7" xfId="15429" xr:uid="{FA015AB2-B13F-499E-9AA3-AC6DC615FAB0}"/>
    <cellStyle name="Style 85 5 2 4 7 2" xfId="34098" xr:uid="{67E8D2FA-CC51-4511-A3BB-AF7AA2589BA7}"/>
    <cellStyle name="Style 85 5 2 4 8" xfId="15430" xr:uid="{9E1B2145-80AF-498D-AA42-711D3EAB2298}"/>
    <cellStyle name="Style 85 5 2 4 8 2" xfId="34099" xr:uid="{83FE1338-5407-4750-8205-55FA9E6F929B}"/>
    <cellStyle name="Style 85 5 2 4 9" xfId="15431" xr:uid="{6CE9419A-16E4-4321-9632-6F31BFB442FD}"/>
    <cellStyle name="Style 85 5 2 4 9 2" xfId="34100" xr:uid="{C2B26FD5-0E07-40C5-AD2B-F88DB5D533ED}"/>
    <cellStyle name="Style 85 5 2 5" xfId="7271" xr:uid="{1B12C426-A03B-4FCB-8711-D98253B1CA3A}"/>
    <cellStyle name="Style 85 5 2 5 2" xfId="15432" xr:uid="{27E5A2D4-BC1F-4C3B-8247-E725297B2B3E}"/>
    <cellStyle name="Style 85 5 2 5 2 2" xfId="34101" xr:uid="{497C89CF-BECA-4CB0-BB5F-C0ABED9FD015}"/>
    <cellStyle name="Style 85 5 2 5 3" xfId="15433" xr:uid="{3E794A4C-63E1-4F47-87E5-9CB983C12737}"/>
    <cellStyle name="Style 85 5 2 5 3 2" xfId="34102" xr:uid="{35A011ED-464B-46BE-90FA-FA3011298FCA}"/>
    <cellStyle name="Style 85 5 2 6" xfId="7272" xr:uid="{A855DCD9-8F96-4D7B-A480-750EEE6C585C}"/>
    <cellStyle name="Style 85 5 2 6 2" xfId="15434" xr:uid="{6840F321-8782-4AFA-AE02-5877D340916D}"/>
    <cellStyle name="Style 85 5 2 6 2 2" xfId="34103" xr:uid="{853D00CF-BCC7-452C-A01D-BC90B90AEAF3}"/>
    <cellStyle name="Style 85 5 2 7" xfId="7257" xr:uid="{68F0701C-B438-476F-B111-C41B715DA66C}"/>
    <cellStyle name="Style 85 5 2 7 2" xfId="15435" xr:uid="{929693DA-14A3-4927-8B86-287833133EF5}"/>
    <cellStyle name="Style 85 5 2 7 2 2" xfId="34104" xr:uid="{EE17BDB9-5E10-4BA6-A485-6EC17A14F73F}"/>
    <cellStyle name="Style 85 5 2 8" xfId="15436" xr:uid="{3AC7A493-BC7B-4F69-AE5C-2855A56A649F}"/>
    <cellStyle name="Style 85 5 2 8 2" xfId="15437" xr:uid="{DE8A16AD-75E3-4F39-9F32-C0A58D977AB9}"/>
    <cellStyle name="Style 85 5 2 8 2 2" xfId="34105" xr:uid="{8A47D207-FD53-4A12-A134-9300837CAB7E}"/>
    <cellStyle name="Style 85 5 2 8 3" xfId="28118" xr:uid="{5E660555-FAF0-4CBB-AE6D-991556F956D5}"/>
    <cellStyle name="Style 85 5 2 9" xfId="15438" xr:uid="{5E595C9A-E732-4B13-9E66-730BA31FACF8}"/>
    <cellStyle name="Style 85 5 2 9 2" xfId="34106" xr:uid="{D082B2C5-8C84-412A-95FE-D4E1BB7894CD}"/>
    <cellStyle name="Style 85 5 3" xfId="3577" xr:uid="{9D09729E-311F-4A95-8FB3-C63327B03DBE}"/>
    <cellStyle name="Style 85 5 3 10" xfId="15439" xr:uid="{063D4595-192E-4DC2-948F-9449B6E3C3F0}"/>
    <cellStyle name="Style 85 5 3 10 2" xfId="34107" xr:uid="{0F955A76-83FF-481C-A875-F3A5C3764A98}"/>
    <cellStyle name="Style 85 5 3 11" xfId="15440" xr:uid="{E2686665-2506-41D6-8B85-CA7E3AD6A56C}"/>
    <cellStyle name="Style 85 5 3 11 2" xfId="34108" xr:uid="{1FE11222-F567-483F-B9C2-65E7BF5C43DA}"/>
    <cellStyle name="Style 85 5 3 12" xfId="15441" xr:uid="{3E48E82E-3B11-4163-BCCA-ADC14D06AE90}"/>
    <cellStyle name="Style 85 5 3 12 2" xfId="34109" xr:uid="{83208CF7-DF8F-4945-9731-C5042436ADBB}"/>
    <cellStyle name="Style 85 5 3 13" xfId="15442" xr:uid="{C8DC9940-A994-464C-AD18-B26518D88457}"/>
    <cellStyle name="Style 85 5 3 13 2" xfId="34110" xr:uid="{F609AE73-D503-47D8-917A-E4EFDE15290A}"/>
    <cellStyle name="Style 85 5 3 14" xfId="24145" xr:uid="{5F5B51C7-5D90-4F4F-968D-2D6AB0AF40B3}"/>
    <cellStyle name="Style 85 5 3 2" xfId="7274" xr:uid="{9B27C2DE-C81D-4DC9-A75F-F514D0E41D6D}"/>
    <cellStyle name="Style 85 5 3 2 2" xfId="15443" xr:uid="{D5B20835-BDB6-493A-9F26-4CF4426B65D6}"/>
    <cellStyle name="Style 85 5 3 2 2 2" xfId="34111" xr:uid="{06C07BAF-1D23-4F6C-B9E0-F51C3C581CA0}"/>
    <cellStyle name="Style 85 5 3 2 3" xfId="15444" xr:uid="{3D5B61B1-FD0D-48D0-8AEB-7D806FAFC525}"/>
    <cellStyle name="Style 85 5 3 2 3 2" xfId="34112" xr:uid="{0BF8E158-7597-40AC-B72C-3DF69273AED1}"/>
    <cellStyle name="Style 85 5 3 3" xfId="7273" xr:uid="{A5E28B94-0D0C-4C8F-842B-F2AA2895FF6D}"/>
    <cellStyle name="Style 85 5 3 3 2" xfId="15445" xr:uid="{1FAFDAAC-978A-4058-B98B-69DDC749CE24}"/>
    <cellStyle name="Style 85 5 3 3 2 2" xfId="34113" xr:uid="{5C964A9A-5D7E-44E6-AC0E-05171AD3E194}"/>
    <cellStyle name="Style 85 5 3 4" xfId="15446" xr:uid="{982E0C23-EE76-4734-BA40-4806D2A9E6F2}"/>
    <cellStyle name="Style 85 5 3 4 2" xfId="15447" xr:uid="{5248D0D9-64AD-489E-AD76-BC5E7E1B42BB}"/>
    <cellStyle name="Style 85 5 3 4 2 2" xfId="34114" xr:uid="{194D64D1-4635-4F23-A093-3DA483285485}"/>
    <cellStyle name="Style 85 5 3 4 3" xfId="28124" xr:uid="{781D0141-B759-4827-A1FC-C4E5F37BD129}"/>
    <cellStyle name="Style 85 5 3 5" xfId="15448" xr:uid="{46D8DF61-073D-46BD-8320-21ADAECA4ADF}"/>
    <cellStyle name="Style 85 5 3 5 2" xfId="34115" xr:uid="{DEE0AB30-BCC1-48A4-820B-07680F98CFE2}"/>
    <cellStyle name="Style 85 5 3 6" xfId="15449" xr:uid="{6193D18C-2BB2-462A-AED4-AA7331F05CAB}"/>
    <cellStyle name="Style 85 5 3 6 2" xfId="34116" xr:uid="{851794F7-B3B4-4EE0-938B-6770FA5E7A49}"/>
    <cellStyle name="Style 85 5 3 7" xfId="15450" xr:uid="{7D4409E8-2303-4455-9C0B-CF808FDF8F50}"/>
    <cellStyle name="Style 85 5 3 7 2" xfId="34117" xr:uid="{6CCE9323-32B5-4BB0-8B11-61C2AC14E675}"/>
    <cellStyle name="Style 85 5 3 8" xfId="15451" xr:uid="{5AAA09FE-B839-4D3F-844A-5C443EBC3E3C}"/>
    <cellStyle name="Style 85 5 3 8 2" xfId="34118" xr:uid="{FE144BE0-309C-47C9-B515-7941015F9C21}"/>
    <cellStyle name="Style 85 5 3 9" xfId="15452" xr:uid="{731A6ABA-18A9-4EE8-A9C5-3550FA278884}"/>
    <cellStyle name="Style 85 5 3 9 2" xfId="34119" xr:uid="{A523AF5B-9E54-43D0-9356-F7935A07E274}"/>
    <cellStyle name="Style 85 5 4" xfId="7275" xr:uid="{B5243BD2-3AD0-4810-9921-F3820C3561B9}"/>
    <cellStyle name="Style 85 5 4 2" xfId="7276" xr:uid="{8C891C17-49F3-4884-8895-6C568D5FEC6D}"/>
    <cellStyle name="Style 85 5 4 2 2" xfId="15453" xr:uid="{870589DC-D59B-418D-8F38-D2AEBEF93626}"/>
    <cellStyle name="Style 85 5 4 2 2 2" xfId="34120" xr:uid="{F323AD27-CDC8-4BE7-BECE-642A20E92825}"/>
    <cellStyle name="Style 85 5 4 2 3" xfId="15454" xr:uid="{5075414C-239C-4B49-82B4-028109E574DE}"/>
    <cellStyle name="Style 85 5 4 2 3 2" xfId="34121" xr:uid="{83792D09-B76C-4E1C-A86B-3D8ADA3ED10C}"/>
    <cellStyle name="Style 85 5 4 3" xfId="7277" xr:uid="{13BB6593-0E82-42F9-A99B-10F27B6A920A}"/>
    <cellStyle name="Style 85 5 4 3 2" xfId="15455" xr:uid="{1D0D07ED-2026-438C-A016-111BB444B5BC}"/>
    <cellStyle name="Style 85 5 4 3 2 2" xfId="34122" xr:uid="{D48B9FAF-3009-47F4-BD07-D93F0F35BCC6}"/>
    <cellStyle name="Style 85 5 4 4" xfId="15456" xr:uid="{F5835E68-AFE6-417D-BB0A-8BAC0D0885E9}"/>
    <cellStyle name="Style 85 5 4 4 2" xfId="34123" xr:uid="{A86A1424-A6CE-40AD-85F4-69C88946A9B7}"/>
    <cellStyle name="Style 85 5 4 5" xfId="15457" xr:uid="{52C3CE39-C0A6-426C-BDF4-309CB2A123D4}"/>
    <cellStyle name="Style 85 5 4 5 2" xfId="34124" xr:uid="{B3CF46B9-D69D-40AF-905E-CE743EFF55EF}"/>
    <cellStyle name="Style 85 5 4 6" xfId="24146" xr:uid="{613E5FF6-7812-4863-983E-A4C1BAA63DCF}"/>
    <cellStyle name="Style 85 5 5" xfId="7278" xr:uid="{7123EE6A-D766-48D9-84EB-4A7F8B403AFB}"/>
    <cellStyle name="Style 85 5 5 2" xfId="15458" xr:uid="{7E9128DF-7CF4-4CB8-A439-3B6144DD739A}"/>
    <cellStyle name="Style 85 5 5 2 2" xfId="34125" xr:uid="{98081758-0F10-4E4E-80C8-FE2147957E80}"/>
    <cellStyle name="Style 85 5 5 3" xfId="15459" xr:uid="{3F285001-4B98-40D6-AF36-DCD55CE61723}"/>
    <cellStyle name="Style 85 5 5 3 2" xfId="34126" xr:uid="{1F3E1A5A-DF52-425E-A7CA-9E4A8E664E34}"/>
    <cellStyle name="Style 85 5 6" xfId="7256" xr:uid="{F59CB74F-DAF7-4DF5-BB1A-466B2C7C7BF1}"/>
    <cellStyle name="Style 85 5 6 2" xfId="15460" xr:uid="{0D339C79-092E-4713-9837-8CA9D5D0D1DF}"/>
    <cellStyle name="Style 85 5 6 2 2" xfId="34127" xr:uid="{8F80EEAD-45DA-4226-9A71-AC654F9C4850}"/>
    <cellStyle name="Style 85 5 7" xfId="4449" xr:uid="{0988B148-5B63-47B9-9C07-630022BE0FB4}"/>
    <cellStyle name="Style 85 5 7 2" xfId="15461" xr:uid="{3EBC767F-02C8-42AE-B3D1-1BD8CCF8DB9C}"/>
    <cellStyle name="Style 85 5 7 2 2" xfId="34128" xr:uid="{5D465A7C-A989-41F2-9133-2D1B10BEA4C9}"/>
    <cellStyle name="Style 85 5 7 3" xfId="26715" xr:uid="{76B8ECCD-B71D-49A8-9CD5-861988C89731}"/>
    <cellStyle name="Style 85 5 8" xfId="15462" xr:uid="{461DDA44-FDAC-4625-A541-55F6CEAC5465}"/>
    <cellStyle name="Style 85 5 8 2" xfId="15463" xr:uid="{506DE1C1-FD88-424B-8E56-B18BB7C6AA44}"/>
    <cellStyle name="Style 85 5 8 2 2" xfId="34129" xr:uid="{4EC89C54-5E54-4E7A-AF9E-EBDDC7E7256F}"/>
    <cellStyle name="Style 85 5 8 3" xfId="28117" xr:uid="{AC5345B1-A8AB-4FFC-998D-0328235107CA}"/>
    <cellStyle name="Style 85 5 9" xfId="15464" xr:uid="{12EF5458-B15F-4030-9990-C612F0F67CDA}"/>
    <cellStyle name="Style 85 5 9 2" xfId="34130" xr:uid="{08F6D692-6871-4479-9082-70193E05F9D9}"/>
    <cellStyle name="Style 85 6" xfId="3578" xr:uid="{F8FE0598-4F4B-4AFE-A465-D0521D157615}"/>
    <cellStyle name="Style 85 6 10" xfId="15465" xr:uid="{E7EC958D-0D0C-40EB-A0CB-CE6AB0A2D2D7}"/>
    <cellStyle name="Style 85 6 10 2" xfId="34131" xr:uid="{D3D4AB39-008B-4078-81B9-05C6337D748E}"/>
    <cellStyle name="Style 85 6 11" xfId="15466" xr:uid="{A2CC2963-E3C7-4070-B27A-1CA0B616975D}"/>
    <cellStyle name="Style 85 6 11 2" xfId="34132" xr:uid="{863E7706-1E3C-4BB8-B36C-CDBC5846DD14}"/>
    <cellStyle name="Style 85 6 12" xfId="15467" xr:uid="{A9D28875-04E0-418D-8594-49BB7FB4050C}"/>
    <cellStyle name="Style 85 6 12 2" xfId="34133" xr:uid="{A128650D-DC71-4F77-AC40-A0FE10DC50E7}"/>
    <cellStyle name="Style 85 6 13" xfId="15468" xr:uid="{C390B1F4-0FEB-4800-A983-EF6B1B211A81}"/>
    <cellStyle name="Style 85 6 13 2" xfId="34134" xr:uid="{5DA12C82-1FDC-479F-BBB6-7CD5F0577874}"/>
    <cellStyle name="Style 85 6 14" xfId="15469" xr:uid="{2F72075D-B6BB-4A9E-811F-5110B792E369}"/>
    <cellStyle name="Style 85 6 14 2" xfId="34135" xr:uid="{C8B3B20E-6826-466E-99F6-7633301EEE7B}"/>
    <cellStyle name="Style 85 6 15" xfId="15470" xr:uid="{4AE473A3-5F1B-45D7-A284-BC3BF5D975C1}"/>
    <cellStyle name="Style 85 6 15 2" xfId="34136" xr:uid="{EA8B0B91-6D30-4F82-8789-C98F66596B46}"/>
    <cellStyle name="Style 85 6 16" xfId="15471" xr:uid="{28E865EE-C70F-47EB-A74F-A93765256261}"/>
    <cellStyle name="Style 85 6 16 2" xfId="34137" xr:uid="{016959FA-DE85-4094-AAE4-822F5E43CCA2}"/>
    <cellStyle name="Style 85 6 17" xfId="15472" xr:uid="{1A6C5D8D-B9B7-42DD-BC76-31519545FEA5}"/>
    <cellStyle name="Style 85 6 17 2" xfId="34138" xr:uid="{98B693E5-69AC-4FC1-865A-B4387589AC86}"/>
    <cellStyle name="Style 85 6 18" xfId="24147" xr:uid="{F7BC6556-0EDA-4451-B72F-6C1AAF444ABE}"/>
    <cellStyle name="Style 85 6 2" xfId="3579" xr:uid="{479233B1-6343-492F-9E7C-3F565C7287D3}"/>
    <cellStyle name="Style 85 6 2 10" xfId="15473" xr:uid="{0B1E4021-634C-44CA-AC9E-A9784FD97D55}"/>
    <cellStyle name="Style 85 6 2 10 2" xfId="34139" xr:uid="{6EA3837D-E330-4BA4-91BA-891F2ABE142F}"/>
    <cellStyle name="Style 85 6 2 11" xfId="15474" xr:uid="{C344FA82-7B85-43B4-BC7A-6A325B707E73}"/>
    <cellStyle name="Style 85 6 2 11 2" xfId="34140" xr:uid="{BB489B95-B2A4-4B26-83E2-37D1DA7A146D}"/>
    <cellStyle name="Style 85 6 2 12" xfId="15475" xr:uid="{D36CC6A5-8043-460A-A72C-A9FBF26D3521}"/>
    <cellStyle name="Style 85 6 2 12 2" xfId="34141" xr:uid="{7608018E-16CE-4855-A6F5-927892B63CBA}"/>
    <cellStyle name="Style 85 6 2 13" xfId="15476" xr:uid="{BCF89308-EA41-45B1-B4C4-31C10A529FB3}"/>
    <cellStyle name="Style 85 6 2 13 2" xfId="34142" xr:uid="{DDBF2915-FB96-49B6-8942-FADB30CF8199}"/>
    <cellStyle name="Style 85 6 2 14" xfId="24148" xr:uid="{CAD141E0-8B56-4B2E-BA87-7D3BBC411652}"/>
    <cellStyle name="Style 85 6 2 2" xfId="7281" xr:uid="{A7E7220B-4243-44D5-8FCE-E89933473AFD}"/>
    <cellStyle name="Style 85 6 2 2 2" xfId="15477" xr:uid="{79548229-EC6C-4935-B1F4-B0BB5C08EC7C}"/>
    <cellStyle name="Style 85 6 2 2 2 2" xfId="34143" xr:uid="{D5331DF9-A18C-40A9-8FCB-1233BA789421}"/>
    <cellStyle name="Style 85 6 2 2 3" xfId="15478" xr:uid="{7B35834B-6B01-4631-9C70-E2D441434972}"/>
    <cellStyle name="Style 85 6 2 2 3 2" xfId="34144" xr:uid="{0854995D-CC56-4450-BD31-28A5B6C6FF02}"/>
    <cellStyle name="Style 85 6 2 3" xfId="7280" xr:uid="{24336B10-2C3F-407B-869F-1037C70819AE}"/>
    <cellStyle name="Style 85 6 2 3 2" xfId="15479" xr:uid="{D0EF121A-8F4F-4498-BC46-1529DE128C48}"/>
    <cellStyle name="Style 85 6 2 3 2 2" xfId="34145" xr:uid="{76C4F77E-33D0-4681-B163-8722537CC44A}"/>
    <cellStyle name="Style 85 6 2 4" xfId="15480" xr:uid="{336A33D6-6758-4693-B99C-7F05BE8529A5}"/>
    <cellStyle name="Style 85 6 2 4 2" xfId="15481" xr:uid="{762BDF7E-D3F7-4075-A43E-31BA972DDCC5}"/>
    <cellStyle name="Style 85 6 2 4 2 2" xfId="34146" xr:uid="{590EEA9C-F2EE-45C7-8107-5669C723BFDF}"/>
    <cellStyle name="Style 85 6 2 4 3" xfId="28126" xr:uid="{C6E75422-A8F1-45E0-A7AA-1974421BBDD3}"/>
    <cellStyle name="Style 85 6 2 5" xfId="15482" xr:uid="{838DB9CE-6A6F-4AAD-A5AD-8C08F3EE2E27}"/>
    <cellStyle name="Style 85 6 2 5 2" xfId="34147" xr:uid="{4C259B6B-0051-4770-B894-E9A8AA91F3F7}"/>
    <cellStyle name="Style 85 6 2 6" xfId="15483" xr:uid="{D61EBE88-95AB-4099-84DF-2381C9E3F4F2}"/>
    <cellStyle name="Style 85 6 2 6 2" xfId="34148" xr:uid="{D7381DD1-4658-40A3-921D-0A755DD610A4}"/>
    <cellStyle name="Style 85 6 2 7" xfId="15484" xr:uid="{408A732B-65AC-4B05-AA0D-D0CB6C16133A}"/>
    <cellStyle name="Style 85 6 2 7 2" xfId="34149" xr:uid="{47501332-4952-4A93-8A26-64A83676EC93}"/>
    <cellStyle name="Style 85 6 2 8" xfId="15485" xr:uid="{D193F1A7-654E-4356-98FF-B2069BED1732}"/>
    <cellStyle name="Style 85 6 2 8 2" xfId="34150" xr:uid="{03F91BC7-4A68-411D-BD06-A7958E7D2085}"/>
    <cellStyle name="Style 85 6 2 9" xfId="15486" xr:uid="{6ECD5BF4-546D-494A-97F2-B43F0C98EB28}"/>
    <cellStyle name="Style 85 6 2 9 2" xfId="34151" xr:uid="{7CF40332-2354-436F-B397-8C4A85384263}"/>
    <cellStyle name="Style 85 6 3" xfId="3580" xr:uid="{DDCC27DF-94D8-466A-9B50-3B92115022F6}"/>
    <cellStyle name="Style 85 6 3 10" xfId="15487" xr:uid="{457DB04F-241B-4799-B96C-D8180D558099}"/>
    <cellStyle name="Style 85 6 3 10 2" xfId="34152" xr:uid="{37C6B93D-16E9-42D8-B7E5-AB5F38A629CD}"/>
    <cellStyle name="Style 85 6 3 11" xfId="15488" xr:uid="{6250C4B0-2EA5-4720-B598-FA86C7382908}"/>
    <cellStyle name="Style 85 6 3 11 2" xfId="34153" xr:uid="{8678C0B7-075A-4762-B818-C31AF49811FD}"/>
    <cellStyle name="Style 85 6 3 12" xfId="15489" xr:uid="{1E907E1E-D7D0-4FAA-BE19-BCAEB5EAEA31}"/>
    <cellStyle name="Style 85 6 3 12 2" xfId="34154" xr:uid="{E813186B-7B53-48B2-B018-2253115969DF}"/>
    <cellStyle name="Style 85 6 3 13" xfId="15490" xr:uid="{93432C0B-4123-4AD3-97FD-C52132C3F031}"/>
    <cellStyle name="Style 85 6 3 13 2" xfId="34155" xr:uid="{21835017-9076-46E1-92F2-0491ADD9371E}"/>
    <cellStyle name="Style 85 6 3 14" xfId="15491" xr:uid="{F0F01E41-2263-4C4F-9BC8-8CA63B30524F}"/>
    <cellStyle name="Style 85 6 3 14 2" xfId="34156" xr:uid="{EB7FDB35-1770-46F1-AD48-38A3AD20744F}"/>
    <cellStyle name="Style 85 6 3 15" xfId="15492" xr:uid="{0206FE3B-4D33-4E8D-BB84-D03153596F71}"/>
    <cellStyle name="Style 85 6 3 15 2" xfId="34157" xr:uid="{1A2D1ABD-80A5-4420-9D4D-A7BEA26CCD73}"/>
    <cellStyle name="Style 85 6 3 16" xfId="24149" xr:uid="{B7817945-401E-412A-9E4D-DDA22AC34078}"/>
    <cellStyle name="Style 85 6 3 2" xfId="3581" xr:uid="{501ED285-B5AF-4612-B493-B1774A060FD9}"/>
    <cellStyle name="Style 85 6 3 2 10" xfId="15493" xr:uid="{86746DA5-53F8-4FD0-BC30-3B7FBEC2047A}"/>
    <cellStyle name="Style 85 6 3 2 10 2" xfId="34158" xr:uid="{EC0BE9AD-E0D7-42C2-9AC3-498A0BF6A3A3}"/>
    <cellStyle name="Style 85 6 3 2 11" xfId="15494" xr:uid="{346DA1B0-92FE-4346-99C6-D79C2C58DA66}"/>
    <cellStyle name="Style 85 6 3 2 11 2" xfId="34159" xr:uid="{93AEB90F-24CC-462F-A832-47808460E4D5}"/>
    <cellStyle name="Style 85 6 3 2 12" xfId="15495" xr:uid="{4A5F5000-2C44-40F9-9085-D5DBC111021D}"/>
    <cellStyle name="Style 85 6 3 2 12 2" xfId="34160" xr:uid="{2D5052E6-0929-4C94-83BC-DF686F620BA6}"/>
    <cellStyle name="Style 85 6 3 2 13" xfId="15496" xr:uid="{707D6563-10EA-4842-97D4-E17EB778F2E5}"/>
    <cellStyle name="Style 85 6 3 2 13 2" xfId="34161" xr:uid="{511CB766-58D6-4C20-9725-547F9F8FCA42}"/>
    <cellStyle name="Style 85 6 3 2 14" xfId="24150" xr:uid="{1F34B1A7-5586-49D4-B702-28A0C222E1CE}"/>
    <cellStyle name="Style 85 6 3 2 2" xfId="7284" xr:uid="{8018D120-07AE-4C8E-BDD2-1C25AE45DF88}"/>
    <cellStyle name="Style 85 6 3 2 2 2" xfId="15497" xr:uid="{A40B5DAC-DB3D-4B27-958E-3029DE93C7E7}"/>
    <cellStyle name="Style 85 6 3 2 2 2 2" xfId="34162" xr:uid="{0058735B-D249-459C-B687-AD15AA84A2FB}"/>
    <cellStyle name="Style 85 6 3 2 2 3" xfId="15498" xr:uid="{69424BE0-A248-403A-9227-7379B6EDD6C4}"/>
    <cellStyle name="Style 85 6 3 2 2 3 2" xfId="34163" xr:uid="{BCE59C59-2C36-46FE-9A71-E173FF0DD591}"/>
    <cellStyle name="Style 85 6 3 2 3" xfId="7283" xr:uid="{779EA5FD-9326-4E4E-91B4-96AC2929FD5F}"/>
    <cellStyle name="Style 85 6 3 2 3 2" xfId="15499" xr:uid="{0F619AD2-6D23-4DDD-B7F2-84D19B391835}"/>
    <cellStyle name="Style 85 6 3 2 3 2 2" xfId="34164" xr:uid="{6C4F5DD3-D16C-477E-B4DB-6778719D58C4}"/>
    <cellStyle name="Style 85 6 3 2 4" xfId="15500" xr:uid="{D685588D-F925-467C-8850-7950AADEFF93}"/>
    <cellStyle name="Style 85 6 3 2 4 2" xfId="15501" xr:uid="{711FDEB6-6FF6-4161-B244-D078CE70EDBA}"/>
    <cellStyle name="Style 85 6 3 2 4 2 2" xfId="34165" xr:uid="{3A35B481-26F3-43C4-A1B9-439A95BE9B5F}"/>
    <cellStyle name="Style 85 6 3 2 4 3" xfId="28128" xr:uid="{1408C6AB-57B7-480C-9394-EF6717A0D436}"/>
    <cellStyle name="Style 85 6 3 2 5" xfId="15502" xr:uid="{170BF1D1-6827-4198-97F4-6EDD7A5C7827}"/>
    <cellStyle name="Style 85 6 3 2 5 2" xfId="34166" xr:uid="{439FCBE9-AA04-4B4E-BE67-4714AC9B5665}"/>
    <cellStyle name="Style 85 6 3 2 6" xfId="15503" xr:uid="{0FF4D379-9B18-4EB9-B634-00E609680D45}"/>
    <cellStyle name="Style 85 6 3 2 6 2" xfId="34167" xr:uid="{26F80D74-D1CE-4BB3-B41A-D6095F5DEAF8}"/>
    <cellStyle name="Style 85 6 3 2 7" xfId="15504" xr:uid="{5AB00FFE-E71F-48D7-90FB-FDA1794E061B}"/>
    <cellStyle name="Style 85 6 3 2 7 2" xfId="34168" xr:uid="{B246E1A5-6689-438D-80E2-F9AE4B763594}"/>
    <cellStyle name="Style 85 6 3 2 8" xfId="15505" xr:uid="{2C5AECB8-EC43-4F0B-A188-6531FB9FEA03}"/>
    <cellStyle name="Style 85 6 3 2 8 2" xfId="34169" xr:uid="{28F316E6-AFB2-437A-85BF-46CE07E1948E}"/>
    <cellStyle name="Style 85 6 3 2 9" xfId="15506" xr:uid="{8A3BD89A-DDA9-4137-B85D-93E4523844AE}"/>
    <cellStyle name="Style 85 6 3 2 9 2" xfId="34170" xr:uid="{13D44064-4626-43D1-A0EB-48DAC80C9C15}"/>
    <cellStyle name="Style 85 6 3 3" xfId="7285" xr:uid="{2CFE8905-7397-4CDD-BE7E-0DED1E7C2C74}"/>
    <cellStyle name="Style 85 6 3 3 2" xfId="7286" xr:uid="{9263EF34-FACA-44F5-8895-7903988FC78B}"/>
    <cellStyle name="Style 85 6 3 3 2 2" xfId="15507" xr:uid="{4011F517-7CB5-4985-834D-1D4E5A2B3E3E}"/>
    <cellStyle name="Style 85 6 3 3 2 2 2" xfId="34171" xr:uid="{1F79F431-570D-4DA5-81D4-317EA44561B5}"/>
    <cellStyle name="Style 85 6 3 3 2 3" xfId="15508" xr:uid="{C8B75901-F4BB-4375-A215-550835ACD0B4}"/>
    <cellStyle name="Style 85 6 3 3 2 3 2" xfId="34172" xr:uid="{2F645C85-A79C-45D0-A40D-DE4EEADE9F2E}"/>
    <cellStyle name="Style 85 6 3 3 3" xfId="15509" xr:uid="{CA848C00-43C2-48C1-8F3B-0D0EEE2FBBB7}"/>
    <cellStyle name="Style 85 6 3 3 3 2" xfId="34173" xr:uid="{C53C0569-A655-49A5-8BCE-CE3040B3B5A3}"/>
    <cellStyle name="Style 85 6 3 3 4" xfId="15510" xr:uid="{656F2A93-EAB0-47C6-B79A-EB71F146DB1F}"/>
    <cellStyle name="Style 85 6 3 3 4 2" xfId="34174" xr:uid="{CAA8070E-CA23-4E07-ACCF-8662BA906FB7}"/>
    <cellStyle name="Style 85 6 3 3 5" xfId="15511" xr:uid="{6D173A8A-9633-4180-BD86-872F2CFB348E}"/>
    <cellStyle name="Style 85 6 3 3 5 2" xfId="34175" xr:uid="{68A952A3-0B82-4C1C-857B-3939F5B1ACEC}"/>
    <cellStyle name="Style 85 6 3 3 6" xfId="24151" xr:uid="{60C899D1-7064-47B8-9BAF-E7489AEB6428}"/>
    <cellStyle name="Style 85 6 3 4" xfId="7287" xr:uid="{EF767805-60CC-4AEE-B054-A98112795B9B}"/>
    <cellStyle name="Style 85 6 3 4 2" xfId="15512" xr:uid="{01CFD9B2-A7EC-4FD9-BE57-0EEC65B7346C}"/>
    <cellStyle name="Style 85 6 3 4 2 2" xfId="34176" xr:uid="{4857BE0A-8A76-41FD-B6C1-7CD8E8402442}"/>
    <cellStyle name="Style 85 6 3 4 3" xfId="15513" xr:uid="{BE9237AB-E248-458A-B1DB-29A1241EA594}"/>
    <cellStyle name="Style 85 6 3 4 3 2" xfId="34177" xr:uid="{2EC51F41-FFE8-4378-8988-15D96949157B}"/>
    <cellStyle name="Style 85 6 3 5" xfId="7288" xr:uid="{25B6433D-D293-429F-9973-92EAA1DDBC86}"/>
    <cellStyle name="Style 85 6 3 5 2" xfId="15514" xr:uid="{65C4D1F6-26AB-4958-9032-E2C5B588DCAA}"/>
    <cellStyle name="Style 85 6 3 5 2 2" xfId="34178" xr:uid="{8A21D2D7-54CA-4180-9366-58083F87B845}"/>
    <cellStyle name="Style 85 6 3 6" xfId="7282" xr:uid="{2E15EF50-24EC-4491-B36E-BE7738BF4E50}"/>
    <cellStyle name="Style 85 6 3 6 2" xfId="15515" xr:uid="{2405095B-6216-4DF9-AFF8-EC24AF6BBFF9}"/>
    <cellStyle name="Style 85 6 3 6 2 2" xfId="34179" xr:uid="{B81EDB95-9548-4715-86C1-105406DE4315}"/>
    <cellStyle name="Style 85 6 3 7" xfId="15516" xr:uid="{9510D75B-9405-4BD3-97F1-6490FC958F6B}"/>
    <cellStyle name="Style 85 6 3 7 2" xfId="15517" xr:uid="{863B0290-D7F4-4C3C-87B4-62194C07D243}"/>
    <cellStyle name="Style 85 6 3 7 2 2" xfId="34180" xr:uid="{CC060148-5928-424C-9863-FED94DE0805A}"/>
    <cellStyle name="Style 85 6 3 7 3" xfId="28127" xr:uid="{8A2D24EF-196A-4250-A173-D6C9BE2D3E80}"/>
    <cellStyle name="Style 85 6 3 8" xfId="15518" xr:uid="{2360D462-561C-4BA0-8CC8-1A5467C65F45}"/>
    <cellStyle name="Style 85 6 3 8 2" xfId="34181" xr:uid="{6AF42A7B-F38A-44D4-A001-44D0C5C285CD}"/>
    <cellStyle name="Style 85 6 3 9" xfId="15519" xr:uid="{A2AD6FC6-5251-4737-8C06-5597353396AD}"/>
    <cellStyle name="Style 85 6 3 9 2" xfId="34182" xr:uid="{371C6798-B063-4D58-80B1-CE4BA707E2C3}"/>
    <cellStyle name="Style 85 6 4" xfId="3582" xr:uid="{E5A0B6E8-5740-4887-9E3D-5CD473443F73}"/>
    <cellStyle name="Style 85 6 4 10" xfId="15520" xr:uid="{5537A7D2-0777-4458-8222-688E1C779A06}"/>
    <cellStyle name="Style 85 6 4 10 2" xfId="34183" xr:uid="{3505CEF9-1C2E-4442-89AF-6143C624DA77}"/>
    <cellStyle name="Style 85 6 4 11" xfId="15521" xr:uid="{99C3CE48-DAFB-4C18-8A14-E99D35B0E8D6}"/>
    <cellStyle name="Style 85 6 4 11 2" xfId="34184" xr:uid="{54CCC920-A531-4EDF-95B5-EBB400D4FA31}"/>
    <cellStyle name="Style 85 6 4 12" xfId="15522" xr:uid="{FB57F2BC-225E-48A9-A46D-BFDC888EB216}"/>
    <cellStyle name="Style 85 6 4 12 2" xfId="34185" xr:uid="{EA6FDA97-B1AD-4C1E-B36F-13DA08E1FDBF}"/>
    <cellStyle name="Style 85 6 4 13" xfId="15523" xr:uid="{399EF3F9-728F-455C-9F26-5696A8FACB98}"/>
    <cellStyle name="Style 85 6 4 13 2" xfId="34186" xr:uid="{E7B8B58C-DC99-4F57-A8B9-5497CC383BF5}"/>
    <cellStyle name="Style 85 6 4 14" xfId="15524" xr:uid="{DBAF9AF5-A026-4157-98F3-C38022A8D4DA}"/>
    <cellStyle name="Style 85 6 4 14 2" xfId="34187" xr:uid="{3F5679F8-55FF-4AEC-B23E-A94993F48725}"/>
    <cellStyle name="Style 85 6 4 15" xfId="24152" xr:uid="{80C5F825-D4B6-4386-8164-693F7CE2CC6B}"/>
    <cellStyle name="Style 85 6 4 2" xfId="3583" xr:uid="{8BE13545-A0A2-48BB-B180-B7A82757FD4E}"/>
    <cellStyle name="Style 85 6 4 2 10" xfId="15525" xr:uid="{40BFDEC0-A689-4CA0-BE0E-3C8DE5DAC191}"/>
    <cellStyle name="Style 85 6 4 2 10 2" xfId="34188" xr:uid="{0EF4BF4A-B8FF-40F1-927E-7B62C3D5A3F3}"/>
    <cellStyle name="Style 85 6 4 2 11" xfId="15526" xr:uid="{2DE48B25-E922-460A-A924-03B7A25C118A}"/>
    <cellStyle name="Style 85 6 4 2 11 2" xfId="34189" xr:uid="{1063850D-6D03-40C4-93B0-F47454F98391}"/>
    <cellStyle name="Style 85 6 4 2 12" xfId="15527" xr:uid="{A6AF0AF6-CD9D-4AF8-B474-6E12A6CDA54E}"/>
    <cellStyle name="Style 85 6 4 2 12 2" xfId="34190" xr:uid="{715B6B02-D83C-4B0F-B8DC-7BB80E6B760F}"/>
    <cellStyle name="Style 85 6 4 2 13" xfId="15528" xr:uid="{463EE707-5172-47FC-B24D-1AFBFFD928D8}"/>
    <cellStyle name="Style 85 6 4 2 13 2" xfId="34191" xr:uid="{07AEBD16-F18B-4807-AB8A-620799564702}"/>
    <cellStyle name="Style 85 6 4 2 14" xfId="24153" xr:uid="{12011E9D-B354-4830-A049-F81A5CA32272}"/>
    <cellStyle name="Style 85 6 4 2 2" xfId="7291" xr:uid="{8E899612-5794-4AAE-B538-1AACB033C62D}"/>
    <cellStyle name="Style 85 6 4 2 2 2" xfId="15529" xr:uid="{856B9660-C929-471F-9AC3-3AC3A2401D01}"/>
    <cellStyle name="Style 85 6 4 2 2 2 2" xfId="34192" xr:uid="{270331A2-6763-476B-9181-08F6DDEB4835}"/>
    <cellStyle name="Style 85 6 4 2 2 3" xfId="15530" xr:uid="{ED491368-24CF-426C-BDFB-F34C88BCB6EE}"/>
    <cellStyle name="Style 85 6 4 2 2 3 2" xfId="34193" xr:uid="{2285978F-C526-4EA8-B1BC-379AF68B133F}"/>
    <cellStyle name="Style 85 6 4 2 3" xfId="7290" xr:uid="{5D6B1188-BA8D-48F6-A590-9BED5A02431B}"/>
    <cellStyle name="Style 85 6 4 2 3 2" xfId="15531" xr:uid="{461EF835-030C-4A9B-BDB0-6857D996FBD2}"/>
    <cellStyle name="Style 85 6 4 2 3 2 2" xfId="34194" xr:uid="{78A31830-4174-45A4-947C-7014A901502C}"/>
    <cellStyle name="Style 85 6 4 2 4" xfId="15532" xr:uid="{68738815-9A05-4725-A019-7571A0D9D684}"/>
    <cellStyle name="Style 85 6 4 2 4 2" xfId="15533" xr:uid="{A557E652-E16A-4DAA-BBBF-0A3394ECB809}"/>
    <cellStyle name="Style 85 6 4 2 4 2 2" xfId="34195" xr:uid="{4DA8425E-FB33-40C9-8A40-4D2108921045}"/>
    <cellStyle name="Style 85 6 4 2 4 3" xfId="28130" xr:uid="{A50306AD-71F1-46FC-B5FF-89EB466F1362}"/>
    <cellStyle name="Style 85 6 4 2 5" xfId="15534" xr:uid="{ADA041B5-9B5C-440E-969D-E56FF58D1BE3}"/>
    <cellStyle name="Style 85 6 4 2 5 2" xfId="34196" xr:uid="{0BFFD69B-68D9-4609-9D4D-C4E5BEB34464}"/>
    <cellStyle name="Style 85 6 4 2 6" xfId="15535" xr:uid="{81E93116-026A-48BA-AABE-EC03E9811A13}"/>
    <cellStyle name="Style 85 6 4 2 6 2" xfId="34197" xr:uid="{C171A2DC-5206-44BE-9F39-1EEA8CB6A9AD}"/>
    <cellStyle name="Style 85 6 4 2 7" xfId="15536" xr:uid="{529BA5A5-18EB-409A-9490-C482FF54E68B}"/>
    <cellStyle name="Style 85 6 4 2 7 2" xfId="34198" xr:uid="{89090547-74D4-4CA5-957E-6C457BBFD1E1}"/>
    <cellStyle name="Style 85 6 4 2 8" xfId="15537" xr:uid="{14796F89-F378-4133-92EC-80C8E8FAE746}"/>
    <cellStyle name="Style 85 6 4 2 8 2" xfId="34199" xr:uid="{41B286F8-36D3-48D4-ACF8-55EAF6B10EA0}"/>
    <cellStyle name="Style 85 6 4 2 9" xfId="15538" xr:uid="{975711C9-9B9D-4078-B2EF-7D8ADA6C2141}"/>
    <cellStyle name="Style 85 6 4 2 9 2" xfId="34200" xr:uid="{0EB29F33-BFFD-478E-8C8F-1543FFABA88E}"/>
    <cellStyle name="Style 85 6 4 3" xfId="7292" xr:uid="{E49C1425-9CBE-4C82-A1D1-EF8D058A632F}"/>
    <cellStyle name="Style 85 6 4 3 2" xfId="15539" xr:uid="{F294DA89-242B-4E36-8501-0924C4584680}"/>
    <cellStyle name="Style 85 6 4 3 2 2" xfId="34201" xr:uid="{77CA3884-1B50-4C0C-AC00-0A9BC6CC57A3}"/>
    <cellStyle name="Style 85 6 4 3 3" xfId="15540" xr:uid="{11CFEFBB-26D0-4C89-AE01-88BED2D576F0}"/>
    <cellStyle name="Style 85 6 4 3 3 2" xfId="34202" xr:uid="{89967E29-C34D-45B7-B739-85BE689D32C5}"/>
    <cellStyle name="Style 85 6 4 4" xfId="7289" xr:uid="{C1EC2665-1CBD-4F55-8EF7-888B3395C8DC}"/>
    <cellStyle name="Style 85 6 4 4 2" xfId="15541" xr:uid="{F18BDC30-D780-4926-97B0-A3D823483F60}"/>
    <cellStyle name="Style 85 6 4 4 2 2" xfId="34203" xr:uid="{D0D26DD7-9794-403E-A770-0322008E3C4B}"/>
    <cellStyle name="Style 85 6 4 5" xfId="15542" xr:uid="{E3785EE4-223F-4768-99F1-EEF6152DC65E}"/>
    <cellStyle name="Style 85 6 4 5 2" xfId="15543" xr:uid="{7DD06CB1-2E47-44C0-BF10-64338F209C15}"/>
    <cellStyle name="Style 85 6 4 5 2 2" xfId="34204" xr:uid="{E2251336-5E31-4DFA-8C08-F68386FB0327}"/>
    <cellStyle name="Style 85 6 4 5 3" xfId="28129" xr:uid="{48C87FED-A927-45F1-83B5-834476F9EF14}"/>
    <cellStyle name="Style 85 6 4 6" xfId="15544" xr:uid="{32E49881-5FAF-4525-83FA-5AE212494FB1}"/>
    <cellStyle name="Style 85 6 4 6 2" xfId="34205" xr:uid="{2C8E5E46-AC57-440B-9A38-BAAD023384CA}"/>
    <cellStyle name="Style 85 6 4 7" xfId="15545" xr:uid="{A8869656-3932-41F0-8F52-1F2A6ED7D6D1}"/>
    <cellStyle name="Style 85 6 4 7 2" xfId="34206" xr:uid="{06C4A629-F7FB-4FEB-9CE0-824B068349E8}"/>
    <cellStyle name="Style 85 6 4 8" xfId="15546" xr:uid="{56D617A1-0F92-45AA-AEA0-A0CF2ACB0E2B}"/>
    <cellStyle name="Style 85 6 4 8 2" xfId="34207" xr:uid="{D6DB150D-E875-4B47-BDDF-BACC3F330BE4}"/>
    <cellStyle name="Style 85 6 4 9" xfId="15547" xr:uid="{24BA9BCA-5591-4996-A37B-E4980DC6EB8E}"/>
    <cellStyle name="Style 85 6 4 9 2" xfId="34208" xr:uid="{578F0A11-FB52-4540-A7BA-764E864365D9}"/>
    <cellStyle name="Style 85 6 5" xfId="7293" xr:uid="{EB49862D-AC54-45B0-80B7-B7E37C756A3E}"/>
    <cellStyle name="Style 85 6 5 2" xfId="15548" xr:uid="{BE0DB649-87F4-42BE-8FBF-1D0B51005339}"/>
    <cellStyle name="Style 85 6 5 2 2" xfId="15549" xr:uid="{2A0426F7-8EC9-4974-BF1B-9E1850008F29}"/>
    <cellStyle name="Style 85 6 5 2 2 2" xfId="34210" xr:uid="{46A07978-C73D-4DA3-A52D-E63012BEA339}"/>
    <cellStyle name="Style 85 6 5 2 3" xfId="34209" xr:uid="{403D6374-C9FE-464E-8783-446BF602098C}"/>
    <cellStyle name="Style 85 6 5 3" xfId="15550" xr:uid="{3A7FBBE2-FE37-487A-9EBE-DA13298920EA}"/>
    <cellStyle name="Style 85 6 5 3 2" xfId="34211" xr:uid="{DB0AE95F-2414-44C4-9B30-C613DCBA9C98}"/>
    <cellStyle name="Style 85 6 5 4" xfId="15551" xr:uid="{2D5DFCEE-F22D-4436-B4B2-4D7BC23D02D5}"/>
    <cellStyle name="Style 85 6 5 4 2" xfId="34212" xr:uid="{E704C50C-3BF4-4BCD-A351-DC59FA735A5D}"/>
    <cellStyle name="Style 85 6 5 5" xfId="15552" xr:uid="{B6F6A45D-F3D9-4DDD-A094-6BD3B3FA450C}"/>
    <cellStyle name="Style 85 6 5 5 2" xfId="34213" xr:uid="{27E2C842-6D5E-4793-8B2B-968A3878EAD5}"/>
    <cellStyle name="Style 85 6 6" xfId="7294" xr:uid="{D9AA40CD-0043-43E2-A6D5-4AEDEF8EE3CD}"/>
    <cellStyle name="Style 85 6 6 2" xfId="15553" xr:uid="{A840D86A-529A-4645-BC2C-D903DA8E0DF3}"/>
    <cellStyle name="Style 85 6 6 2 2" xfId="34214" xr:uid="{F72A961B-021D-468D-AD85-B35106A22938}"/>
    <cellStyle name="Style 85 6 6 3" xfId="15554" xr:uid="{D3058DDE-76C8-428C-94B7-29A93AC52F6B}"/>
    <cellStyle name="Style 85 6 6 3 2" xfId="34215" xr:uid="{78A33FED-0CB8-4811-B762-8E73997EB705}"/>
    <cellStyle name="Style 85 6 7" xfId="7279" xr:uid="{5A8E5EF0-6A73-4771-AF1B-BC636F2106C6}"/>
    <cellStyle name="Style 85 6 7 2" xfId="15555" xr:uid="{F9A6E600-1D55-4B2F-9263-781298B78956}"/>
    <cellStyle name="Style 85 6 7 2 2" xfId="34216" xr:uid="{A91ABD7C-DCF4-40D2-9CAB-A13D4B7B7DB3}"/>
    <cellStyle name="Style 85 6 8" xfId="15556" xr:uid="{A5B8BADE-FD48-4E7F-B5E2-293438BE1314}"/>
    <cellStyle name="Style 85 6 8 2" xfId="15557" xr:uid="{2A41AFC5-05DF-4973-92DC-89F23FF1EB8C}"/>
    <cellStyle name="Style 85 6 8 2 2" xfId="34217" xr:uid="{231EA51B-4E9A-49D9-8F26-3297317E7966}"/>
    <cellStyle name="Style 85 6 8 3" xfId="28125" xr:uid="{A31BD949-CDF2-4E63-8DB5-E2E7492E63D7}"/>
    <cellStyle name="Style 85 6 9" xfId="15558" xr:uid="{3AE438E2-92BB-451C-AFEA-32B0607EC338}"/>
    <cellStyle name="Style 85 6 9 2" xfId="34218" xr:uid="{C196A2CE-4DF9-41C6-B903-F5F0AECA8853}"/>
    <cellStyle name="Style 85 7" xfId="3584" xr:uid="{2A85C900-062D-420F-AC37-31F57F89E89E}"/>
    <cellStyle name="Style 85 7 10" xfId="15559" xr:uid="{CD3804D4-1B53-4345-B19A-B29DC748C621}"/>
    <cellStyle name="Style 85 7 10 2" xfId="34219" xr:uid="{29121ADB-F38B-436C-9D62-E8C98144B15C}"/>
    <cellStyle name="Style 85 7 11" xfId="15560" xr:uid="{1661D518-614E-4BE8-8F40-2E92E6384B46}"/>
    <cellStyle name="Style 85 7 11 2" xfId="34220" xr:uid="{06EBC93A-A429-49B1-9DAA-22534851F909}"/>
    <cellStyle name="Style 85 7 12" xfId="15561" xr:uid="{52306A15-E61C-41CB-8678-395770B60EC4}"/>
    <cellStyle name="Style 85 7 12 2" xfId="34221" xr:uid="{63ED0108-DFB9-4D13-BBF0-196C98596A52}"/>
    <cellStyle name="Style 85 7 13" xfId="15562" xr:uid="{2273FA4C-D362-449F-9688-D785D62123B4}"/>
    <cellStyle name="Style 85 7 13 2" xfId="34222" xr:uid="{F96EB69D-946C-4FF8-829D-5BFA6766AAF5}"/>
    <cellStyle name="Style 85 7 14" xfId="15563" xr:uid="{70744975-7FAB-4304-91AD-C68476C1BB7C}"/>
    <cellStyle name="Style 85 7 14 2" xfId="34223" xr:uid="{66F55991-9005-48C0-ACF3-912F34F31265}"/>
    <cellStyle name="Style 85 7 15" xfId="15564" xr:uid="{D7BA4917-AC08-41F3-A78F-6B66A5B64FE0}"/>
    <cellStyle name="Style 85 7 15 2" xfId="34224" xr:uid="{EB00F48D-FFFA-4174-867A-6A5BC6DDA723}"/>
    <cellStyle name="Style 85 7 16" xfId="24154" xr:uid="{B81251F6-51A0-4FCC-82F7-0A98A297759B}"/>
    <cellStyle name="Style 85 7 2" xfId="3585" xr:uid="{8E01968A-9592-4ABB-8EB0-F767B25F67C4}"/>
    <cellStyle name="Style 85 7 2 10" xfId="15565" xr:uid="{67761801-A27C-4D1C-9882-9F7CDED292E8}"/>
    <cellStyle name="Style 85 7 2 10 2" xfId="34225" xr:uid="{DD3BC689-503C-4CB6-8092-1F01A8EECCCF}"/>
    <cellStyle name="Style 85 7 2 11" xfId="15566" xr:uid="{4B8D353D-B903-4AA7-889E-1D8BC3D89A62}"/>
    <cellStyle name="Style 85 7 2 11 2" xfId="34226" xr:uid="{3A11813B-2400-4915-A7E8-8987998947E2}"/>
    <cellStyle name="Style 85 7 2 12" xfId="15567" xr:uid="{3D5E6CF9-CF93-4DE8-B2F8-7AC6DD33BE51}"/>
    <cellStyle name="Style 85 7 2 12 2" xfId="34227" xr:uid="{3F9E5A9D-551E-4B4E-97C7-B6FB36530B43}"/>
    <cellStyle name="Style 85 7 2 13" xfId="15568" xr:uid="{F19C9E4D-CC32-47A4-AC80-4848C0C31D12}"/>
    <cellStyle name="Style 85 7 2 13 2" xfId="34228" xr:uid="{F87FCEFD-1AB8-434D-991E-8CEDE79D2D00}"/>
    <cellStyle name="Style 85 7 2 14" xfId="24155" xr:uid="{66782E67-26D8-40C3-80EB-863D0F270B3F}"/>
    <cellStyle name="Style 85 7 2 2" xfId="7297" xr:uid="{08C35DF5-2CDB-468B-981B-D4F24E23F8D1}"/>
    <cellStyle name="Style 85 7 2 2 2" xfId="15569" xr:uid="{A49C8533-F801-4ED8-AC70-62F3ECDA3C82}"/>
    <cellStyle name="Style 85 7 2 2 2 2" xfId="34229" xr:uid="{92AC4EB4-4C88-498C-B84C-101215DFA8D8}"/>
    <cellStyle name="Style 85 7 2 2 3" xfId="15570" xr:uid="{BBE81879-23EC-4DD1-A708-C5697A18EE73}"/>
    <cellStyle name="Style 85 7 2 2 3 2" xfId="34230" xr:uid="{C59B6D47-6DD1-4987-8976-278850CBAD91}"/>
    <cellStyle name="Style 85 7 2 3" xfId="7296" xr:uid="{1B0F5EF8-5799-4636-9AF7-E1B68D0CBF9E}"/>
    <cellStyle name="Style 85 7 2 3 2" xfId="15571" xr:uid="{DB04BC2B-035E-4240-B397-43D7878CE8D3}"/>
    <cellStyle name="Style 85 7 2 3 2 2" xfId="34231" xr:uid="{E55AB92D-4E0B-49C4-A053-2A6A06831183}"/>
    <cellStyle name="Style 85 7 2 4" xfId="15572" xr:uid="{BB79D598-0D85-42FE-B726-B880D0C0317B}"/>
    <cellStyle name="Style 85 7 2 4 2" xfId="15573" xr:uid="{74C03162-DE1E-4EAC-B4EF-BA1970DF57E7}"/>
    <cellStyle name="Style 85 7 2 4 2 2" xfId="34232" xr:uid="{31351E70-DF1A-4DFA-9C2D-ABB8A2777167}"/>
    <cellStyle name="Style 85 7 2 4 3" xfId="28132" xr:uid="{D3AC17CF-F409-4EC0-8438-AF89B2727EC6}"/>
    <cellStyle name="Style 85 7 2 5" xfId="15574" xr:uid="{1F2CBDB7-AB6B-45C1-B5B6-9958F7ED58C6}"/>
    <cellStyle name="Style 85 7 2 5 2" xfId="34233" xr:uid="{D42830B6-A1FD-41CC-90F2-CC3DC570B86A}"/>
    <cellStyle name="Style 85 7 2 6" xfId="15575" xr:uid="{D222CED7-B023-4D5A-B973-F74A9EFBFB77}"/>
    <cellStyle name="Style 85 7 2 6 2" xfId="34234" xr:uid="{BE21D946-DEFF-42DE-88B8-C9D89611ACD6}"/>
    <cellStyle name="Style 85 7 2 7" xfId="15576" xr:uid="{A4A6C461-557E-4F2F-B661-53D2CB3B9623}"/>
    <cellStyle name="Style 85 7 2 7 2" xfId="34235" xr:uid="{E3AEEE9E-6739-4C70-94A6-DD103427502E}"/>
    <cellStyle name="Style 85 7 2 8" xfId="15577" xr:uid="{BD90E69F-1CAD-4FAC-A18D-D21C60F65D23}"/>
    <cellStyle name="Style 85 7 2 8 2" xfId="34236" xr:uid="{6A1C5FDD-C120-4E91-B1FE-77E315BF751B}"/>
    <cellStyle name="Style 85 7 2 9" xfId="15578" xr:uid="{D030504E-6AF0-4CCD-AB28-0DD340053750}"/>
    <cellStyle name="Style 85 7 2 9 2" xfId="34237" xr:uid="{F6C58A20-B0DD-4B36-B0EA-B971CF250FCC}"/>
    <cellStyle name="Style 85 7 3" xfId="7298" xr:uid="{D0DFF363-0E02-4868-BDB9-5325D2E1AA12}"/>
    <cellStyle name="Style 85 7 3 2" xfId="7299" xr:uid="{92C5F28C-6848-4F18-B9B1-4DC5839E1747}"/>
    <cellStyle name="Style 85 7 3 2 2" xfId="15579" xr:uid="{9D4FA2C5-A6DE-43EE-AFCB-C3ACA7702A61}"/>
    <cellStyle name="Style 85 7 3 2 2 2" xfId="34238" xr:uid="{87686092-48E8-4D52-8485-9FDF788C9A1E}"/>
    <cellStyle name="Style 85 7 3 2 3" xfId="15580" xr:uid="{4B07669B-64AF-43F1-BAD3-BEA9224DE841}"/>
    <cellStyle name="Style 85 7 3 2 3 2" xfId="34239" xr:uid="{FAED503D-D086-455F-9D50-3F582D78E00C}"/>
    <cellStyle name="Style 85 7 3 3" xfId="15581" xr:uid="{A23B3C3B-B50C-498C-A438-109892619F39}"/>
    <cellStyle name="Style 85 7 3 3 2" xfId="34240" xr:uid="{327E5AB0-8532-4D34-8FFA-0B5742F5E8C2}"/>
    <cellStyle name="Style 85 7 3 4" xfId="15582" xr:uid="{BEB8F5AD-5279-4C89-B69F-8194ED86039A}"/>
    <cellStyle name="Style 85 7 3 4 2" xfId="34241" xr:uid="{ED4BE8F7-DC94-4B38-ADCE-7016DE635B5A}"/>
    <cellStyle name="Style 85 7 3 5" xfId="15583" xr:uid="{969323DB-CBE1-4095-B040-61675132FC8F}"/>
    <cellStyle name="Style 85 7 3 5 2" xfId="34242" xr:uid="{83DC4667-FFE4-40C6-8871-E68CF90FA04C}"/>
    <cellStyle name="Style 85 7 3 6" xfId="24156" xr:uid="{23982CB6-F44F-4E43-84FF-CF60FE0E8910}"/>
    <cellStyle name="Style 85 7 4" xfId="7300" xr:uid="{E0BD0802-A832-450B-9B77-DF1302D4B5CC}"/>
    <cellStyle name="Style 85 7 4 2" xfId="15584" xr:uid="{04FB5829-A280-4B61-BA72-F5AA420A3C2E}"/>
    <cellStyle name="Style 85 7 4 2 2" xfId="34243" xr:uid="{2D7C44AB-F4CB-4922-809F-74A6B26D42C2}"/>
    <cellStyle name="Style 85 7 4 3" xfId="15585" xr:uid="{67D16B3C-E21D-4D31-80C8-537C1AE9DF68}"/>
    <cellStyle name="Style 85 7 4 3 2" xfId="34244" xr:uid="{FF4A5036-E8B0-4962-B92D-2FBA539AC06F}"/>
    <cellStyle name="Style 85 7 5" xfId="7301" xr:uid="{0037DFB7-4394-4B9F-BB7F-46FA098AA8D9}"/>
    <cellStyle name="Style 85 7 5 2" xfId="15586" xr:uid="{F771A619-132D-4AE3-811C-31503B4DCB0D}"/>
    <cellStyle name="Style 85 7 5 2 2" xfId="34245" xr:uid="{DD497B00-1ED8-4B2B-BF8C-8FA566F001D7}"/>
    <cellStyle name="Style 85 7 6" xfId="7295" xr:uid="{DF096C76-B35F-4024-BE18-4BEE93DACC9B}"/>
    <cellStyle name="Style 85 7 6 2" xfId="15587" xr:uid="{2C74D6C1-E8BA-4CC0-8D05-D5CB6BD0976C}"/>
    <cellStyle name="Style 85 7 6 2 2" xfId="34246" xr:uid="{3116D20C-A7CB-4068-9F28-769874E18A84}"/>
    <cellStyle name="Style 85 7 7" xfId="15588" xr:uid="{689B636C-9676-4598-96F2-30697E75B56D}"/>
    <cellStyle name="Style 85 7 7 2" xfId="15589" xr:uid="{60A801EA-A513-47F7-A3A8-D5C65A1F5382}"/>
    <cellStyle name="Style 85 7 7 2 2" xfId="34247" xr:uid="{98F8ABC0-BD81-4B43-A97D-4C258A3104CE}"/>
    <cellStyle name="Style 85 7 7 3" xfId="28131" xr:uid="{82710074-3A8A-4B0D-955B-B9C0BC9FA482}"/>
    <cellStyle name="Style 85 7 8" xfId="15590" xr:uid="{EB8276E0-BFE0-401F-A233-D12F703BD41D}"/>
    <cellStyle name="Style 85 7 8 2" xfId="34248" xr:uid="{DB2B2DD8-5988-4292-B2CC-6182D7A4D950}"/>
    <cellStyle name="Style 85 7 9" xfId="15591" xr:uid="{E8804EEC-DDEC-4537-9EB0-4FB9D0C8BD3E}"/>
    <cellStyle name="Style 85 7 9 2" xfId="34249" xr:uid="{095F9F6C-AD42-40A5-8231-100DD7452980}"/>
    <cellStyle name="Style 85 8" xfId="3586" xr:uid="{AEB50F73-DFB5-41CA-B273-C2C626684BFB}"/>
    <cellStyle name="Style 85 8 10" xfId="15592" xr:uid="{043AE0B5-1BC6-4581-AE22-A41E893B43F6}"/>
    <cellStyle name="Style 85 8 10 2" xfId="34250" xr:uid="{A6E49203-1E49-4596-9382-06E6A9B12914}"/>
    <cellStyle name="Style 85 8 11" xfId="15593" xr:uid="{CC115440-5157-4028-83FB-A622F64C51A8}"/>
    <cellStyle name="Style 85 8 11 2" xfId="34251" xr:uid="{0A6694CD-C8F0-4DC0-86A6-61205CD924F1}"/>
    <cellStyle name="Style 85 8 12" xfId="15594" xr:uid="{0E1A8EE7-D0AE-4012-A8D1-A603DF5802EC}"/>
    <cellStyle name="Style 85 8 12 2" xfId="34252" xr:uid="{17676C64-91DE-4C9D-83A3-F7A50B9BBB54}"/>
    <cellStyle name="Style 85 8 13" xfId="15595" xr:uid="{C187CC5F-59D5-469B-9CAF-A3FDD0F405BD}"/>
    <cellStyle name="Style 85 8 13 2" xfId="34253" xr:uid="{0E6B6A06-7D6A-4AE6-A23B-1F07F701CD31}"/>
    <cellStyle name="Style 85 8 14" xfId="15596" xr:uid="{C000B5F7-D9B9-4276-A0AC-CCFDACA3A59C}"/>
    <cellStyle name="Style 85 8 14 2" xfId="34254" xr:uid="{524D8F75-AD92-4DC9-9D5E-B73D532D8410}"/>
    <cellStyle name="Style 85 8 15" xfId="24157" xr:uid="{40F099DD-92E5-412D-9979-DD0E2A32A979}"/>
    <cellStyle name="Style 85 8 2" xfId="3587" xr:uid="{42FD6588-9AC0-4CDB-8BA3-0A4E85A3DC16}"/>
    <cellStyle name="Style 85 8 2 10" xfId="15597" xr:uid="{B79A1FF9-6EF0-4C35-B0F2-D689DBE2B7D8}"/>
    <cellStyle name="Style 85 8 2 10 2" xfId="34255" xr:uid="{4E9E442C-03A0-44F0-95B3-4C79DD5C3993}"/>
    <cellStyle name="Style 85 8 2 11" xfId="15598" xr:uid="{B2C539B3-6C35-4D22-A8D1-55AA2926BB9A}"/>
    <cellStyle name="Style 85 8 2 11 2" xfId="34256" xr:uid="{BFBC62E0-F723-41B5-82B5-4DF1DB326B7D}"/>
    <cellStyle name="Style 85 8 2 12" xfId="15599" xr:uid="{0434122C-58DD-4B73-88C6-E58566CF777F}"/>
    <cellStyle name="Style 85 8 2 12 2" xfId="34257" xr:uid="{53263FC7-F0E6-4320-9EEB-D45839BF37F0}"/>
    <cellStyle name="Style 85 8 2 13" xfId="15600" xr:uid="{32134824-6CFC-470A-A2F2-682EE5DAE283}"/>
    <cellStyle name="Style 85 8 2 13 2" xfId="34258" xr:uid="{DB1E8148-0A8D-43AD-B428-B41BF0272190}"/>
    <cellStyle name="Style 85 8 2 14" xfId="24158" xr:uid="{93CE1328-B549-4E93-9867-23169E927D93}"/>
    <cellStyle name="Style 85 8 2 2" xfId="7304" xr:uid="{E1B61F4A-F09D-4C54-99C2-6D82714B8788}"/>
    <cellStyle name="Style 85 8 2 2 2" xfId="15601" xr:uid="{1F7D15C5-1C77-4457-8C2B-8B50D4B46EF9}"/>
    <cellStyle name="Style 85 8 2 2 2 2" xfId="34259" xr:uid="{6A6A0C81-1C58-4D68-A3C7-BD7203EA00C2}"/>
    <cellStyle name="Style 85 8 2 2 3" xfId="15602" xr:uid="{2666A6D8-900A-4AD0-BDF1-B1EA97F3CF80}"/>
    <cellStyle name="Style 85 8 2 2 3 2" xfId="34260" xr:uid="{CFC05401-0DA2-4C9A-A668-947B5FDA1A81}"/>
    <cellStyle name="Style 85 8 2 3" xfId="7303" xr:uid="{5CA77D1B-7E63-4A69-A792-409F347C906D}"/>
    <cellStyle name="Style 85 8 2 3 2" xfId="15603" xr:uid="{0DB1F888-A5A1-43B3-ABC7-FCDF66B12219}"/>
    <cellStyle name="Style 85 8 2 3 2 2" xfId="34261" xr:uid="{5268B50F-935B-451F-83AD-C6B449574BA6}"/>
    <cellStyle name="Style 85 8 2 4" xfId="15604" xr:uid="{43A38E24-E016-46D7-827A-2C58BBF684D0}"/>
    <cellStyle name="Style 85 8 2 4 2" xfId="15605" xr:uid="{5C6A0A00-3A04-42EA-BEB6-65F97CE5E740}"/>
    <cellStyle name="Style 85 8 2 4 2 2" xfId="34262" xr:uid="{50CA7760-1553-4856-876D-2EBB21B7612B}"/>
    <cellStyle name="Style 85 8 2 4 3" xfId="28134" xr:uid="{D02DE4B7-0005-4F82-999B-E9D82EC05CC6}"/>
    <cellStyle name="Style 85 8 2 5" xfId="15606" xr:uid="{784F9CDA-386A-44A9-8A59-6309A10AD7DD}"/>
    <cellStyle name="Style 85 8 2 5 2" xfId="34263" xr:uid="{D096EEEE-7D0C-4B03-8AC8-E31AE55D851D}"/>
    <cellStyle name="Style 85 8 2 6" xfId="15607" xr:uid="{1C63CA78-F492-4484-91FC-864A669BC0CE}"/>
    <cellStyle name="Style 85 8 2 6 2" xfId="34264" xr:uid="{A5A3D56A-13EF-4809-BDA5-2008A0E76D77}"/>
    <cellStyle name="Style 85 8 2 7" xfId="15608" xr:uid="{F3B73E67-D916-4A4B-8F43-774025F65EEE}"/>
    <cellStyle name="Style 85 8 2 7 2" xfId="34265" xr:uid="{7587A101-B13A-4F05-BCC1-4C4B53C66CB4}"/>
    <cellStyle name="Style 85 8 2 8" xfId="15609" xr:uid="{9DD60B80-BFF6-4B29-8B78-ABEA8DE484B0}"/>
    <cellStyle name="Style 85 8 2 8 2" xfId="34266" xr:uid="{0ED1B6B3-0E7C-4A32-B574-1669899E1839}"/>
    <cellStyle name="Style 85 8 2 9" xfId="15610" xr:uid="{B27696D3-B101-4C1F-A192-9D8D21D8B340}"/>
    <cellStyle name="Style 85 8 2 9 2" xfId="34267" xr:uid="{5B41FD15-2E03-4429-A5C8-657384B825CC}"/>
    <cellStyle name="Style 85 8 3" xfId="7305" xr:uid="{53518A01-B697-4512-9771-9AF7F8BFC559}"/>
    <cellStyle name="Style 85 8 3 2" xfId="7306" xr:uid="{C8F92C32-824D-49D3-B0BF-504FD679A4F6}"/>
    <cellStyle name="Style 85 8 3 2 2" xfId="15611" xr:uid="{B5CD59CC-AE73-425E-814E-3A8985DAA260}"/>
    <cellStyle name="Style 85 8 3 2 2 2" xfId="34268" xr:uid="{A4488410-6BC0-4CFD-867E-A7DC7D49DA0F}"/>
    <cellStyle name="Style 85 8 3 3" xfId="15612" xr:uid="{2D9328A6-3FA5-4E96-B43E-56C70898F06A}"/>
    <cellStyle name="Style 85 8 3 3 2" xfId="34269" xr:uid="{4DB4A7E3-2C80-4837-9710-A66FB0EA8ACC}"/>
    <cellStyle name="Style 85 8 3 4" xfId="24159" xr:uid="{E74223A4-A9F6-432A-AED5-CC76B18B7EDB}"/>
    <cellStyle name="Style 85 8 4" xfId="7307" xr:uid="{6A9AC724-A5A8-4EC9-BCD0-72E9B6529153}"/>
    <cellStyle name="Style 85 8 4 2" xfId="15613" xr:uid="{CAAD3404-194D-4351-A5F8-DF7E962E5F47}"/>
    <cellStyle name="Style 85 8 4 2 2" xfId="34270" xr:uid="{6318A1E7-EE1E-4E35-BED0-99EF185593F1}"/>
    <cellStyle name="Style 85 8 5" xfId="7308" xr:uid="{062FE664-D4DE-4561-8308-5BBFD34B4BEA}"/>
    <cellStyle name="Style 85 8 5 2" xfId="15614" xr:uid="{82085AAB-7ED4-4C22-87B0-24704A886376}"/>
    <cellStyle name="Style 85 8 5 2 2" xfId="34271" xr:uid="{F8FCDF45-8C4D-4D00-B63B-24DA7C336C1A}"/>
    <cellStyle name="Style 85 8 6" xfId="7302" xr:uid="{8AA1A3D2-6F92-447C-9D42-67D8547E0A43}"/>
    <cellStyle name="Style 85 8 6 2" xfId="15615" xr:uid="{0CD91CE1-12C3-4697-821A-395231E819BD}"/>
    <cellStyle name="Style 85 8 6 2 2" xfId="34272" xr:uid="{17698CD0-227C-4CC4-A170-DF878E25D67F}"/>
    <cellStyle name="Style 85 8 7" xfId="15616" xr:uid="{CB9F2FFC-FA8E-4CB6-B862-CC04D0A1CC25}"/>
    <cellStyle name="Style 85 8 7 2" xfId="15617" xr:uid="{25B32068-1F49-422C-8ECB-3208727B269E}"/>
    <cellStyle name="Style 85 8 7 2 2" xfId="34273" xr:uid="{976CC17C-4F32-473B-869C-6D39748EB513}"/>
    <cellStyle name="Style 85 8 7 3" xfId="28133" xr:uid="{E71D4F15-894E-49AB-A43E-B018A340CF5D}"/>
    <cellStyle name="Style 85 8 8" xfId="15618" xr:uid="{607F67B1-217E-4627-B4D5-CE63A40299CD}"/>
    <cellStyle name="Style 85 8 8 2" xfId="34274" xr:uid="{B4523EBC-A3AC-4708-AC96-36C7AEA11B3F}"/>
    <cellStyle name="Style 85 8 9" xfId="15619" xr:uid="{87ED640E-0247-4D22-9100-0470EB8D7E86}"/>
    <cellStyle name="Style 85 8 9 2" xfId="34275" xr:uid="{F0521AA2-8791-4091-BA5A-C3D705F041FF}"/>
    <cellStyle name="Style 85 9" xfId="3588" xr:uid="{64892325-2017-43A9-9A55-8784210DE8E0}"/>
    <cellStyle name="Style 85 9 10" xfId="15620" xr:uid="{11F2B4FE-9EE3-4E1A-AE2B-750C99B34124}"/>
    <cellStyle name="Style 85 9 10 2" xfId="34276" xr:uid="{FEEF9034-64C5-4444-A74C-DE375A49162E}"/>
    <cellStyle name="Style 85 9 11" xfId="15621" xr:uid="{F818FA2D-6B54-44A1-8FBA-3FCF592437DC}"/>
    <cellStyle name="Style 85 9 11 2" xfId="34277" xr:uid="{796CB055-21C2-4C89-B596-1A4415559E36}"/>
    <cellStyle name="Style 85 9 12" xfId="15622" xr:uid="{D692A7FE-EF2B-4A14-B753-21C791EDD72C}"/>
    <cellStyle name="Style 85 9 12 2" xfId="34278" xr:uid="{1A8E2939-2428-4343-BDC2-9E2C9D7478AD}"/>
    <cellStyle name="Style 85 9 13" xfId="15623" xr:uid="{31C34EF4-4CD8-4085-81D0-00E8CD4FCB65}"/>
    <cellStyle name="Style 85 9 13 2" xfId="34279" xr:uid="{B25B640C-A52B-4EB3-90BB-322653AE5C3A}"/>
    <cellStyle name="Style 85 9 14" xfId="15624" xr:uid="{AFEF70F3-0BD3-4595-AB60-C249D83FD703}"/>
    <cellStyle name="Style 85 9 14 2" xfId="34280" xr:uid="{A0C5ACF2-4FE7-4927-B214-D3BF5DE6E1A8}"/>
    <cellStyle name="Style 85 9 15" xfId="24160" xr:uid="{AF894716-72AB-4BE0-A9CB-D9656A63B9E7}"/>
    <cellStyle name="Style 85 9 2" xfId="3589" xr:uid="{A2E317A9-2581-4CC0-9E65-C34978D56FEC}"/>
    <cellStyle name="Style 85 9 2 10" xfId="15625" xr:uid="{218A025F-A239-4A52-BBF1-CED867ED36CA}"/>
    <cellStyle name="Style 85 9 2 10 2" xfId="34281" xr:uid="{15A7B731-46D1-4DA9-BB0D-2B7D581CA468}"/>
    <cellStyle name="Style 85 9 2 11" xfId="15626" xr:uid="{13165FBC-3F2F-419D-B72A-DDC02279FAC4}"/>
    <cellStyle name="Style 85 9 2 11 2" xfId="34282" xr:uid="{DE3C4B08-B071-4895-93A1-C06BA434DACA}"/>
    <cellStyle name="Style 85 9 2 12" xfId="15627" xr:uid="{5048A2DB-A309-4E76-991E-7F818A6C7D5D}"/>
    <cellStyle name="Style 85 9 2 12 2" xfId="34283" xr:uid="{59B91C2E-1C61-4497-BF05-C66D13E9DFB2}"/>
    <cellStyle name="Style 85 9 2 2" xfId="7310" xr:uid="{216D4F23-BF0C-4E6F-B761-071BDA084BC2}"/>
    <cellStyle name="Style 85 9 2 2 2" xfId="15628" xr:uid="{A2BF7968-E082-4627-B075-1508323B9F8D}"/>
    <cellStyle name="Style 85 9 2 2 2 2" xfId="34284" xr:uid="{A97139C7-1E57-4E85-ABC8-13A6080C2EA2}"/>
    <cellStyle name="Style 85 9 2 2 3" xfId="15629" xr:uid="{AD0AF209-A872-4C51-ABB2-6C1D1174571A}"/>
    <cellStyle name="Style 85 9 2 2 3 2" xfId="34285" xr:uid="{5E438E5A-EA63-4B5E-8150-C63794015DFE}"/>
    <cellStyle name="Style 85 9 2 3" xfId="15630" xr:uid="{8C94FD59-3836-4D68-850D-02DAAEC0AE38}"/>
    <cellStyle name="Style 85 9 2 3 2" xfId="15631" xr:uid="{E95C0F27-2624-4440-B625-26B5D324864C}"/>
    <cellStyle name="Style 85 9 2 3 2 2" xfId="34286" xr:uid="{ADE2CD1D-3D59-46AC-92D4-B06706064A03}"/>
    <cellStyle name="Style 85 9 2 3 3" xfId="28136" xr:uid="{1777DCF5-E089-4AC5-A782-DAB1AC1375ED}"/>
    <cellStyle name="Style 85 9 2 4" xfId="15632" xr:uid="{FD94959E-A676-41E6-9BBA-21C4A34B992C}"/>
    <cellStyle name="Style 85 9 2 4 2" xfId="34287" xr:uid="{836B467E-567D-4AA2-A903-0390729207BF}"/>
    <cellStyle name="Style 85 9 2 5" xfId="15633" xr:uid="{A2BF6347-4A5E-4224-852B-6A87039082D8}"/>
    <cellStyle name="Style 85 9 2 5 2" xfId="34288" xr:uid="{6EFE8D4C-1A60-4614-889D-FF2D43A147F4}"/>
    <cellStyle name="Style 85 9 2 6" xfId="15634" xr:uid="{E5B788F8-70C8-4971-B939-B51BE9D33541}"/>
    <cellStyle name="Style 85 9 2 6 2" xfId="34289" xr:uid="{C93290D6-BA31-4167-9A86-849728B00CD7}"/>
    <cellStyle name="Style 85 9 2 7" xfId="15635" xr:uid="{3F2978D5-9FEA-495C-B688-CCD8375C3BA9}"/>
    <cellStyle name="Style 85 9 2 7 2" xfId="34290" xr:uid="{AE3B13D1-5C64-41EB-AAE0-D150CF1BE3A9}"/>
    <cellStyle name="Style 85 9 2 8" xfId="15636" xr:uid="{67CF1A9D-3933-43DE-92C4-2AE35A5EB0F2}"/>
    <cellStyle name="Style 85 9 2 8 2" xfId="34291" xr:uid="{6C08B744-DA44-40F0-9A0E-8A9D622322DB}"/>
    <cellStyle name="Style 85 9 2 9" xfId="15637" xr:uid="{B16EAF30-EEDF-4523-AFE8-3DE2F3BB6822}"/>
    <cellStyle name="Style 85 9 2 9 2" xfId="34292" xr:uid="{D3B79045-2556-4F6C-8F3E-DDA696969305}"/>
    <cellStyle name="Style 85 9 3" xfId="4215" xr:uid="{06E2F09D-B9FB-4999-A5D5-1D04C858A733}"/>
    <cellStyle name="Style 85 9 3 2" xfId="7311" xr:uid="{5BC01A21-1BDD-4358-AF86-B76143C9CA84}"/>
    <cellStyle name="Style 85 9 3 2 2" xfId="15638" xr:uid="{BC04A63E-2F89-406F-948B-0F085197AAAD}"/>
    <cellStyle name="Style 85 9 3 2 2 2" xfId="34293" xr:uid="{A4ECE1D6-FF69-495B-A60B-39E48B4EF227}"/>
    <cellStyle name="Style 85 9 3 2 3" xfId="28348" xr:uid="{526BB021-D908-4226-A9F3-C9F2FF67FF41}"/>
    <cellStyle name="Style 85 9 3 3" xfId="15639" xr:uid="{69D92362-DDCF-4142-AD19-A34AFF7E4E57}"/>
    <cellStyle name="Style 85 9 3 3 2" xfId="34294" xr:uid="{CDEC3F8A-05D0-448D-BB7B-81C367AC204B}"/>
    <cellStyle name="Style 85 9 4" xfId="7309" xr:uid="{59B8AFD0-638A-4FE7-AC32-52CCBB5D90BD}"/>
    <cellStyle name="Style 85 9 4 2" xfId="15640" xr:uid="{9ECD2B44-B52C-405D-A327-135093D83D3F}"/>
    <cellStyle name="Style 85 9 4 2 2" xfId="34295" xr:uid="{75B4FD03-209E-4E1D-B460-BAA6C9EFE972}"/>
    <cellStyle name="Style 85 9 5" xfId="15641" xr:uid="{3F3788BC-A3C4-4C97-82FA-BBB2C8FA50E0}"/>
    <cellStyle name="Style 85 9 5 2" xfId="15642" xr:uid="{C9C352F5-8CBB-4961-B0A4-539BEBAE90C7}"/>
    <cellStyle name="Style 85 9 5 2 2" xfId="34296" xr:uid="{15CDD546-65DE-41B3-BBF3-DA0EE3BDED2F}"/>
    <cellStyle name="Style 85 9 5 3" xfId="28135" xr:uid="{6EFBD882-8115-4139-A90F-DC076A2DCF2B}"/>
    <cellStyle name="Style 85 9 6" xfId="15643" xr:uid="{1BA70F4C-3432-4708-9285-219C7BBEC966}"/>
    <cellStyle name="Style 85 9 6 2" xfId="34297" xr:uid="{07DC9DB6-3394-4F97-98CD-AD28C87FE0BD}"/>
    <cellStyle name="Style 85 9 7" xfId="15644" xr:uid="{29763EFB-6B19-49B7-BFA7-3E19EB46AAB7}"/>
    <cellStyle name="Style 85 9 7 2" xfId="34298" xr:uid="{97D54E9E-43D2-4278-9B42-D31AA52E0626}"/>
    <cellStyle name="Style 85 9 8" xfId="15645" xr:uid="{D9B38F23-3641-479D-A1E9-D99A20D9E5B4}"/>
    <cellStyle name="Style 85 9 8 2" xfId="34299" xr:uid="{A70E8B9B-0B67-458B-97EE-FC8F4C3BD05E}"/>
    <cellStyle name="Style 85 9 9" xfId="15646" xr:uid="{7EF1D3D6-1D70-4B81-8141-5023B21FFF0F}"/>
    <cellStyle name="Style 85 9 9 2" xfId="34300" xr:uid="{F2CAB5E8-DCE7-4EAF-A9A5-70B483F5BBDB}"/>
    <cellStyle name="Style 85_ADDON" xfId="25812" xr:uid="{8C5CE68D-9365-4926-9531-6ACD17F79521}"/>
    <cellStyle name="Style 86" xfId="3590" xr:uid="{61D593DA-170D-4274-95E5-1F1FEBD89ACF}"/>
    <cellStyle name="Style 86 10" xfId="7312" xr:uid="{C5CF1362-8CA0-44F7-8A34-8F1933F1C851}"/>
    <cellStyle name="Style 86 10 2" xfId="15647" xr:uid="{988F42C5-43F3-41A9-B4CB-A804D8EF136A}"/>
    <cellStyle name="Style 86 10 2 2" xfId="34301" xr:uid="{10B6D707-095A-4E0B-8C33-F1848EA97326}"/>
    <cellStyle name="Style 86 11" xfId="15648" xr:uid="{6C26D29B-BCD3-424D-89FF-B4142B5E28F2}"/>
    <cellStyle name="Style 86 11 2" xfId="15649" xr:uid="{7F85044B-B63C-4479-BE56-85521EA7A43A}"/>
    <cellStyle name="Style 86 11 2 2" xfId="34302" xr:uid="{DB1B4630-1AC0-4848-A0DE-A3AEEDE8D223}"/>
    <cellStyle name="Style 86 11 3" xfId="26716" xr:uid="{0BD027C9-FA57-43FF-A22A-13E89A5665BF}"/>
    <cellStyle name="Style 86 12" xfId="15650" xr:uid="{92068E88-FEA8-4400-9E04-71E469CB34CC}"/>
    <cellStyle name="Style 86 12 2" xfId="34303" xr:uid="{FAA53349-3DE4-4A98-883F-CE50EB171F24}"/>
    <cellStyle name="Style 86 13" xfId="15651" xr:uid="{A124E5FB-01F5-4891-AA69-395DBBBC55F9}"/>
    <cellStyle name="Style 86 13 2" xfId="34304" xr:uid="{85A1C11E-5C35-4FD7-B33D-64D6C42E0DFE}"/>
    <cellStyle name="Style 86 14" xfId="15652" xr:uid="{E9CAAEA8-1962-4049-8C2D-A866FFF3AFB9}"/>
    <cellStyle name="Style 86 14 2" xfId="34305" xr:uid="{E67A3D33-5210-43EF-A231-FD3788CC1C66}"/>
    <cellStyle name="Style 86 15" xfId="15653" xr:uid="{4BB562DA-3120-413F-8E3D-DB19C76B80D4}"/>
    <cellStyle name="Style 86 15 2" xfId="34306" xr:uid="{4FB8B39B-15E1-4DA5-8C96-A3E1E0B3537D}"/>
    <cellStyle name="Style 86 16" xfId="15654" xr:uid="{49644B71-C9CE-4035-8598-FFDAF4662B6D}"/>
    <cellStyle name="Style 86 16 2" xfId="34307" xr:uid="{3C9C9338-9986-4001-9279-618A5D62390B}"/>
    <cellStyle name="Style 86 17" xfId="15655" xr:uid="{373FE63D-D01F-4166-B433-9EE162FEE5F8}"/>
    <cellStyle name="Style 86 17 2" xfId="34308" xr:uid="{EE8208D1-8C12-4CFE-A573-82F5A0F0FD32}"/>
    <cellStyle name="Style 86 18" xfId="15656" xr:uid="{9B37B5B2-A707-448B-891C-8B96A2FBDD73}"/>
    <cellStyle name="Style 86 18 2" xfId="34309" xr:uid="{D20D6455-1C0A-41EA-918E-27142A2D5E71}"/>
    <cellStyle name="Style 86 19" xfId="15657" xr:uid="{CB4A3D3F-4BF2-4187-9A00-1945697ACF88}"/>
    <cellStyle name="Style 86 19 2" xfId="34310" xr:uid="{216C56C1-5BBF-415F-9FD9-159FF7B3CAF7}"/>
    <cellStyle name="Style 86 2" xfId="3591" xr:uid="{2F1232E5-F464-4D3F-81A9-E661C863FD51}"/>
    <cellStyle name="Style 86 2 10" xfId="15658" xr:uid="{AA610BBF-39AD-44BC-9B7E-326F2F71C96B}"/>
    <cellStyle name="Style 86 2 10 2" xfId="34311" xr:uid="{D09F1BB7-0BE8-49CF-98CE-9FD6C5BAAA54}"/>
    <cellStyle name="Style 86 2 11" xfId="15659" xr:uid="{5ABD3876-DF7F-40C9-93B5-807697E3DD5D}"/>
    <cellStyle name="Style 86 2 11 2" xfId="34312" xr:uid="{D1EAF3CE-2481-4609-BA51-F25076F4AC33}"/>
    <cellStyle name="Style 86 2 12" xfId="15660" xr:uid="{F07E07F2-D5A5-4A79-A49E-10ED6718211C}"/>
    <cellStyle name="Style 86 2 12 2" xfId="34313" xr:uid="{6933AC78-18C5-45BC-8CC7-0D3C809FA22E}"/>
    <cellStyle name="Style 86 2 13" xfId="15661" xr:uid="{7EF94F7C-21E6-4F9D-8CF1-6BFA6EB52365}"/>
    <cellStyle name="Style 86 2 13 2" xfId="34314" xr:uid="{BF4306C5-2D9E-44FC-A349-26E368D40304}"/>
    <cellStyle name="Style 86 2 14" xfId="15662" xr:uid="{CAB42E0B-F859-4BE2-BD03-1F24900A830A}"/>
    <cellStyle name="Style 86 2 14 2" xfId="34315" xr:uid="{28CC29C0-6CF0-4688-9B0C-9AD4A6DA1587}"/>
    <cellStyle name="Style 86 2 15" xfId="15663" xr:uid="{2F054D1B-6B25-4365-B366-FD158FE70C0C}"/>
    <cellStyle name="Style 86 2 15 2" xfId="34316" xr:uid="{3C0913F3-6E2A-4EAA-B2C6-827888340F12}"/>
    <cellStyle name="Style 86 2 16" xfId="15664" xr:uid="{BCF97027-5011-4079-B7F8-75EA8DDD132C}"/>
    <cellStyle name="Style 86 2 16 2" xfId="34317" xr:uid="{22BE60E7-2EE8-4F9C-AFB7-D74C203538D7}"/>
    <cellStyle name="Style 86 2 17" xfId="15665" xr:uid="{27181E08-CB6E-467B-AC8F-AD667C48D2CE}"/>
    <cellStyle name="Style 86 2 17 2" xfId="34318" xr:uid="{8617E4B2-8A7C-4AA8-BF1B-F9B720BCAE3E}"/>
    <cellStyle name="Style 86 2 2" xfId="3592" xr:uid="{8E764A7A-369C-44BB-8F13-49255DDE62E4}"/>
    <cellStyle name="Style 86 2 2 10" xfId="15666" xr:uid="{93C6EFBD-76F7-4434-BF08-CBE59DF1032C}"/>
    <cellStyle name="Style 86 2 2 10 2" xfId="34319" xr:uid="{8355992C-0957-492B-A6EA-796983598F32}"/>
    <cellStyle name="Style 86 2 2 11" xfId="15667" xr:uid="{DA08C679-453A-47ED-BB57-D16586A57CDA}"/>
    <cellStyle name="Style 86 2 2 11 2" xfId="34320" xr:uid="{BD3F4358-AB45-474E-BA4F-3FBF0F2FFC15}"/>
    <cellStyle name="Style 86 2 2 12" xfId="15668" xr:uid="{3A0C9F20-D82B-40EE-8CBD-BFD298B57A08}"/>
    <cellStyle name="Style 86 2 2 12 2" xfId="34321" xr:uid="{F38CCED2-06BB-4283-836F-8B7E581D1B37}"/>
    <cellStyle name="Style 86 2 2 13" xfId="15669" xr:uid="{DBC6C2CF-2AB2-4B00-B941-4AEA61D9FC67}"/>
    <cellStyle name="Style 86 2 2 13 2" xfId="34322" xr:uid="{8746E546-58B1-4842-ADCF-456039F2AE6D}"/>
    <cellStyle name="Style 86 2 2 14" xfId="15670" xr:uid="{5CF0D22E-874C-43E6-9D47-C56FC1B0E49F}"/>
    <cellStyle name="Style 86 2 2 14 2" xfId="34323" xr:uid="{4D5CE9B8-8000-4CEB-9D83-4F8538ABC864}"/>
    <cellStyle name="Style 86 2 2 15" xfId="15671" xr:uid="{10F017C1-3B9A-4D90-9501-095F854B4242}"/>
    <cellStyle name="Style 86 2 2 15 2" xfId="34324" xr:uid="{BF73001F-5FF2-44B8-98E0-D4F6D65AA3BE}"/>
    <cellStyle name="Style 86 2 2 16" xfId="15672" xr:uid="{E10842FE-125B-4354-B3FB-3E732C96483E}"/>
    <cellStyle name="Style 86 2 2 16 2" xfId="34325" xr:uid="{D922E026-4F98-4AAF-B48C-9FA70D6B12F8}"/>
    <cellStyle name="Style 86 2 2 2" xfId="3593" xr:uid="{95A0B081-097B-450D-82EA-D80A2BCE6442}"/>
    <cellStyle name="Style 86 2 2 2 10" xfId="15673" xr:uid="{7FB0DA23-6D1B-4C3B-9228-52730077FC6E}"/>
    <cellStyle name="Style 86 2 2 2 10 2" xfId="34326" xr:uid="{B5DB7EB5-B58D-4230-AD57-5BD9ADE4543D}"/>
    <cellStyle name="Style 86 2 2 2 11" xfId="15674" xr:uid="{9A87F75E-C5B8-4846-8C3C-03F2AAAA1779}"/>
    <cellStyle name="Style 86 2 2 2 11 2" xfId="34327" xr:uid="{EE88C890-E2A4-4E0A-A972-A34CE037B920}"/>
    <cellStyle name="Style 86 2 2 2 12" xfId="15675" xr:uid="{10F0464F-701B-4DD3-B0E7-99928215168D}"/>
    <cellStyle name="Style 86 2 2 2 12 2" xfId="34328" xr:uid="{1A7A241B-3B74-4E77-A2E6-B0345093DA00}"/>
    <cellStyle name="Style 86 2 2 2 13" xfId="15676" xr:uid="{721969A2-B0DE-4CEF-82F3-0E1EC932C54F}"/>
    <cellStyle name="Style 86 2 2 2 13 2" xfId="34329" xr:uid="{E044140A-DF7C-4359-970C-2EB1F40B856C}"/>
    <cellStyle name="Style 86 2 2 2 14" xfId="15677" xr:uid="{55059ABB-54BF-40B9-9D11-8D75D050E3DD}"/>
    <cellStyle name="Style 86 2 2 2 14 2" xfId="34330" xr:uid="{4D865986-4686-4758-A0AE-B15256F83B2C}"/>
    <cellStyle name="Style 86 2 2 2 15" xfId="15678" xr:uid="{E263F55C-ADB6-482D-AE38-9C127C59B244}"/>
    <cellStyle name="Style 86 2 2 2 15 2" xfId="34331" xr:uid="{2058F231-400C-48C2-8DF8-7EE2D752C7CB}"/>
    <cellStyle name="Style 86 2 2 2 2" xfId="3594" xr:uid="{B49FC457-C34F-4E00-9229-1FF4E6177121}"/>
    <cellStyle name="Style 86 2 2 2 2 10" xfId="15679" xr:uid="{F5FEF4E4-5F88-492A-95BC-DDCDDD56B885}"/>
    <cellStyle name="Style 86 2 2 2 2 10 2" xfId="34332" xr:uid="{C7C4F63E-D1F9-4E62-BDD9-28D08505F9DA}"/>
    <cellStyle name="Style 86 2 2 2 2 11" xfId="15680" xr:uid="{4BBC09B3-0C2D-4C4A-A0BE-5C80AE0C583C}"/>
    <cellStyle name="Style 86 2 2 2 2 11 2" xfId="34333" xr:uid="{4F1173C0-74FA-4541-A512-5DFB12157571}"/>
    <cellStyle name="Style 86 2 2 2 2 12" xfId="15681" xr:uid="{33E2BC4F-9B8C-4C33-B13F-84DC5240D28A}"/>
    <cellStyle name="Style 86 2 2 2 2 12 2" xfId="34334" xr:uid="{DA71CFCA-A1BE-47A4-817A-45265AD21855}"/>
    <cellStyle name="Style 86 2 2 2 2 13" xfId="15682" xr:uid="{E1091449-A91A-4566-A442-940A5B0E930F}"/>
    <cellStyle name="Style 86 2 2 2 2 13 2" xfId="34335" xr:uid="{15CC2C95-1BF9-488A-9575-DFE79732B845}"/>
    <cellStyle name="Style 86 2 2 2 2 14" xfId="15683" xr:uid="{167F201F-2250-43BA-84C8-8272FB55755A}"/>
    <cellStyle name="Style 86 2 2 2 2 14 2" xfId="34336" xr:uid="{F9716DD5-EBB5-4ED5-9E0D-575539F351DE}"/>
    <cellStyle name="Style 86 2 2 2 2 2" xfId="3595" xr:uid="{9DED59B6-DB78-44BF-9D9F-ACBC03E3C0E1}"/>
    <cellStyle name="Style 86 2 2 2 2 2 10" xfId="15684" xr:uid="{5587AACF-9F1F-43DA-BBC5-F03AF9EFB2BC}"/>
    <cellStyle name="Style 86 2 2 2 2 2 10 2" xfId="34337" xr:uid="{3833FDF1-CA71-42DE-94F1-47C85289FE0B}"/>
    <cellStyle name="Style 86 2 2 2 2 2 11" xfId="15685" xr:uid="{A6D80F28-7C5B-4B31-A854-E6E33443A0EB}"/>
    <cellStyle name="Style 86 2 2 2 2 2 11 2" xfId="34338" xr:uid="{41B10034-93C7-4656-B2CB-4210C8081ABD}"/>
    <cellStyle name="Style 86 2 2 2 2 2 12" xfId="15686" xr:uid="{B21201BC-EF5D-4605-AE1C-EB7F0DCD3994}"/>
    <cellStyle name="Style 86 2 2 2 2 2 12 2" xfId="34339" xr:uid="{322316CF-D1FA-4A48-902B-CD08ABBC9C4F}"/>
    <cellStyle name="Style 86 2 2 2 2 2 2" xfId="7317" xr:uid="{402EC457-B95C-4433-AB5A-11E682585537}"/>
    <cellStyle name="Style 86 2 2 2 2 2 2 2" xfId="15687" xr:uid="{A2AB1197-D42C-4C2D-ABF2-A43499AAC55F}"/>
    <cellStyle name="Style 86 2 2 2 2 2 2 2 2" xfId="34340" xr:uid="{DCC04C38-77BE-4BC9-AD8E-6A007A338660}"/>
    <cellStyle name="Style 86 2 2 2 2 2 2 3" xfId="15688" xr:uid="{A45FA771-AE90-42F7-B42E-78022BBF75A5}"/>
    <cellStyle name="Style 86 2 2 2 2 2 2 3 2" xfId="34341" xr:uid="{890AADE3-934F-4B61-A9AD-1C460D520F88}"/>
    <cellStyle name="Style 86 2 2 2 2 2 3" xfId="15689" xr:uid="{608CE5D1-1476-4880-8727-22E8359B81AF}"/>
    <cellStyle name="Style 86 2 2 2 2 2 3 2" xfId="15690" xr:uid="{D048F867-BC4F-44BE-9AA0-A39D9F0C9488}"/>
    <cellStyle name="Style 86 2 2 2 2 2 3 2 2" xfId="34342" xr:uid="{AC24922C-D9C5-4B27-A07F-060557794CB5}"/>
    <cellStyle name="Style 86 2 2 2 2 2 4" xfId="15691" xr:uid="{B9DABFB5-2BF0-4109-9693-79E128F9549B}"/>
    <cellStyle name="Style 86 2 2 2 2 2 4 2" xfId="34343" xr:uid="{A655C777-3BDE-43D1-A2BA-3DADB01079F4}"/>
    <cellStyle name="Style 86 2 2 2 2 2 5" xfId="15692" xr:uid="{88C64CAD-61ED-4CE3-A0C9-ED6BB7DFB09C}"/>
    <cellStyle name="Style 86 2 2 2 2 2 5 2" xfId="34344" xr:uid="{8E887C10-014F-4987-9D6A-15369094ED7D}"/>
    <cellStyle name="Style 86 2 2 2 2 2 6" xfId="15693" xr:uid="{EEE8B9E2-AD7C-48BC-8979-DA53D1550CA0}"/>
    <cellStyle name="Style 86 2 2 2 2 2 6 2" xfId="34345" xr:uid="{0A97F36A-221C-4B19-9FFD-3A09720E0369}"/>
    <cellStyle name="Style 86 2 2 2 2 2 7" xfId="15694" xr:uid="{898C314C-B73D-4DBD-B9D9-B9FD44344CD0}"/>
    <cellStyle name="Style 86 2 2 2 2 2 7 2" xfId="34346" xr:uid="{0E1A5117-D261-42D5-BCA3-092253181311}"/>
    <cellStyle name="Style 86 2 2 2 2 2 8" xfId="15695" xr:uid="{3999FC1C-8DBA-4967-B113-7E3CD3AFD331}"/>
    <cellStyle name="Style 86 2 2 2 2 2 8 2" xfId="34347" xr:uid="{9E53A45E-6287-4E21-860F-A75A779B5712}"/>
    <cellStyle name="Style 86 2 2 2 2 2 9" xfId="15696" xr:uid="{0EB0F0E2-2738-46E0-B5ED-1264ECFE34A9}"/>
    <cellStyle name="Style 86 2 2 2 2 2 9 2" xfId="34348" xr:uid="{98F55AF4-B6F7-494A-9A8C-662A78C3F664}"/>
    <cellStyle name="Style 86 2 2 2 2 3" xfId="7316" xr:uid="{516DAE9D-4246-4A8D-9D1E-84BECE239EA9}"/>
    <cellStyle name="Style 86 2 2 2 2 3 2" xfId="15697" xr:uid="{86127639-2DB9-444F-9B8C-4A5A3C138348}"/>
    <cellStyle name="Style 86 2 2 2 2 3 2 2" xfId="34349" xr:uid="{6627B5B9-2CDC-4E65-BE94-924531FAAA23}"/>
    <cellStyle name="Style 86 2 2 2 2 3 3" xfId="15698" xr:uid="{2032A137-0B51-46C6-B361-935DC6C0E1BD}"/>
    <cellStyle name="Style 86 2 2 2 2 3 3 2" xfId="34350" xr:uid="{FB6EE08D-B169-449C-90FD-BD129629BC8B}"/>
    <cellStyle name="Style 86 2 2 2 2 4" xfId="15699" xr:uid="{702B6CEF-9B7B-4FD9-AFB8-A199E774E510}"/>
    <cellStyle name="Style 86 2 2 2 2 4 2" xfId="15700" xr:uid="{B1CBA9B9-4A60-4866-85E4-0B337A99FFB6}"/>
    <cellStyle name="Style 86 2 2 2 2 4 2 2" xfId="34351" xr:uid="{4DBF96B5-1063-46AE-94B3-6B39AC2C8469}"/>
    <cellStyle name="Style 86 2 2 2 2 5" xfId="15701" xr:uid="{09C8D595-24A1-4B57-A5BD-BCEBC2EE2FE8}"/>
    <cellStyle name="Style 86 2 2 2 2 5 2" xfId="34352" xr:uid="{F7949751-24DC-4BE5-81E5-0198E530C7F1}"/>
    <cellStyle name="Style 86 2 2 2 2 6" xfId="15702" xr:uid="{4A236940-9D83-4D26-9096-C427420F8BD2}"/>
    <cellStyle name="Style 86 2 2 2 2 6 2" xfId="34353" xr:uid="{AD68EA95-DFEF-4FC5-85E6-45B6277C8903}"/>
    <cellStyle name="Style 86 2 2 2 2 7" xfId="15703" xr:uid="{44AC714A-7A54-4280-88B5-C6A999022284}"/>
    <cellStyle name="Style 86 2 2 2 2 7 2" xfId="34354" xr:uid="{8EDA6E76-6CA4-4337-AA91-44EAD21D6818}"/>
    <cellStyle name="Style 86 2 2 2 2 8" xfId="15704" xr:uid="{B9238555-1085-4A36-B329-66BFA5089424}"/>
    <cellStyle name="Style 86 2 2 2 2 8 2" xfId="34355" xr:uid="{8E909215-0A8C-4CAA-90BC-674948D7035E}"/>
    <cellStyle name="Style 86 2 2 2 2 9" xfId="15705" xr:uid="{60A7E16D-B9FF-4ECA-A881-CEFFE896ACAB}"/>
    <cellStyle name="Style 86 2 2 2 2 9 2" xfId="34356" xr:uid="{18C4EDE3-3736-484F-BD94-794C7C4FE0F7}"/>
    <cellStyle name="Style 86 2 2 2 3" xfId="3596" xr:uid="{843AC2C2-84A2-45A8-9425-4AE23198917D}"/>
    <cellStyle name="Style 86 2 2 2 3 10" xfId="15706" xr:uid="{AADCE129-B6E6-48A8-BB6D-5356517A2A32}"/>
    <cellStyle name="Style 86 2 2 2 3 10 2" xfId="34357" xr:uid="{DE371A95-5D2D-4A61-A831-8B061CA1C5EB}"/>
    <cellStyle name="Style 86 2 2 2 3 11" xfId="15707" xr:uid="{A6ED686D-003A-4811-9861-6994E57F4D8E}"/>
    <cellStyle name="Style 86 2 2 2 3 11 2" xfId="34358" xr:uid="{6427CC58-67CE-4267-A577-84E8846F7889}"/>
    <cellStyle name="Style 86 2 2 2 3 12" xfId="15708" xr:uid="{AD36DB1D-F1D3-4A1B-9BBB-91FBFE6FD8FF}"/>
    <cellStyle name="Style 86 2 2 2 3 12 2" xfId="34359" xr:uid="{4F2C3827-C083-471F-B8E1-65C8176EE56C}"/>
    <cellStyle name="Style 86 2 2 2 3 2" xfId="7318" xr:uid="{3B4B7226-46EB-4955-9571-8D00EEAF8DD7}"/>
    <cellStyle name="Style 86 2 2 2 3 2 2" xfId="15709" xr:uid="{B89B1E7D-6A37-4CAB-BACE-6CEBE12E3C3F}"/>
    <cellStyle name="Style 86 2 2 2 3 2 2 2" xfId="34360" xr:uid="{820399CB-C8C8-4F61-A0C3-EA2DBE3A0812}"/>
    <cellStyle name="Style 86 2 2 2 3 2 3" xfId="15710" xr:uid="{8C8D907A-91B9-4E75-B3DC-805751847BED}"/>
    <cellStyle name="Style 86 2 2 2 3 2 3 2" xfId="34361" xr:uid="{1DE5D644-21D1-4DF3-9908-344ECB011CC5}"/>
    <cellStyle name="Style 86 2 2 2 3 3" xfId="15711" xr:uid="{DD37A4A2-5E4C-4BAE-B938-47D88C17E77E}"/>
    <cellStyle name="Style 86 2 2 2 3 3 2" xfId="15712" xr:uid="{C9C80578-EB2E-4E77-805F-82A44FE85C6A}"/>
    <cellStyle name="Style 86 2 2 2 3 3 2 2" xfId="34362" xr:uid="{50F8C592-EA7E-4F3B-BDF1-769FF16E0C98}"/>
    <cellStyle name="Style 86 2 2 2 3 4" xfId="15713" xr:uid="{A1E9C481-40DD-4C34-AEFD-A808F95B8EA7}"/>
    <cellStyle name="Style 86 2 2 2 3 4 2" xfId="34363" xr:uid="{D73D8956-5642-4914-AEBE-71D30EBFF350}"/>
    <cellStyle name="Style 86 2 2 2 3 5" xfId="15714" xr:uid="{EBD7F48F-8ED2-4F83-8D81-7186A39A21F8}"/>
    <cellStyle name="Style 86 2 2 2 3 5 2" xfId="34364" xr:uid="{01FD833D-48BE-4BB0-91A8-3518FD9AE04E}"/>
    <cellStyle name="Style 86 2 2 2 3 6" xfId="15715" xr:uid="{1483B8F7-D77F-43FB-A54A-4E7DAAA64000}"/>
    <cellStyle name="Style 86 2 2 2 3 6 2" xfId="34365" xr:uid="{96AE1D10-8F87-4ACE-8FC0-A4569026FF10}"/>
    <cellStyle name="Style 86 2 2 2 3 7" xfId="15716" xr:uid="{35BB5E0B-CC19-444D-9C36-A4C9A4B63044}"/>
    <cellStyle name="Style 86 2 2 2 3 7 2" xfId="34366" xr:uid="{B871F74F-FE03-42A0-A863-5A1A09A67705}"/>
    <cellStyle name="Style 86 2 2 2 3 8" xfId="15717" xr:uid="{862D6DEB-1EE2-4229-888E-33C0AA7B961D}"/>
    <cellStyle name="Style 86 2 2 2 3 8 2" xfId="34367" xr:uid="{9036019E-932C-4043-9F43-22BF6FFECF76}"/>
    <cellStyle name="Style 86 2 2 2 3 9" xfId="15718" xr:uid="{E7AE48DB-3D86-49CA-986E-DCE9594CA203}"/>
    <cellStyle name="Style 86 2 2 2 3 9 2" xfId="34368" xr:uid="{A44B8CD5-8FB2-4431-9B35-056D85F4036D}"/>
    <cellStyle name="Style 86 2 2 2 4" xfId="7315" xr:uid="{D8F129FD-5477-4EA0-8181-C4A7942F46DC}"/>
    <cellStyle name="Style 86 2 2 2 4 2" xfId="15719" xr:uid="{A95AB70B-F4BD-435B-9047-BC91140E375D}"/>
    <cellStyle name="Style 86 2 2 2 4 2 2" xfId="34369" xr:uid="{4232CC17-FDA2-4E7B-A4DE-AA5381BF0D8B}"/>
    <cellStyle name="Style 86 2 2 2 4 3" xfId="15720" xr:uid="{F62BDF7F-2B5F-4FF2-8C22-02927CD9E988}"/>
    <cellStyle name="Style 86 2 2 2 4 3 2" xfId="34370" xr:uid="{B3D8A3FF-338E-4A1E-9940-B53F1B6D2939}"/>
    <cellStyle name="Style 86 2 2 2 5" xfId="15721" xr:uid="{3E2DB7CD-7B2D-4C0D-B53D-52D24D0E9FF8}"/>
    <cellStyle name="Style 86 2 2 2 5 2" xfId="15722" xr:uid="{30C0567F-CCEC-4A83-BD7D-8B1612BB0D8E}"/>
    <cellStyle name="Style 86 2 2 2 5 2 2" xfId="34371" xr:uid="{9B3BBD98-7242-47AF-82CB-3334D728B592}"/>
    <cellStyle name="Style 86 2 2 2 6" xfId="15723" xr:uid="{188D9935-A1CA-4EA8-A69C-BBD4464C911F}"/>
    <cellStyle name="Style 86 2 2 2 6 2" xfId="34372" xr:uid="{070A6394-6114-489B-87C1-8C7A32CBC428}"/>
    <cellStyle name="Style 86 2 2 2 7" xfId="15724" xr:uid="{0262F44F-C5D4-4DC3-AFD4-3034D844D85B}"/>
    <cellStyle name="Style 86 2 2 2 7 2" xfId="34373" xr:uid="{33AB9D64-E8E6-4CD8-9450-58A4487381D2}"/>
    <cellStyle name="Style 86 2 2 2 8" xfId="15725" xr:uid="{678D25B4-A102-4E82-A777-08F04458A627}"/>
    <cellStyle name="Style 86 2 2 2 8 2" xfId="34374" xr:uid="{4C5BFA13-0E66-483E-A29E-E7214075B861}"/>
    <cellStyle name="Style 86 2 2 2 9" xfId="15726" xr:uid="{0041A1FF-E20D-439B-9F8A-B0B72871C468}"/>
    <cellStyle name="Style 86 2 2 2 9 2" xfId="34375" xr:uid="{E8224FB8-8490-40F3-853C-C7AE4348E61D}"/>
    <cellStyle name="Style 86 2 2 3" xfId="3597" xr:uid="{C51ADBCD-E0F6-4F16-8EA5-0706FF5CBA48}"/>
    <cellStyle name="Style 86 2 2 3 10" xfId="15727" xr:uid="{BDF2079F-E1AB-4252-821E-686918E17796}"/>
    <cellStyle name="Style 86 2 2 3 10 2" xfId="34376" xr:uid="{C16FAFAB-AA28-4E31-AEF5-749D344DB8D7}"/>
    <cellStyle name="Style 86 2 2 3 11" xfId="15728" xr:uid="{A4E00CBF-A1D9-4852-8166-A619A2D7E03B}"/>
    <cellStyle name="Style 86 2 2 3 11 2" xfId="34377" xr:uid="{3E3B0FFA-83BE-480C-AC8B-F03C3ACD50F3}"/>
    <cellStyle name="Style 86 2 2 3 12" xfId="15729" xr:uid="{64AFF012-B7D4-46E7-9F15-A7268BFBA208}"/>
    <cellStyle name="Style 86 2 2 3 12 2" xfId="34378" xr:uid="{A99C1B7E-8ACF-43B0-A4EC-348BCEA98930}"/>
    <cellStyle name="Style 86 2 2 3 13" xfId="15730" xr:uid="{7FB3838E-0802-4F89-A0A4-4D3428AA58FE}"/>
    <cellStyle name="Style 86 2 2 3 13 2" xfId="34379" xr:uid="{2668031F-FB43-4622-AD95-C4C02765B27D}"/>
    <cellStyle name="Style 86 2 2 3 14" xfId="15731" xr:uid="{6D475CE7-6DAE-40E7-9455-47491ACDE16A}"/>
    <cellStyle name="Style 86 2 2 3 14 2" xfId="34380" xr:uid="{7CAB172F-8B04-4246-A3A0-C5ADDF505DE5}"/>
    <cellStyle name="Style 86 2 2 3 2" xfId="3598" xr:uid="{5FB71C34-E566-4851-BD64-2AAA59C9A8D1}"/>
    <cellStyle name="Style 86 2 2 3 2 10" xfId="15732" xr:uid="{543146DE-1522-4305-AE70-65EAF10E49CA}"/>
    <cellStyle name="Style 86 2 2 3 2 10 2" xfId="34381" xr:uid="{70D726DD-5FD8-4CE5-834C-A6FD8AA34D00}"/>
    <cellStyle name="Style 86 2 2 3 2 11" xfId="15733" xr:uid="{05440F2B-7704-49E3-A9A1-14E87B34AD01}"/>
    <cellStyle name="Style 86 2 2 3 2 11 2" xfId="34382" xr:uid="{C1DFAD8A-753F-439F-92E7-3D63F3D27DE1}"/>
    <cellStyle name="Style 86 2 2 3 2 12" xfId="15734" xr:uid="{CAD87A8A-C6D9-4DBD-987E-4DC7DB3702D4}"/>
    <cellStyle name="Style 86 2 2 3 2 12 2" xfId="34383" xr:uid="{9A6A604A-91B9-42B2-88FF-A6793E25E886}"/>
    <cellStyle name="Style 86 2 2 3 2 2" xfId="7320" xr:uid="{722A016F-4368-4F66-B00E-2FDED58E83D2}"/>
    <cellStyle name="Style 86 2 2 3 2 2 2" xfId="15735" xr:uid="{03D546FD-ED1A-41B4-9FEF-C1327A02828E}"/>
    <cellStyle name="Style 86 2 2 3 2 2 2 2" xfId="34384" xr:uid="{A38162A2-90F2-454C-8D53-D63309F601EB}"/>
    <cellStyle name="Style 86 2 2 3 2 2 3" xfId="15736" xr:uid="{42196C66-3B7D-4097-B6D6-7C246EE60B3F}"/>
    <cellStyle name="Style 86 2 2 3 2 2 3 2" xfId="34385" xr:uid="{00018930-59C2-4801-AE57-1C17EF9188FC}"/>
    <cellStyle name="Style 86 2 2 3 2 3" xfId="15737" xr:uid="{A287A440-1F89-4B2D-B27A-A51E3DE65A41}"/>
    <cellStyle name="Style 86 2 2 3 2 3 2" xfId="15738" xr:uid="{48924BA2-B905-4781-AB55-A69D3C14B161}"/>
    <cellStyle name="Style 86 2 2 3 2 3 2 2" xfId="34386" xr:uid="{155CA19D-8640-4F15-ACE6-3375FDC973B1}"/>
    <cellStyle name="Style 86 2 2 3 2 4" xfId="15739" xr:uid="{0838A701-0E73-4F79-BAEA-7C0F26A16622}"/>
    <cellStyle name="Style 86 2 2 3 2 4 2" xfId="34387" xr:uid="{B4811713-C1E4-4211-BC8C-1F9754D3D18F}"/>
    <cellStyle name="Style 86 2 2 3 2 5" xfId="15740" xr:uid="{C1A3DB32-6A27-47DC-A3CA-4D4E88EAB767}"/>
    <cellStyle name="Style 86 2 2 3 2 5 2" xfId="34388" xr:uid="{87F5ADA5-6E13-4E30-865C-CAF05FA3FAF9}"/>
    <cellStyle name="Style 86 2 2 3 2 6" xfId="15741" xr:uid="{D2C4ECB6-B8C7-4A45-995D-B8FE44997853}"/>
    <cellStyle name="Style 86 2 2 3 2 6 2" xfId="34389" xr:uid="{E675F3C3-5A41-40E0-BFD7-2DB74A6D6CDE}"/>
    <cellStyle name="Style 86 2 2 3 2 7" xfId="15742" xr:uid="{E68C8628-D005-4C05-B5DB-C74CB3430A1D}"/>
    <cellStyle name="Style 86 2 2 3 2 7 2" xfId="34390" xr:uid="{E7DE71CD-00BD-49B6-BE23-5D4141660D2A}"/>
    <cellStyle name="Style 86 2 2 3 2 8" xfId="15743" xr:uid="{33874705-7CEE-428C-8982-FF1B7DC3A074}"/>
    <cellStyle name="Style 86 2 2 3 2 8 2" xfId="34391" xr:uid="{E9CFA0C1-F141-40E6-A16D-7170F265025A}"/>
    <cellStyle name="Style 86 2 2 3 2 9" xfId="15744" xr:uid="{B587DFCA-9617-4C6D-9170-B29C443D26C2}"/>
    <cellStyle name="Style 86 2 2 3 2 9 2" xfId="34392" xr:uid="{B0D633A0-96CF-4EFC-8BB5-5A7B1FDCED9D}"/>
    <cellStyle name="Style 86 2 2 3 3" xfId="7319" xr:uid="{6D702DE6-4CF6-4461-892C-609C7E2E4A53}"/>
    <cellStyle name="Style 86 2 2 3 3 2" xfId="15745" xr:uid="{42C4AAB4-A4B9-44AE-B248-DDAADA2C8EB0}"/>
    <cellStyle name="Style 86 2 2 3 3 2 2" xfId="34393" xr:uid="{9FD8214B-F60A-4751-8D7F-6640F0458EF4}"/>
    <cellStyle name="Style 86 2 2 3 3 3" xfId="15746" xr:uid="{6A0D4017-86C4-4814-B1C0-52B247C9C96C}"/>
    <cellStyle name="Style 86 2 2 3 3 3 2" xfId="34394" xr:uid="{07EDFD5D-DBF3-444D-86B2-FB216A56D739}"/>
    <cellStyle name="Style 86 2 2 3 4" xfId="15747" xr:uid="{E7EC5CD4-0794-4888-AECF-87FA2F024281}"/>
    <cellStyle name="Style 86 2 2 3 4 2" xfId="15748" xr:uid="{C367791B-9DE0-4FE7-9FF3-D961A7FE2095}"/>
    <cellStyle name="Style 86 2 2 3 4 2 2" xfId="34395" xr:uid="{878E74EF-3225-48E6-99CD-A75533F65975}"/>
    <cellStyle name="Style 86 2 2 3 5" xfId="15749" xr:uid="{82F5469A-49C6-4292-8C8F-A7C23423644B}"/>
    <cellStyle name="Style 86 2 2 3 5 2" xfId="34396" xr:uid="{2DAA8826-5808-458C-87B1-08B7640ACB3B}"/>
    <cellStyle name="Style 86 2 2 3 6" xfId="15750" xr:uid="{35EEE245-C0CC-49D1-8AF5-05D853620AB2}"/>
    <cellStyle name="Style 86 2 2 3 6 2" xfId="34397" xr:uid="{03BD85FC-6734-4785-AEE2-F42C77F7662E}"/>
    <cellStyle name="Style 86 2 2 3 7" xfId="15751" xr:uid="{E60ADB54-B128-4DC4-AA11-E56C9EF22494}"/>
    <cellStyle name="Style 86 2 2 3 7 2" xfId="34398" xr:uid="{BDDCC1EE-F80F-4E0F-B263-D8911DF87CB3}"/>
    <cellStyle name="Style 86 2 2 3 8" xfId="15752" xr:uid="{163695DF-E838-415B-8EB6-D44DBD90930A}"/>
    <cellStyle name="Style 86 2 2 3 8 2" xfId="34399" xr:uid="{842DF3EB-9054-4BAB-86CA-6AD19C1408ED}"/>
    <cellStyle name="Style 86 2 2 3 9" xfId="15753" xr:uid="{A4EB6251-6FC0-404B-8A01-790F0EE24D96}"/>
    <cellStyle name="Style 86 2 2 3 9 2" xfId="34400" xr:uid="{0AF16FD6-1131-4E59-9787-029045577D5D}"/>
    <cellStyle name="Style 86 2 2 4" xfId="3599" xr:uid="{F23D88DA-728E-4F19-BF46-33A872DF3A63}"/>
    <cellStyle name="Style 86 2 2 4 10" xfId="15754" xr:uid="{09D2F81F-4B83-4753-8B3F-A396472B6ED7}"/>
    <cellStyle name="Style 86 2 2 4 10 2" xfId="34401" xr:uid="{DAC7C3EF-7433-453D-B51B-AE67B350B538}"/>
    <cellStyle name="Style 86 2 2 4 11" xfId="15755" xr:uid="{FDFF14B4-6EB0-45F9-9786-887C63E57C85}"/>
    <cellStyle name="Style 86 2 2 4 11 2" xfId="34402" xr:uid="{A4BAF054-B3B3-43E0-AA0F-FDA99E495120}"/>
    <cellStyle name="Style 86 2 2 4 12" xfId="15756" xr:uid="{63E3EA8D-1C1F-4888-B797-275BD4A9EDB5}"/>
    <cellStyle name="Style 86 2 2 4 12 2" xfId="34403" xr:uid="{0052DF44-4E50-49BC-B586-1D6525188FD3}"/>
    <cellStyle name="Style 86 2 2 4 2" xfId="7321" xr:uid="{B0D82DA6-D57D-4B8C-A5A4-95D4C5A6A5DF}"/>
    <cellStyle name="Style 86 2 2 4 2 2" xfId="15757" xr:uid="{022BA527-A1EF-46A2-93E8-94D374EBE0C2}"/>
    <cellStyle name="Style 86 2 2 4 2 2 2" xfId="34404" xr:uid="{8AF48DFE-945E-4123-9643-5F2B500681BF}"/>
    <cellStyle name="Style 86 2 2 4 2 3" xfId="15758" xr:uid="{2ABC40B8-4722-4791-A9A6-EC706BDEC450}"/>
    <cellStyle name="Style 86 2 2 4 2 3 2" xfId="34405" xr:uid="{8CA159F4-5A9F-455C-8004-FBCF10B17B1A}"/>
    <cellStyle name="Style 86 2 2 4 3" xfId="15759" xr:uid="{B6D87848-13AB-48BA-872C-E353606580D9}"/>
    <cellStyle name="Style 86 2 2 4 3 2" xfId="15760" xr:uid="{AE11C17E-998D-4DA9-A717-A6C75CB037FE}"/>
    <cellStyle name="Style 86 2 2 4 3 2 2" xfId="34406" xr:uid="{A26E080B-7254-475C-B4B3-4FDE4F66EEE2}"/>
    <cellStyle name="Style 86 2 2 4 4" xfId="15761" xr:uid="{6FE9E1EE-1C76-4080-AA2C-2F15B29CD190}"/>
    <cellStyle name="Style 86 2 2 4 4 2" xfId="34407" xr:uid="{8B1DF105-E67A-40A3-BA3A-0A195AEEE336}"/>
    <cellStyle name="Style 86 2 2 4 5" xfId="15762" xr:uid="{DDE74AA7-409B-4AA1-8428-FFE1DDE4B9F3}"/>
    <cellStyle name="Style 86 2 2 4 5 2" xfId="34408" xr:uid="{FB53DD01-2548-483B-A534-3C3932AF582B}"/>
    <cellStyle name="Style 86 2 2 4 6" xfId="15763" xr:uid="{A049E7E1-BFB8-49B2-901A-9F69059510A3}"/>
    <cellStyle name="Style 86 2 2 4 6 2" xfId="34409" xr:uid="{04E6DF31-A73C-4F7A-94B9-6057DE844427}"/>
    <cellStyle name="Style 86 2 2 4 7" xfId="15764" xr:uid="{376A1EC9-B5F2-4D88-A048-CFE3DE45C2A8}"/>
    <cellStyle name="Style 86 2 2 4 7 2" xfId="34410" xr:uid="{ED75B2F0-F06B-4568-AA3C-9091EACA4416}"/>
    <cellStyle name="Style 86 2 2 4 8" xfId="15765" xr:uid="{40F2E68B-BD96-4669-ADB6-480B37FA3518}"/>
    <cellStyle name="Style 86 2 2 4 8 2" xfId="34411" xr:uid="{270F7270-853B-41C9-84CC-48571B4C60C0}"/>
    <cellStyle name="Style 86 2 2 4 9" xfId="15766" xr:uid="{68410CD7-2C5F-4D99-8AC8-7CDFEFC1988E}"/>
    <cellStyle name="Style 86 2 2 4 9 2" xfId="34412" xr:uid="{850933F7-9B63-4477-9AAD-1CFCBE5DBE09}"/>
    <cellStyle name="Style 86 2 2 5" xfId="7314" xr:uid="{23362E22-5421-4A30-985C-75A761C893A7}"/>
    <cellStyle name="Style 86 2 2 5 2" xfId="15767" xr:uid="{C0B7E528-21B8-4EB4-B082-AFD7570398CB}"/>
    <cellStyle name="Style 86 2 2 5 2 2" xfId="34413" xr:uid="{0534568A-9B2A-4D21-A03A-8D878D312A99}"/>
    <cellStyle name="Style 86 2 2 5 3" xfId="15768" xr:uid="{7B625C32-4F36-4989-9A34-D1DCC65DF146}"/>
    <cellStyle name="Style 86 2 2 5 3 2" xfId="34414" xr:uid="{CA5A44ED-795F-4567-A3E7-C737EE19210E}"/>
    <cellStyle name="Style 86 2 2 6" xfId="15769" xr:uid="{211D2723-44DA-44B9-9295-BAC81ADDD632}"/>
    <cellStyle name="Style 86 2 2 6 2" xfId="15770" xr:uid="{E58C560E-BAFF-4610-B7CC-7CF14DB37EE2}"/>
    <cellStyle name="Style 86 2 2 6 2 2" xfId="34415" xr:uid="{CD90069F-5D5A-434C-B97E-CEFC6A8A60E5}"/>
    <cellStyle name="Style 86 2 2 7" xfId="15771" xr:uid="{C4CFEB1A-9067-4D20-BE5A-B4F0BAB84089}"/>
    <cellStyle name="Style 86 2 2 7 2" xfId="34416" xr:uid="{D3A17AF5-049E-44DB-8CC9-D001D7095684}"/>
    <cellStyle name="Style 86 2 2 8" xfId="15772" xr:uid="{CE76F9BB-1449-41D7-A6FC-05342A545EAE}"/>
    <cellStyle name="Style 86 2 2 8 2" xfId="34417" xr:uid="{0C58213F-BF6B-4FF0-BDA1-5DE7F501992D}"/>
    <cellStyle name="Style 86 2 2 9" xfId="15773" xr:uid="{2E3ED616-ECE6-4DE3-902A-B980A17DB71B}"/>
    <cellStyle name="Style 86 2 2 9 2" xfId="34418" xr:uid="{8BACFF20-00CB-49A8-9FB4-FF8E5DC5FE7B}"/>
    <cellStyle name="Style 86 2 3" xfId="3600" xr:uid="{C187DCDF-B0A6-4CBB-BE3A-A72358EB4BB6}"/>
    <cellStyle name="Style 86 2 3 10" xfId="15774" xr:uid="{7070A96D-77BB-489D-8764-83344D110485}"/>
    <cellStyle name="Style 86 2 3 10 2" xfId="34419" xr:uid="{4F37E662-B377-4D22-BFCC-3567A7BB5BDF}"/>
    <cellStyle name="Style 86 2 3 11" xfId="15775" xr:uid="{DB61B617-9C1D-48A2-BB9E-89B272B1A83F}"/>
    <cellStyle name="Style 86 2 3 11 2" xfId="34420" xr:uid="{FD6738B2-51DA-4EE6-A01E-E0B1A4A0B69D}"/>
    <cellStyle name="Style 86 2 3 12" xfId="15776" xr:uid="{31684418-B9BB-4D64-B5BD-849EE78625E2}"/>
    <cellStyle name="Style 86 2 3 12 2" xfId="34421" xr:uid="{761C1689-DFD2-4BF9-9D9E-C51A266E17C9}"/>
    <cellStyle name="Style 86 2 3 13" xfId="15777" xr:uid="{83501B9D-30BB-46F5-A14F-8222232A5B86}"/>
    <cellStyle name="Style 86 2 3 13 2" xfId="34422" xr:uid="{289FD0A0-D745-4E74-BE44-B46512C254A9}"/>
    <cellStyle name="Style 86 2 3 14" xfId="15778" xr:uid="{23881361-D7DE-44C3-8626-764B346955D1}"/>
    <cellStyle name="Style 86 2 3 14 2" xfId="34423" xr:uid="{0569CC89-5729-42CD-B18E-A51AE6D88A60}"/>
    <cellStyle name="Style 86 2 3 15" xfId="15779" xr:uid="{D2F1B1A8-E592-44A5-B6A3-8B863CFE197E}"/>
    <cellStyle name="Style 86 2 3 15 2" xfId="34424" xr:uid="{4E70BAC3-301E-4E28-B6E8-06BFFE3D1E94}"/>
    <cellStyle name="Style 86 2 3 2" xfId="3601" xr:uid="{58757554-6A73-4CA0-9840-6699E70A83E1}"/>
    <cellStyle name="Style 86 2 3 2 10" xfId="15780" xr:uid="{D6F9279F-3A07-4D97-8DA1-9650A5C33D8F}"/>
    <cellStyle name="Style 86 2 3 2 10 2" xfId="34425" xr:uid="{91A19F73-F69C-4753-9249-2E1E9F5F9458}"/>
    <cellStyle name="Style 86 2 3 2 11" xfId="15781" xr:uid="{562C3CBF-1A82-4C8B-9A87-3FF7ABDF5791}"/>
    <cellStyle name="Style 86 2 3 2 11 2" xfId="34426" xr:uid="{74C6BDF4-CF79-4479-A9B5-64D2503DF18F}"/>
    <cellStyle name="Style 86 2 3 2 12" xfId="15782" xr:uid="{34EFDAD7-6827-4448-8907-D455D337206B}"/>
    <cellStyle name="Style 86 2 3 2 12 2" xfId="34427" xr:uid="{80F2FDAE-6E63-4B79-94B1-BCD1F538756C}"/>
    <cellStyle name="Style 86 2 3 2 13" xfId="15783" xr:uid="{6E98C523-F614-4210-982F-C7152D332347}"/>
    <cellStyle name="Style 86 2 3 2 13 2" xfId="34428" xr:uid="{6960A503-5571-4DEA-B6FB-984163D202C0}"/>
    <cellStyle name="Style 86 2 3 2 14" xfId="15784" xr:uid="{C35FE061-17BB-44FD-8321-A8C76887D3C8}"/>
    <cellStyle name="Style 86 2 3 2 14 2" xfId="34429" xr:uid="{DB18F75F-7BF6-498E-94F5-E0E4861BEF94}"/>
    <cellStyle name="Style 86 2 3 2 2" xfId="3602" xr:uid="{2B52D9F0-36A6-49F5-A990-BD636E1CCCC2}"/>
    <cellStyle name="Style 86 2 3 2 2 10" xfId="15785" xr:uid="{B2CBEF37-CB72-45A1-8CD0-26F6103A12BC}"/>
    <cellStyle name="Style 86 2 3 2 2 10 2" xfId="34430" xr:uid="{9CD0B274-E1F4-4C8B-8A0B-63F40D449357}"/>
    <cellStyle name="Style 86 2 3 2 2 11" xfId="15786" xr:uid="{DF08CA0C-E43F-4A1D-AAE4-A5D283EA6866}"/>
    <cellStyle name="Style 86 2 3 2 2 11 2" xfId="34431" xr:uid="{3D1AF816-3761-4ACC-A58F-DE428BD76E6A}"/>
    <cellStyle name="Style 86 2 3 2 2 12" xfId="15787" xr:uid="{18963920-FB56-422D-A7A2-BD3DF4B759A8}"/>
    <cellStyle name="Style 86 2 3 2 2 12 2" xfId="34432" xr:uid="{B23517E4-9DE4-48C8-AF4C-C6B287B3AEF9}"/>
    <cellStyle name="Style 86 2 3 2 2 2" xfId="7324" xr:uid="{C80C4DB1-7F48-40EA-B2FF-DDF5659F41BB}"/>
    <cellStyle name="Style 86 2 3 2 2 2 2" xfId="15788" xr:uid="{AE01C647-365D-4C66-9FB0-B1006ECBE3DD}"/>
    <cellStyle name="Style 86 2 3 2 2 2 2 2" xfId="34433" xr:uid="{4B252EB7-04E8-49E2-87F6-36DFB56616C8}"/>
    <cellStyle name="Style 86 2 3 2 2 2 3" xfId="15789" xr:uid="{8E7DA977-4E23-45F6-8A98-6DF85E438705}"/>
    <cellStyle name="Style 86 2 3 2 2 2 3 2" xfId="34434" xr:uid="{A347488C-9D02-4C64-94A0-8D802B8EF30B}"/>
    <cellStyle name="Style 86 2 3 2 2 3" xfId="15790" xr:uid="{0D81F74C-02BC-44F9-A00D-8A7BC8183188}"/>
    <cellStyle name="Style 86 2 3 2 2 3 2" xfId="15791" xr:uid="{26B5AF6A-7B28-45AA-AE3D-B3E7FC9095EF}"/>
    <cellStyle name="Style 86 2 3 2 2 3 2 2" xfId="34435" xr:uid="{66A6F5E2-8894-4687-9790-4A74DB3C0916}"/>
    <cellStyle name="Style 86 2 3 2 2 4" xfId="15792" xr:uid="{B86A5197-E722-4864-A75C-2746F992BE26}"/>
    <cellStyle name="Style 86 2 3 2 2 4 2" xfId="34436" xr:uid="{94199B51-0DCD-482F-95B5-D5FFC7749D61}"/>
    <cellStyle name="Style 86 2 3 2 2 5" xfId="15793" xr:uid="{6E54DC8F-1AA3-4EAE-AB53-771BD938AA8C}"/>
    <cellStyle name="Style 86 2 3 2 2 5 2" xfId="34437" xr:uid="{AAC5A93C-B24A-4F77-AC70-9BB8E327C191}"/>
    <cellStyle name="Style 86 2 3 2 2 6" xfId="15794" xr:uid="{634C9B7A-771E-4692-B05A-82FC8F45D50B}"/>
    <cellStyle name="Style 86 2 3 2 2 6 2" xfId="34438" xr:uid="{C8A6242E-05C7-499A-A410-F64258985CBA}"/>
    <cellStyle name="Style 86 2 3 2 2 7" xfId="15795" xr:uid="{D4ACAFDC-3E1B-473B-9761-7CA1D4EBF9FE}"/>
    <cellStyle name="Style 86 2 3 2 2 7 2" xfId="34439" xr:uid="{2E7ECD12-E84F-4229-9963-64B8D600D061}"/>
    <cellStyle name="Style 86 2 3 2 2 8" xfId="15796" xr:uid="{CE0E330C-BE5D-4B9C-B175-A42BF067EE86}"/>
    <cellStyle name="Style 86 2 3 2 2 8 2" xfId="34440" xr:uid="{397ECBB5-45EF-4F00-A8E6-42E4F32E0733}"/>
    <cellStyle name="Style 86 2 3 2 2 9" xfId="15797" xr:uid="{466C3BBB-444F-4110-A6B5-1FC4F5E2D71D}"/>
    <cellStyle name="Style 86 2 3 2 2 9 2" xfId="34441" xr:uid="{0035FE88-4342-4554-A6AE-FF0559520EE3}"/>
    <cellStyle name="Style 86 2 3 2 3" xfId="7323" xr:uid="{2BADBE1D-2159-44C0-9AB8-AB69029DF3C7}"/>
    <cellStyle name="Style 86 2 3 2 3 2" xfId="15798" xr:uid="{5F632A51-F181-4ECF-B843-927BC12CA0AE}"/>
    <cellStyle name="Style 86 2 3 2 3 2 2" xfId="34442" xr:uid="{4EF740BD-7881-43F0-BCE6-76CFDDE8FA31}"/>
    <cellStyle name="Style 86 2 3 2 3 3" xfId="15799" xr:uid="{CDC7E9E3-B52E-4CA1-B06D-27EA7E86A1CA}"/>
    <cellStyle name="Style 86 2 3 2 3 3 2" xfId="34443" xr:uid="{2E960388-9B2F-47E5-BCCB-7EB666F2B381}"/>
    <cellStyle name="Style 86 2 3 2 4" xfId="15800" xr:uid="{964D4301-5AC8-4F99-9AD3-DE7C17BDEB64}"/>
    <cellStyle name="Style 86 2 3 2 4 2" xfId="15801" xr:uid="{09AB565F-DCE9-4152-8160-82479F1C6929}"/>
    <cellStyle name="Style 86 2 3 2 4 2 2" xfId="34444" xr:uid="{11CFBA3F-DA62-4330-A8A2-49C073C97804}"/>
    <cellStyle name="Style 86 2 3 2 5" xfId="15802" xr:uid="{22B65744-1C1C-4C91-A686-A223D12CB5E8}"/>
    <cellStyle name="Style 86 2 3 2 5 2" xfId="34445" xr:uid="{E31F5906-720F-41FB-918F-162FAAF8DD8A}"/>
    <cellStyle name="Style 86 2 3 2 6" xfId="15803" xr:uid="{B29639A9-0466-42E2-8EF7-5F5830495942}"/>
    <cellStyle name="Style 86 2 3 2 6 2" xfId="34446" xr:uid="{0992B7D2-6B3D-48EF-B0E1-69EC5A63C8E9}"/>
    <cellStyle name="Style 86 2 3 2 7" xfId="15804" xr:uid="{9799CD7D-E123-4ED4-9685-F65343580A61}"/>
    <cellStyle name="Style 86 2 3 2 7 2" xfId="34447" xr:uid="{3B3FD479-F6FF-49D4-AD29-D365F472B0BA}"/>
    <cellStyle name="Style 86 2 3 2 8" xfId="15805" xr:uid="{65F833E6-B1FE-4AA4-8010-EE7BF2C490A5}"/>
    <cellStyle name="Style 86 2 3 2 8 2" xfId="34448" xr:uid="{2D47F204-C004-4686-A09C-BA6EAE2192AE}"/>
    <cellStyle name="Style 86 2 3 2 9" xfId="15806" xr:uid="{7F1DDED5-36E0-4517-A6E8-BA1C93453AD5}"/>
    <cellStyle name="Style 86 2 3 2 9 2" xfId="34449" xr:uid="{49B7EE92-3BD3-4E02-9DF7-B8D4E6ABAD3E}"/>
    <cellStyle name="Style 86 2 3 3" xfId="3603" xr:uid="{1BBE093C-4753-4DED-B111-BBD3284470DC}"/>
    <cellStyle name="Style 86 2 3 3 10" xfId="15807" xr:uid="{1EE1E35F-2AA8-4B34-8335-2361A4EBA13E}"/>
    <cellStyle name="Style 86 2 3 3 10 2" xfId="34450" xr:uid="{9FBCCDF5-A8EB-4B09-B510-226C85C54C4F}"/>
    <cellStyle name="Style 86 2 3 3 11" xfId="15808" xr:uid="{D987F6DC-E8A2-4AF0-B07B-87D0BD7FC6D9}"/>
    <cellStyle name="Style 86 2 3 3 11 2" xfId="34451" xr:uid="{AF255E9D-F69D-45FB-AE25-0580672245E3}"/>
    <cellStyle name="Style 86 2 3 3 12" xfId="15809" xr:uid="{78BEA164-6652-4CFA-9296-419F9D476856}"/>
    <cellStyle name="Style 86 2 3 3 12 2" xfId="34452" xr:uid="{E7204809-ACD4-40EC-ADD9-7C44986EB52F}"/>
    <cellStyle name="Style 86 2 3 3 2" xfId="7325" xr:uid="{133366F2-2085-46B9-93C5-2ED488069087}"/>
    <cellStyle name="Style 86 2 3 3 2 2" xfId="15810" xr:uid="{891FB4E7-29D3-4242-961A-FA2C948BC0FC}"/>
    <cellStyle name="Style 86 2 3 3 2 2 2" xfId="34453" xr:uid="{F2F370F8-E9D8-4AD4-9AF9-66503D767CF8}"/>
    <cellStyle name="Style 86 2 3 3 2 3" xfId="15811" xr:uid="{D883F337-564F-43DD-89E4-C6D02E83E880}"/>
    <cellStyle name="Style 86 2 3 3 2 3 2" xfId="34454" xr:uid="{0353E8F9-5512-401F-B8EE-81812E14EBB7}"/>
    <cellStyle name="Style 86 2 3 3 3" xfId="15812" xr:uid="{487105D0-206A-4D77-BC12-E01BA321D3BE}"/>
    <cellStyle name="Style 86 2 3 3 3 2" xfId="15813" xr:uid="{D5EE2A6E-456A-4726-89AD-8FB840088E3E}"/>
    <cellStyle name="Style 86 2 3 3 3 2 2" xfId="34455" xr:uid="{F7C9D44F-9FE9-4CCC-8ABF-141C2E8E040E}"/>
    <cellStyle name="Style 86 2 3 3 4" xfId="15814" xr:uid="{9FEFA543-1A34-4CE2-9257-2B8BFDD224DC}"/>
    <cellStyle name="Style 86 2 3 3 4 2" xfId="34456" xr:uid="{91A2AF14-2DCE-45E7-9ADF-00C8AC1C9707}"/>
    <cellStyle name="Style 86 2 3 3 5" xfId="15815" xr:uid="{A81DC0A5-5A1D-4B36-9A7E-9D3AB818BD4A}"/>
    <cellStyle name="Style 86 2 3 3 5 2" xfId="34457" xr:uid="{FD440563-2F77-4A46-A457-2B9FFEB5E9C2}"/>
    <cellStyle name="Style 86 2 3 3 6" xfId="15816" xr:uid="{2BA28279-ACA2-4B4A-95AE-D9E750AF9D18}"/>
    <cellStyle name="Style 86 2 3 3 6 2" xfId="34458" xr:uid="{89FA01A5-FA08-4750-B710-9843DCC6DEAD}"/>
    <cellStyle name="Style 86 2 3 3 7" xfId="15817" xr:uid="{A87CEB53-33D2-49C1-AD86-36F557F809B1}"/>
    <cellStyle name="Style 86 2 3 3 7 2" xfId="34459" xr:uid="{058CEBAC-066E-4FB7-8AB3-D1D846D0AE8F}"/>
    <cellStyle name="Style 86 2 3 3 8" xfId="15818" xr:uid="{1E9AD2BC-4ABE-4839-A22D-9BEB5DFD9311}"/>
    <cellStyle name="Style 86 2 3 3 8 2" xfId="34460" xr:uid="{C830C8CE-867F-42AE-BF80-BAA97EDB53E3}"/>
    <cellStyle name="Style 86 2 3 3 9" xfId="15819" xr:uid="{9C124A93-548A-49E5-AB38-4D8044424902}"/>
    <cellStyle name="Style 86 2 3 3 9 2" xfId="34461" xr:uid="{38AF7462-7000-4692-A9AD-4FB3BCC9D928}"/>
    <cellStyle name="Style 86 2 3 4" xfId="7322" xr:uid="{82EE244A-4CAD-459F-9597-DD02B36DA482}"/>
    <cellStyle name="Style 86 2 3 4 2" xfId="15820" xr:uid="{715DBA00-E0CE-4973-B013-92FCC6FDFD41}"/>
    <cellStyle name="Style 86 2 3 4 2 2" xfId="34462" xr:uid="{869BAEA6-6C97-4EF7-B0AA-929562ABD6D9}"/>
    <cellStyle name="Style 86 2 3 4 3" xfId="15821" xr:uid="{E3602427-0D5D-4E72-AEBD-CB43DB5132B5}"/>
    <cellStyle name="Style 86 2 3 4 3 2" xfId="34463" xr:uid="{F0B94330-0D30-4A0D-98AC-72FFEDCC2452}"/>
    <cellStyle name="Style 86 2 3 5" xfId="15822" xr:uid="{CB64DDCB-9773-4001-B806-937CAE774C8A}"/>
    <cellStyle name="Style 86 2 3 5 2" xfId="15823" xr:uid="{EF580339-D653-473C-BFD0-3AA8288EDA62}"/>
    <cellStyle name="Style 86 2 3 5 2 2" xfId="34464" xr:uid="{D48B16CA-AAF8-4437-84C7-AEE36D87D32B}"/>
    <cellStyle name="Style 86 2 3 6" xfId="15824" xr:uid="{1BBD65A9-1BED-457B-8DB3-849952668AB8}"/>
    <cellStyle name="Style 86 2 3 6 2" xfId="34465" xr:uid="{1D734F04-1B51-47EE-A4DD-F4910518AC50}"/>
    <cellStyle name="Style 86 2 3 7" xfId="15825" xr:uid="{F2218DA4-A200-46C0-952F-2D0FCBF5868E}"/>
    <cellStyle name="Style 86 2 3 7 2" xfId="34466" xr:uid="{A68F3867-DA67-45EA-B44A-C5115C7DAF97}"/>
    <cellStyle name="Style 86 2 3 8" xfId="15826" xr:uid="{60F793DB-E2FA-404A-A8E6-DDE084D503F8}"/>
    <cellStyle name="Style 86 2 3 8 2" xfId="34467" xr:uid="{0CE406B8-F3B2-4CB1-B17E-98A691642A5D}"/>
    <cellStyle name="Style 86 2 3 9" xfId="15827" xr:uid="{B39C9B56-67C2-41AD-979B-0203CA3AE613}"/>
    <cellStyle name="Style 86 2 3 9 2" xfId="34468" xr:uid="{B62E0DBE-46BE-45D5-A3D7-85C43A5E4D6B}"/>
    <cellStyle name="Style 86 2 4" xfId="3604" xr:uid="{A8070E01-5956-4572-B2CC-8F8A52AC4F2F}"/>
    <cellStyle name="Style 86 2 4 10" xfId="15828" xr:uid="{D5C73D49-832D-4F1C-8AD6-8DF67F87443B}"/>
    <cellStyle name="Style 86 2 4 10 2" xfId="34469" xr:uid="{89729566-FC0F-4AF1-A527-179C6644F54B}"/>
    <cellStyle name="Style 86 2 4 11" xfId="15829" xr:uid="{27EF8803-685B-43A4-96BE-110D2795ACED}"/>
    <cellStyle name="Style 86 2 4 11 2" xfId="34470" xr:uid="{F90F7D43-C2E1-4420-BCA6-E9B6AD0753B4}"/>
    <cellStyle name="Style 86 2 4 12" xfId="15830" xr:uid="{07855E36-734E-495C-A25B-13B35F1C32F1}"/>
    <cellStyle name="Style 86 2 4 12 2" xfId="34471" xr:uid="{40FE3B63-8182-40CF-8057-6830010C8C83}"/>
    <cellStyle name="Style 86 2 4 13" xfId="15831" xr:uid="{BDDDD7E5-28FC-45E3-8C44-BF0FF862625C}"/>
    <cellStyle name="Style 86 2 4 13 2" xfId="34472" xr:uid="{91097332-0258-437D-9D32-768D32496B1B}"/>
    <cellStyle name="Style 86 2 4 14" xfId="15832" xr:uid="{8B725E3B-CF7B-40D2-8082-6F1469356E54}"/>
    <cellStyle name="Style 86 2 4 14 2" xfId="34473" xr:uid="{B61A5C69-4229-4D35-9DB3-FEAC016C98D1}"/>
    <cellStyle name="Style 86 2 4 2" xfId="3605" xr:uid="{61327543-89EC-4AE9-8FE2-ADBA2BDC4261}"/>
    <cellStyle name="Style 86 2 4 2 10" xfId="15833" xr:uid="{A99C664A-5FEF-448E-8ED5-1F94327045DD}"/>
    <cellStyle name="Style 86 2 4 2 10 2" xfId="34474" xr:uid="{BB250272-9A1A-41E8-A105-D07B11F545C0}"/>
    <cellStyle name="Style 86 2 4 2 11" xfId="15834" xr:uid="{61A2EAAE-47FB-41BA-A76D-828DF98ACF79}"/>
    <cellStyle name="Style 86 2 4 2 11 2" xfId="34475" xr:uid="{5D9EA0C9-090B-44EC-89CF-3E6B14FF4BEA}"/>
    <cellStyle name="Style 86 2 4 2 12" xfId="15835" xr:uid="{8D4CA5AE-6FF6-4A96-8F47-D4D8D2B94CD5}"/>
    <cellStyle name="Style 86 2 4 2 12 2" xfId="34476" xr:uid="{F121E079-1D40-4718-8679-CAF6EA3B8BA9}"/>
    <cellStyle name="Style 86 2 4 2 2" xfId="7327" xr:uid="{C42D7BC5-E9B2-4FF0-AF8D-48C609A4B4DD}"/>
    <cellStyle name="Style 86 2 4 2 2 2" xfId="15836" xr:uid="{C3426E91-5534-4079-8D3D-1948F96E3097}"/>
    <cellStyle name="Style 86 2 4 2 2 2 2" xfId="34477" xr:uid="{53D81A30-123A-4CB9-BC92-0057D427ABB5}"/>
    <cellStyle name="Style 86 2 4 2 2 3" xfId="15837" xr:uid="{76C9DA4E-4407-48FF-806B-2E97700B0035}"/>
    <cellStyle name="Style 86 2 4 2 2 3 2" xfId="34478" xr:uid="{D4245B25-EB15-4A9D-A5EA-D63C6366967A}"/>
    <cellStyle name="Style 86 2 4 2 3" xfId="15838" xr:uid="{0DB85F3B-D4D3-4F7C-9B48-5454E0337140}"/>
    <cellStyle name="Style 86 2 4 2 3 2" xfId="15839" xr:uid="{97429096-7DF4-4F03-97D6-D8F674076FF0}"/>
    <cellStyle name="Style 86 2 4 2 3 2 2" xfId="34479" xr:uid="{2195480F-FCD7-4428-A145-48E5E3A92E50}"/>
    <cellStyle name="Style 86 2 4 2 4" xfId="15840" xr:uid="{E543DFC9-CC9A-4861-934A-31629C69B747}"/>
    <cellStyle name="Style 86 2 4 2 4 2" xfId="34480" xr:uid="{95D26890-774C-4BBD-A878-CA6F6BD61BF6}"/>
    <cellStyle name="Style 86 2 4 2 5" xfId="15841" xr:uid="{BF65CE60-174B-46F0-84EA-F45A7F8928CB}"/>
    <cellStyle name="Style 86 2 4 2 5 2" xfId="34481" xr:uid="{66862291-0F86-4518-A2C4-04895E0CFE2D}"/>
    <cellStyle name="Style 86 2 4 2 6" xfId="15842" xr:uid="{957B66FD-F23F-4ED6-95BE-71803ED3F286}"/>
    <cellStyle name="Style 86 2 4 2 6 2" xfId="34482" xr:uid="{D961BEF8-B05B-490F-A0D1-84C45EFB22A8}"/>
    <cellStyle name="Style 86 2 4 2 7" xfId="15843" xr:uid="{B486198E-7C0D-47CD-A509-34EE8EB8639D}"/>
    <cellStyle name="Style 86 2 4 2 7 2" xfId="34483" xr:uid="{7E919159-3ABF-45A1-8D63-DCB4297F1B82}"/>
    <cellStyle name="Style 86 2 4 2 8" xfId="15844" xr:uid="{268A4993-2A56-4343-983A-B5CFB2F7C15C}"/>
    <cellStyle name="Style 86 2 4 2 8 2" xfId="34484" xr:uid="{803CA3C2-C232-46A2-9A2C-8819D5187B16}"/>
    <cellStyle name="Style 86 2 4 2 9" xfId="15845" xr:uid="{938F6EA9-7B93-40AE-9F60-0430100128E7}"/>
    <cellStyle name="Style 86 2 4 2 9 2" xfId="34485" xr:uid="{789FA9DA-57C6-4CF2-BD84-79756A4DE93D}"/>
    <cellStyle name="Style 86 2 4 3" xfId="7326" xr:uid="{F843C3EF-CFF8-4CF2-B5EA-A7F6D8EB363E}"/>
    <cellStyle name="Style 86 2 4 3 2" xfId="15846" xr:uid="{AF502FB2-CDE3-4B2D-A2C4-7339789E1149}"/>
    <cellStyle name="Style 86 2 4 3 2 2" xfId="34486" xr:uid="{A92011F0-B826-413C-866A-13DE9BF7E51F}"/>
    <cellStyle name="Style 86 2 4 3 3" xfId="15847" xr:uid="{5874D047-0649-46A0-BD04-0DCCFAA020B4}"/>
    <cellStyle name="Style 86 2 4 3 3 2" xfId="34487" xr:uid="{505475D3-BC9A-486D-AEF9-4F3D2A2AF996}"/>
    <cellStyle name="Style 86 2 4 4" xfId="15848" xr:uid="{A3E60BE3-ACEA-46E6-8859-413658A42674}"/>
    <cellStyle name="Style 86 2 4 4 2" xfId="15849" xr:uid="{2D0D8AB2-8F9B-452B-83EC-D826427F25E7}"/>
    <cellStyle name="Style 86 2 4 4 2 2" xfId="34488" xr:uid="{FEF2DD8B-459C-45DB-AD63-08F8BB9A1243}"/>
    <cellStyle name="Style 86 2 4 5" xfId="15850" xr:uid="{398F333C-E3B0-4959-900C-4539C2C1A77C}"/>
    <cellStyle name="Style 86 2 4 5 2" xfId="34489" xr:uid="{0890056A-8BD6-47DF-97FA-026CFA670E6B}"/>
    <cellStyle name="Style 86 2 4 6" xfId="15851" xr:uid="{83DBEC06-E95B-408C-9943-4F1D6A1ED660}"/>
    <cellStyle name="Style 86 2 4 6 2" xfId="34490" xr:uid="{4F89CCD0-8AB6-4F82-ADE5-8BBC28E316D8}"/>
    <cellStyle name="Style 86 2 4 7" xfId="15852" xr:uid="{31812C23-7BF4-4094-8F94-8ED7005B39C4}"/>
    <cellStyle name="Style 86 2 4 7 2" xfId="34491" xr:uid="{4093580F-86EC-476C-AE8B-7493BF6A8C02}"/>
    <cellStyle name="Style 86 2 4 8" xfId="15853" xr:uid="{01794289-996C-40F8-87F1-170E859AD33D}"/>
    <cellStyle name="Style 86 2 4 8 2" xfId="34492" xr:uid="{87F9B65D-AA6C-40D6-B095-A25CD87C714A}"/>
    <cellStyle name="Style 86 2 4 9" xfId="15854" xr:uid="{73482714-4BF2-4316-8FE3-98E55EB60FF8}"/>
    <cellStyle name="Style 86 2 4 9 2" xfId="34493" xr:uid="{07B9F7AA-8283-4590-B23B-2BE9726774EA}"/>
    <cellStyle name="Style 86 2 5" xfId="3606" xr:uid="{F0E5B7A8-A81C-46FA-984B-09F51C98C258}"/>
    <cellStyle name="Style 86 2 5 10" xfId="15855" xr:uid="{B42069C6-0A3E-4E0F-9225-7899BA94E2C0}"/>
    <cellStyle name="Style 86 2 5 10 2" xfId="34494" xr:uid="{72BDC79E-EC6F-4865-855E-9DB185DE876E}"/>
    <cellStyle name="Style 86 2 5 11" xfId="15856" xr:uid="{2E770B36-731B-4BA0-B72C-D7B7B2C714BF}"/>
    <cellStyle name="Style 86 2 5 11 2" xfId="34495" xr:uid="{0DF0E6CC-8483-4C9E-A82E-A2FD2D341706}"/>
    <cellStyle name="Style 86 2 5 12" xfId="15857" xr:uid="{990A041D-8142-4CFA-B824-8561F27BA34E}"/>
    <cellStyle name="Style 86 2 5 12 2" xfId="34496" xr:uid="{531DB5C9-BC86-4F29-B2F2-1F29B988239D}"/>
    <cellStyle name="Style 86 2 5 2" xfId="7329" xr:uid="{BEC042AE-6C44-4CAF-AB19-CADEE6DBE9D4}"/>
    <cellStyle name="Style 86 2 5 2 2" xfId="15858" xr:uid="{F1E6C5E2-88B0-4C9A-B9F8-F18B34ED484B}"/>
    <cellStyle name="Style 86 2 5 2 2 2" xfId="34497" xr:uid="{D1DB65E6-B865-46AD-BAC5-5DE9B0F975A9}"/>
    <cellStyle name="Style 86 2 5 2 3" xfId="15859" xr:uid="{20345EC4-EE86-4393-ADBF-F6680F5F5C4D}"/>
    <cellStyle name="Style 86 2 5 2 3 2" xfId="34498" xr:uid="{831C09DC-0274-4CF0-A8D8-590979280063}"/>
    <cellStyle name="Style 86 2 5 3" xfId="7328" xr:uid="{99C7CE6A-0BE7-46C5-A371-958C125BDC9D}"/>
    <cellStyle name="Style 86 2 5 3 2" xfId="15860" xr:uid="{BAF53F2C-B7D7-4E0B-B0E4-CF7BB1EEB629}"/>
    <cellStyle name="Style 86 2 5 3 2 2" xfId="34499" xr:uid="{12767503-1295-40BC-8135-3A2D13BF4C6B}"/>
    <cellStyle name="Style 86 2 5 4" xfId="15861" xr:uid="{04B08F38-4DA5-4D8C-AF20-403584E4B798}"/>
    <cellStyle name="Style 86 2 5 4 2" xfId="15862" xr:uid="{F17C5246-0BCC-431F-9D9B-2D770663D4BE}"/>
    <cellStyle name="Style 86 2 5 4 2 2" xfId="34500" xr:uid="{A6AF7F7A-100A-40ED-AE1D-00E93A704CE4}"/>
    <cellStyle name="Style 86 2 5 5" xfId="15863" xr:uid="{3738DB05-85CF-4D43-8AA6-988170C6B9C9}"/>
    <cellStyle name="Style 86 2 5 5 2" xfId="34501" xr:uid="{45BD46FB-B7BC-4BEE-AB7B-70528E355AF8}"/>
    <cellStyle name="Style 86 2 5 6" xfId="15864" xr:uid="{5306BCB6-5E2B-417E-A158-25AB0554FE4C}"/>
    <cellStyle name="Style 86 2 5 6 2" xfId="34502" xr:uid="{D0883DBD-FADA-40CE-A96F-48137460F081}"/>
    <cellStyle name="Style 86 2 5 7" xfId="15865" xr:uid="{8CB3F2AE-D9C6-4F0A-83B0-AE3E42D3F291}"/>
    <cellStyle name="Style 86 2 5 7 2" xfId="34503" xr:uid="{8C4DEED7-A3D2-42B0-8B89-964BA0268781}"/>
    <cellStyle name="Style 86 2 5 8" xfId="15866" xr:uid="{08A27043-61F1-4226-B7C9-5F3D70C1F86D}"/>
    <cellStyle name="Style 86 2 5 8 2" xfId="34504" xr:uid="{C0D780CD-9F61-4D71-BED5-B69068A39F18}"/>
    <cellStyle name="Style 86 2 5 9" xfId="15867" xr:uid="{5A10E117-F41C-44BD-9355-1E14E68EBA8A}"/>
    <cellStyle name="Style 86 2 5 9 2" xfId="34505" xr:uid="{7D40C9D1-813F-4944-8D3F-7EE490DF8D5A}"/>
    <cellStyle name="Style 86 2 6" xfId="7330" xr:uid="{D5741B83-D628-447D-9E2A-B17746E75E25}"/>
    <cellStyle name="Style 86 2 6 2" xfId="15868" xr:uid="{39411F79-F11B-48AB-AB4D-D7FB117480AE}"/>
    <cellStyle name="Style 86 2 6 2 2" xfId="34506" xr:uid="{79BF313C-542A-4D40-BD00-EB6985DE7890}"/>
    <cellStyle name="Style 86 2 6 3" xfId="15869" xr:uid="{E638EE21-04EB-4A3D-83A8-B29488D80A3C}"/>
    <cellStyle name="Style 86 2 6 3 2" xfId="34507" xr:uid="{AD4DD20F-AD6B-4B49-BFCC-E846F92FD228}"/>
    <cellStyle name="Style 86 2 7" xfId="7313" xr:uid="{7B9EE5CB-A5EA-4413-BA75-04F7482AA434}"/>
    <cellStyle name="Style 86 2 7 2" xfId="15870" xr:uid="{F833E8E7-69E3-4A5F-A170-6149EF0F0FE2}"/>
    <cellStyle name="Style 86 2 7 2 2" xfId="34508" xr:uid="{9345C45D-CE8A-457E-8783-5883E148BC56}"/>
    <cellStyle name="Style 86 2 8" xfId="15871" xr:uid="{1030EAB4-B71F-4EB6-904B-3CB21857DFAD}"/>
    <cellStyle name="Style 86 2 8 2" xfId="15872" xr:uid="{B3FC8AAB-BAE9-4AF7-BE66-464E0FD61A2D}"/>
    <cellStyle name="Style 86 2 8 2 2" xfId="34509" xr:uid="{5DCB541C-01FA-4690-AC0D-9CA783AB6A68}"/>
    <cellStyle name="Style 86 2 9" xfId="15873" xr:uid="{18F29495-5AE1-49D2-A7E3-A4335034FDB3}"/>
    <cellStyle name="Style 86 2 9 2" xfId="34510" xr:uid="{F327274B-8E91-43F5-BCE7-0497EC621795}"/>
    <cellStyle name="Style 86 3" xfId="3607" xr:uid="{EA46CEE7-004C-495A-B84A-BA8FF8C2C823}"/>
    <cellStyle name="Style 86 3 10" xfId="15874" xr:uid="{4C4F1AAE-A3F0-4B01-ADB2-2078132C7479}"/>
    <cellStyle name="Style 86 3 10 2" xfId="34511" xr:uid="{C0C1A7E5-5239-4905-B161-FA01321F2EF8}"/>
    <cellStyle name="Style 86 3 11" xfId="15875" xr:uid="{44B939B9-1DDB-40F7-970A-7A6B0262359E}"/>
    <cellStyle name="Style 86 3 11 2" xfId="34512" xr:uid="{5FB62129-622C-42FA-8EE8-14C3088B15B0}"/>
    <cellStyle name="Style 86 3 12" xfId="15876" xr:uid="{7D73C731-9AAD-4155-A5C1-17ABD0BC37B5}"/>
    <cellStyle name="Style 86 3 12 2" xfId="34513" xr:uid="{BD3F2576-4376-4DBF-9E6C-DD6EC65458CD}"/>
    <cellStyle name="Style 86 3 13" xfId="15877" xr:uid="{AE0402EB-B42C-41E7-9C81-1B4AE1C19A69}"/>
    <cellStyle name="Style 86 3 13 2" xfId="34514" xr:uid="{8648BFA6-FF2C-4556-B569-1309EE7F4CC5}"/>
    <cellStyle name="Style 86 3 14" xfId="15878" xr:uid="{8A9DAD4A-39CD-4280-8B50-28694602137F}"/>
    <cellStyle name="Style 86 3 14 2" xfId="34515" xr:uid="{BB5ACD97-81B9-4625-A275-2D6C432C407F}"/>
    <cellStyle name="Style 86 3 15" xfId="15879" xr:uid="{565105CB-F89F-4001-A9D2-8ECB19BF979E}"/>
    <cellStyle name="Style 86 3 15 2" xfId="34516" xr:uid="{CFBBD1EB-BD14-4B34-8ACE-5AEB3E2EBF86}"/>
    <cellStyle name="Style 86 3 16" xfId="15880" xr:uid="{F6AE4610-FD30-4511-9516-BFD2DAC5A291}"/>
    <cellStyle name="Style 86 3 16 2" xfId="34517" xr:uid="{249314B0-655A-4A15-9F06-68283B90C769}"/>
    <cellStyle name="Style 86 3 17" xfId="15881" xr:uid="{4D9CBC24-131E-400F-9573-1B029615A6F3}"/>
    <cellStyle name="Style 86 3 17 2" xfId="34518" xr:uid="{C1508836-2BFA-4F54-A4B9-66672DA0C357}"/>
    <cellStyle name="Style 86 3 2" xfId="3608" xr:uid="{27C16ED5-E159-403F-AC0E-6F4B8791ABD6}"/>
    <cellStyle name="Style 86 3 2 10" xfId="15882" xr:uid="{E77FE686-81E0-45C0-ABDC-8140F9B5DCCC}"/>
    <cellStyle name="Style 86 3 2 10 2" xfId="34519" xr:uid="{5E757E1C-BC5A-4238-AA0B-CD14CB10D641}"/>
    <cellStyle name="Style 86 3 2 11" xfId="15883" xr:uid="{32B9100E-3C4E-4190-A26D-FBCB46603DF0}"/>
    <cellStyle name="Style 86 3 2 11 2" xfId="34520" xr:uid="{1111389D-92CB-4ADC-BF0A-83809D1A4231}"/>
    <cellStyle name="Style 86 3 2 12" xfId="15884" xr:uid="{6C54F49E-2D46-450E-B07A-7AC082C41942}"/>
    <cellStyle name="Style 86 3 2 12 2" xfId="34521" xr:uid="{DFD54EA0-7E43-4B66-B8CA-13CD365D5FE4}"/>
    <cellStyle name="Style 86 3 2 13" xfId="15885" xr:uid="{B976ADFB-A5FD-49AE-A702-708DC52CDFE1}"/>
    <cellStyle name="Style 86 3 2 13 2" xfId="34522" xr:uid="{1210EEFD-12CA-4BEC-BFDF-CCB2915CCB8C}"/>
    <cellStyle name="Style 86 3 2 14" xfId="15886" xr:uid="{EF0D6BFC-407A-4B48-A7F7-C64A2575589C}"/>
    <cellStyle name="Style 86 3 2 14 2" xfId="34523" xr:uid="{67588EB0-B8C6-48AD-AEBF-36AF29789CAB}"/>
    <cellStyle name="Style 86 3 2 15" xfId="15887" xr:uid="{6FBA69A0-7F2D-40D2-AA8A-31895999CE20}"/>
    <cellStyle name="Style 86 3 2 15 2" xfId="34524" xr:uid="{55375B8A-B15B-4A48-8FEF-1BA877139041}"/>
    <cellStyle name="Style 86 3 2 16" xfId="15888" xr:uid="{8EDAEC6C-43B8-4AF5-9AE7-366AD92828B1}"/>
    <cellStyle name="Style 86 3 2 16 2" xfId="34525" xr:uid="{988569FA-D965-4BB2-8A41-F47A2289D52D}"/>
    <cellStyle name="Style 86 3 2 2" xfId="3609" xr:uid="{7C67EB88-A58B-4599-B3E5-07EEAA68EEEF}"/>
    <cellStyle name="Style 86 3 2 2 10" xfId="15889" xr:uid="{49A28328-A91D-41BC-B6EF-0B8184E8A3C8}"/>
    <cellStyle name="Style 86 3 2 2 10 2" xfId="34526" xr:uid="{43394F53-EAD0-4AC6-8C9B-8CE943BA52BE}"/>
    <cellStyle name="Style 86 3 2 2 11" xfId="15890" xr:uid="{89DF8843-F091-40B4-B5CA-012272B6EE4D}"/>
    <cellStyle name="Style 86 3 2 2 11 2" xfId="34527" xr:uid="{A2ABC5A8-D619-4DDB-AB26-799D80EED779}"/>
    <cellStyle name="Style 86 3 2 2 12" xfId="15891" xr:uid="{65898C05-587D-468E-9687-E28BDAD1E96E}"/>
    <cellStyle name="Style 86 3 2 2 12 2" xfId="34528" xr:uid="{D9680CE0-F8A3-4423-89AA-DDE4461EFE6B}"/>
    <cellStyle name="Style 86 3 2 2 13" xfId="15892" xr:uid="{0DBE3F1D-E08B-444F-B46D-2D404EF1B77A}"/>
    <cellStyle name="Style 86 3 2 2 13 2" xfId="34529" xr:uid="{18EDF65E-7E08-4167-9D0D-B83AC26FF857}"/>
    <cellStyle name="Style 86 3 2 2 14" xfId="15893" xr:uid="{979237B6-12D8-4F5F-8497-1539A56A14AE}"/>
    <cellStyle name="Style 86 3 2 2 14 2" xfId="34530" xr:uid="{926EFBBF-CFC6-430B-B4C3-376154E26D09}"/>
    <cellStyle name="Style 86 3 2 2 15" xfId="15894" xr:uid="{89355D89-121B-41DC-ADEF-DEBF8B7755D3}"/>
    <cellStyle name="Style 86 3 2 2 15 2" xfId="34531" xr:uid="{13A49FE7-6FDB-4762-89F2-7189935224D0}"/>
    <cellStyle name="Style 86 3 2 2 2" xfId="3610" xr:uid="{EB515E75-2596-4A8A-99E9-DCFD4F977105}"/>
    <cellStyle name="Style 86 3 2 2 2 10" xfId="15895" xr:uid="{8B55B94F-7817-4B2B-9340-BBC161C8A1DE}"/>
    <cellStyle name="Style 86 3 2 2 2 10 2" xfId="34532" xr:uid="{18696C28-5B19-44B4-85BA-B085AA6F2936}"/>
    <cellStyle name="Style 86 3 2 2 2 11" xfId="15896" xr:uid="{A4C9F039-A32F-4361-A986-B9C08CA47294}"/>
    <cellStyle name="Style 86 3 2 2 2 11 2" xfId="34533" xr:uid="{7BDE8AD0-D216-4475-8DE9-92915A68426F}"/>
    <cellStyle name="Style 86 3 2 2 2 12" xfId="15897" xr:uid="{814AF4C4-7C46-4AE4-B2CF-5FB84DC02177}"/>
    <cellStyle name="Style 86 3 2 2 2 12 2" xfId="34534" xr:uid="{78444549-0060-4A22-9266-BA6B745A1744}"/>
    <cellStyle name="Style 86 3 2 2 2 13" xfId="15898" xr:uid="{60631820-4800-4B98-BB14-90500BAD6CB8}"/>
    <cellStyle name="Style 86 3 2 2 2 13 2" xfId="34535" xr:uid="{03905946-FF05-42A4-8F1D-11BCABA37DCA}"/>
    <cellStyle name="Style 86 3 2 2 2 14" xfId="15899" xr:uid="{2A3733A5-84EC-4BAD-A397-635C438B35A8}"/>
    <cellStyle name="Style 86 3 2 2 2 14 2" xfId="34536" xr:uid="{DE2E9DCB-07A7-4DEA-8D22-09CB93527E38}"/>
    <cellStyle name="Style 86 3 2 2 2 2" xfId="3611" xr:uid="{BF802420-F3BB-4843-BD61-56B32BE42A71}"/>
    <cellStyle name="Style 86 3 2 2 2 2 10" xfId="15900" xr:uid="{FAB924A5-1E6E-4FBF-9050-EF6AF59B154D}"/>
    <cellStyle name="Style 86 3 2 2 2 2 10 2" xfId="34537" xr:uid="{6118D27C-EBA8-41D1-B0E5-830FACB8DB18}"/>
    <cellStyle name="Style 86 3 2 2 2 2 11" xfId="15901" xr:uid="{94B826BE-5E30-437B-ACE8-0B9617121034}"/>
    <cellStyle name="Style 86 3 2 2 2 2 11 2" xfId="34538" xr:uid="{565E5D44-4B2C-4F7D-AE3C-BA73634BA63A}"/>
    <cellStyle name="Style 86 3 2 2 2 2 12" xfId="15902" xr:uid="{2C09F8B9-CD96-479C-B50B-5933D5A7E4C7}"/>
    <cellStyle name="Style 86 3 2 2 2 2 12 2" xfId="34539" xr:uid="{959A68D0-3CB5-44CD-8BA1-8B13E51EED75}"/>
    <cellStyle name="Style 86 3 2 2 2 2 2" xfId="7335" xr:uid="{1516CEF0-542E-4DF2-A7ED-E53DA84451CB}"/>
    <cellStyle name="Style 86 3 2 2 2 2 2 2" xfId="15903" xr:uid="{08D2BDA1-B7E5-4829-A4E7-09D255E53CA1}"/>
    <cellStyle name="Style 86 3 2 2 2 2 2 2 2" xfId="34540" xr:uid="{B756191C-12DD-4CBC-931F-1341EBC2E7DE}"/>
    <cellStyle name="Style 86 3 2 2 2 2 2 3" xfId="15904" xr:uid="{D591F30D-0DB0-43B0-8E0F-A9AF6F06EA03}"/>
    <cellStyle name="Style 86 3 2 2 2 2 2 3 2" xfId="34541" xr:uid="{1F39CE00-0226-46FD-8BB1-B0D8C3C41246}"/>
    <cellStyle name="Style 86 3 2 2 2 2 3" xfId="15905" xr:uid="{564F5E46-AB91-417E-9240-3D3445354F62}"/>
    <cellStyle name="Style 86 3 2 2 2 2 3 2" xfId="15906" xr:uid="{03CF3767-C139-496F-A86C-ABE12EE9986F}"/>
    <cellStyle name="Style 86 3 2 2 2 2 3 2 2" xfId="34542" xr:uid="{C44D87D8-5ED6-497F-9407-DF48375BD1DF}"/>
    <cellStyle name="Style 86 3 2 2 2 2 4" xfId="15907" xr:uid="{A5687939-017F-404B-B130-2DCF525C2FCF}"/>
    <cellStyle name="Style 86 3 2 2 2 2 4 2" xfId="34543" xr:uid="{9778227D-7F08-4E1C-A0D0-E64B19A8EB48}"/>
    <cellStyle name="Style 86 3 2 2 2 2 5" xfId="15908" xr:uid="{0D99EAF4-B29A-4F68-B3CC-183C3320A033}"/>
    <cellStyle name="Style 86 3 2 2 2 2 5 2" xfId="34544" xr:uid="{12D668B2-9AAF-4FAC-A29D-E52BF09BA5E2}"/>
    <cellStyle name="Style 86 3 2 2 2 2 6" xfId="15909" xr:uid="{369189A3-F1B5-4BE8-9C15-A8702353F311}"/>
    <cellStyle name="Style 86 3 2 2 2 2 6 2" xfId="34545" xr:uid="{6AD96CA9-FC38-4A72-84E7-03D949C2FFA7}"/>
    <cellStyle name="Style 86 3 2 2 2 2 7" xfId="15910" xr:uid="{4FB59E7D-A790-4F7F-9706-1FCA5551B5C1}"/>
    <cellStyle name="Style 86 3 2 2 2 2 7 2" xfId="34546" xr:uid="{AAAD2A20-0816-4CDD-BD5F-0872073543E0}"/>
    <cellStyle name="Style 86 3 2 2 2 2 8" xfId="15911" xr:uid="{A7680F9E-9AED-47B6-A1C5-92E2291818B1}"/>
    <cellStyle name="Style 86 3 2 2 2 2 8 2" xfId="34547" xr:uid="{E69BE5E6-9B3C-43E4-A7D8-A9964D4194FC}"/>
    <cellStyle name="Style 86 3 2 2 2 2 9" xfId="15912" xr:uid="{F4CE2B9E-9A96-48D9-AB57-D0E8F9141437}"/>
    <cellStyle name="Style 86 3 2 2 2 2 9 2" xfId="34548" xr:uid="{F59B98EC-F58B-4CE6-91FE-3E819551F96D}"/>
    <cellStyle name="Style 86 3 2 2 2 3" xfId="7334" xr:uid="{736D4CFA-E293-4CE4-A782-E579C16D6EF0}"/>
    <cellStyle name="Style 86 3 2 2 2 3 2" xfId="15913" xr:uid="{FFCBDD48-528A-4F54-BA58-C5447D87E1D1}"/>
    <cellStyle name="Style 86 3 2 2 2 3 2 2" xfId="34549" xr:uid="{8BBFCF62-704B-4B28-A5AB-0E138A142019}"/>
    <cellStyle name="Style 86 3 2 2 2 3 3" xfId="15914" xr:uid="{39C360D8-4131-4384-99BF-A2C7CA0EAB4D}"/>
    <cellStyle name="Style 86 3 2 2 2 3 3 2" xfId="34550" xr:uid="{AE5FF30D-19C5-4961-B097-ACB64CF56E60}"/>
    <cellStyle name="Style 86 3 2 2 2 4" xfId="15915" xr:uid="{04F5F40A-972B-4F6F-832F-0B158F537F76}"/>
    <cellStyle name="Style 86 3 2 2 2 4 2" xfId="15916" xr:uid="{2861C36F-6220-4023-9D21-89AEE41C55D6}"/>
    <cellStyle name="Style 86 3 2 2 2 4 2 2" xfId="34551" xr:uid="{843EFCFE-8A9E-46C3-A5F4-78D447FA3ED5}"/>
    <cellStyle name="Style 86 3 2 2 2 5" xfId="15917" xr:uid="{3EA3ADBF-12F4-4543-BB37-864FE9DA79DE}"/>
    <cellStyle name="Style 86 3 2 2 2 5 2" xfId="34552" xr:uid="{5C631AA0-1530-4D43-8D4B-518FDB06A913}"/>
    <cellStyle name="Style 86 3 2 2 2 6" xfId="15918" xr:uid="{CD138990-C0DB-43CD-8E5F-0028BF3A6C4B}"/>
    <cellStyle name="Style 86 3 2 2 2 6 2" xfId="34553" xr:uid="{DF59E324-BECE-4428-91E0-05F0DB3FB40A}"/>
    <cellStyle name="Style 86 3 2 2 2 7" xfId="15919" xr:uid="{0A0E7493-6C15-4182-9366-34D788AC0596}"/>
    <cellStyle name="Style 86 3 2 2 2 7 2" xfId="34554" xr:uid="{380D64A2-4F3F-44D2-AAAF-BBE117E5243A}"/>
    <cellStyle name="Style 86 3 2 2 2 8" xfId="15920" xr:uid="{EDC41DC5-B784-46D6-834A-58339846230B}"/>
    <cellStyle name="Style 86 3 2 2 2 8 2" xfId="34555" xr:uid="{431EE424-05EA-49EF-99CC-6BFC2F98D775}"/>
    <cellStyle name="Style 86 3 2 2 2 9" xfId="15921" xr:uid="{35033423-32D0-4C07-BB7C-46187597670A}"/>
    <cellStyle name="Style 86 3 2 2 2 9 2" xfId="34556" xr:uid="{CF0A9795-DE9B-4085-8EF7-4A574545493C}"/>
    <cellStyle name="Style 86 3 2 2 3" xfId="3612" xr:uid="{5620B270-8CEE-4C38-A1DE-5BD7DA2251F1}"/>
    <cellStyle name="Style 86 3 2 2 3 10" xfId="15922" xr:uid="{16D56593-0F5A-4200-A4B2-B3DADEE36F9F}"/>
    <cellStyle name="Style 86 3 2 2 3 10 2" xfId="34557" xr:uid="{535CB27F-2B41-4F11-8467-64EDAAE81BDC}"/>
    <cellStyle name="Style 86 3 2 2 3 11" xfId="15923" xr:uid="{DE8CD937-ACA4-4BF0-B17A-30BFFCA3FAD4}"/>
    <cellStyle name="Style 86 3 2 2 3 11 2" xfId="34558" xr:uid="{6E95FA7D-232D-4126-914A-BDC88C0B76D9}"/>
    <cellStyle name="Style 86 3 2 2 3 12" xfId="15924" xr:uid="{AF2505F4-AA5F-4954-B460-141F6A67EDD3}"/>
    <cellStyle name="Style 86 3 2 2 3 12 2" xfId="34559" xr:uid="{020BE7FB-C15A-45E9-8033-75763A13A7D5}"/>
    <cellStyle name="Style 86 3 2 2 3 2" xfId="7336" xr:uid="{C02980ED-7555-4E25-9BC2-BF423D331229}"/>
    <cellStyle name="Style 86 3 2 2 3 2 2" xfId="15925" xr:uid="{62326255-44E7-4A8D-99A0-B75D2F6C5CB1}"/>
    <cellStyle name="Style 86 3 2 2 3 2 2 2" xfId="34560" xr:uid="{B976FB13-5138-4BA5-923A-240BEB01C392}"/>
    <cellStyle name="Style 86 3 2 2 3 2 3" xfId="15926" xr:uid="{CFDF3D52-CFBB-4A0C-82ED-22BDEEA5137D}"/>
    <cellStyle name="Style 86 3 2 2 3 2 3 2" xfId="34561" xr:uid="{B7294C9A-F381-43A1-B874-A71A24A8451A}"/>
    <cellStyle name="Style 86 3 2 2 3 3" xfId="15927" xr:uid="{906576CA-2D01-41DD-8C0B-78E411187F61}"/>
    <cellStyle name="Style 86 3 2 2 3 3 2" xfId="15928" xr:uid="{6D2CF24E-F3A2-4F30-9550-D307727B3D12}"/>
    <cellStyle name="Style 86 3 2 2 3 3 2 2" xfId="34562" xr:uid="{5059EEE4-66C3-4873-87DE-1413EE1C71D1}"/>
    <cellStyle name="Style 86 3 2 2 3 4" xfId="15929" xr:uid="{647A99C9-DEC7-4034-8B58-AD8829D27EF3}"/>
    <cellStyle name="Style 86 3 2 2 3 4 2" xfId="34563" xr:uid="{09B41055-D5A3-4171-9B8A-0A7DE9A08767}"/>
    <cellStyle name="Style 86 3 2 2 3 5" xfId="15930" xr:uid="{B86F472E-418E-49E0-9B58-203814645E05}"/>
    <cellStyle name="Style 86 3 2 2 3 5 2" xfId="34564" xr:uid="{531BC2F5-228D-471D-82AE-FDB3AC5E6CBF}"/>
    <cellStyle name="Style 86 3 2 2 3 6" xfId="15931" xr:uid="{AFC31C1D-A122-448E-9092-83CAA0B0D6C1}"/>
    <cellStyle name="Style 86 3 2 2 3 6 2" xfId="34565" xr:uid="{4A4B8ACF-E07C-471F-A5CD-C5D5215F3763}"/>
    <cellStyle name="Style 86 3 2 2 3 7" xfId="15932" xr:uid="{672E5E0F-B203-442C-9BDC-8EAFE5BAA433}"/>
    <cellStyle name="Style 86 3 2 2 3 7 2" xfId="34566" xr:uid="{427CC1D3-A572-431B-A293-5F14CDBEA796}"/>
    <cellStyle name="Style 86 3 2 2 3 8" xfId="15933" xr:uid="{D644E229-8E4F-4D09-9D82-F95AF17A7FA1}"/>
    <cellStyle name="Style 86 3 2 2 3 8 2" xfId="34567" xr:uid="{BF8F8D7A-D251-4FD0-BB5D-3204DCBE9436}"/>
    <cellStyle name="Style 86 3 2 2 3 9" xfId="15934" xr:uid="{066F6CC2-57A3-4983-9B16-7A014009CE96}"/>
    <cellStyle name="Style 86 3 2 2 3 9 2" xfId="34568" xr:uid="{9F81DBE1-F535-4723-85D2-0DFDF3177A92}"/>
    <cellStyle name="Style 86 3 2 2 4" xfId="7333" xr:uid="{FA916BDE-01F7-4FA8-8F57-E6264E924F54}"/>
    <cellStyle name="Style 86 3 2 2 4 2" xfId="15935" xr:uid="{E75806D3-E5FC-40E3-A8BF-65DFB53442BF}"/>
    <cellStyle name="Style 86 3 2 2 4 2 2" xfId="34569" xr:uid="{DE6EF9D7-BF2C-4874-94EF-29F5E3AF89C6}"/>
    <cellStyle name="Style 86 3 2 2 4 3" xfId="15936" xr:uid="{75883FB5-935D-48F3-876E-70B0985CBD5E}"/>
    <cellStyle name="Style 86 3 2 2 4 3 2" xfId="34570" xr:uid="{031D9783-B8E2-4214-9BDA-A0A98E399DB4}"/>
    <cellStyle name="Style 86 3 2 2 5" xfId="15937" xr:uid="{312088BD-C81D-4556-AA30-2808A8483C02}"/>
    <cellStyle name="Style 86 3 2 2 5 2" xfId="15938" xr:uid="{6CCE7E93-641E-49FC-9E5B-BA84EAF49E8B}"/>
    <cellStyle name="Style 86 3 2 2 5 2 2" xfId="34571" xr:uid="{62A94013-2FEE-4A86-8462-E405C75CAF94}"/>
    <cellStyle name="Style 86 3 2 2 6" xfId="15939" xr:uid="{11E8CE4F-8D71-4226-B4BB-FAD24C362635}"/>
    <cellStyle name="Style 86 3 2 2 6 2" xfId="34572" xr:uid="{494B5BD4-155D-4628-BA0D-4A38436E49D7}"/>
    <cellStyle name="Style 86 3 2 2 7" xfId="15940" xr:uid="{41AE4EE2-6CFF-4EC8-998C-347FD3CE21AB}"/>
    <cellStyle name="Style 86 3 2 2 7 2" xfId="34573" xr:uid="{9A9AC9D9-2F3F-4E49-B128-1932D292E1B5}"/>
    <cellStyle name="Style 86 3 2 2 8" xfId="15941" xr:uid="{B4AC4023-5D02-4A05-B506-C9A0EED86F0D}"/>
    <cellStyle name="Style 86 3 2 2 8 2" xfId="34574" xr:uid="{FE85DC15-0C75-47FF-B9CF-16D0A7B811C1}"/>
    <cellStyle name="Style 86 3 2 2 9" xfId="15942" xr:uid="{6B252BB7-9D3E-460F-8F27-0253B7E7EF5F}"/>
    <cellStyle name="Style 86 3 2 2 9 2" xfId="34575" xr:uid="{EA97323A-6E1E-4126-9CF9-CC2AD633250B}"/>
    <cellStyle name="Style 86 3 2 3" xfId="3613" xr:uid="{ADFA6A74-3B16-4BB0-BE4B-C5FF07632AB5}"/>
    <cellStyle name="Style 86 3 2 3 10" xfId="15943" xr:uid="{0C6EB457-CB4B-4CA5-A3BA-0FF7B3A157DF}"/>
    <cellStyle name="Style 86 3 2 3 10 2" xfId="34576" xr:uid="{8F41E032-3214-42DE-9BFC-11732F8474CF}"/>
    <cellStyle name="Style 86 3 2 3 11" xfId="15944" xr:uid="{7B4C2833-2F3E-4194-934C-34B887F21273}"/>
    <cellStyle name="Style 86 3 2 3 11 2" xfId="34577" xr:uid="{87DFE6D1-1592-4873-868B-F95C52377E20}"/>
    <cellStyle name="Style 86 3 2 3 12" xfId="15945" xr:uid="{C7ED29A2-0551-42BE-B88C-1BC588922D64}"/>
    <cellStyle name="Style 86 3 2 3 12 2" xfId="34578" xr:uid="{C2779294-51B0-4D2B-8FA7-10E61A44DCA4}"/>
    <cellStyle name="Style 86 3 2 3 13" xfId="15946" xr:uid="{2EE7D222-CCA4-457C-B32C-69841C368A49}"/>
    <cellStyle name="Style 86 3 2 3 13 2" xfId="34579" xr:uid="{55AEC915-4D31-4C07-B01B-A5CE78A7BBD0}"/>
    <cellStyle name="Style 86 3 2 3 14" xfId="15947" xr:uid="{8B89671F-8AD0-4B7B-B09E-595481BED575}"/>
    <cellStyle name="Style 86 3 2 3 14 2" xfId="34580" xr:uid="{582EE6C2-EB91-439F-B1A2-A09D8A3A07D9}"/>
    <cellStyle name="Style 86 3 2 3 2" xfId="3614" xr:uid="{D9B9A114-BDE4-49DC-9D94-BEEEF2F07A9C}"/>
    <cellStyle name="Style 86 3 2 3 2 10" xfId="15948" xr:uid="{E3332E29-3FB9-4BB9-8DDD-FA2A73FE69EE}"/>
    <cellStyle name="Style 86 3 2 3 2 10 2" xfId="34581" xr:uid="{4F0B6AF8-10DD-44E0-8E98-992142484103}"/>
    <cellStyle name="Style 86 3 2 3 2 11" xfId="15949" xr:uid="{E826A7F5-9FEE-4CD3-B34A-CE42DE2BBFAF}"/>
    <cellStyle name="Style 86 3 2 3 2 11 2" xfId="34582" xr:uid="{A5146AC5-A5FF-4D0D-8769-1D4DF969916B}"/>
    <cellStyle name="Style 86 3 2 3 2 12" xfId="15950" xr:uid="{979A9108-4BFA-4D03-9E4E-BA936316FDC6}"/>
    <cellStyle name="Style 86 3 2 3 2 12 2" xfId="34583" xr:uid="{E82FB1A3-DA64-4182-A7CF-DA180059BDF5}"/>
    <cellStyle name="Style 86 3 2 3 2 2" xfId="7338" xr:uid="{805BBBCB-0FDD-4A9F-8D4F-B2C32354F9DE}"/>
    <cellStyle name="Style 86 3 2 3 2 2 2" xfId="15951" xr:uid="{00C231CF-6A74-4E5B-8808-D3E6AB0FFAB3}"/>
    <cellStyle name="Style 86 3 2 3 2 2 2 2" xfId="34584" xr:uid="{1F73AF44-CE94-48A7-B026-46AD92D0849D}"/>
    <cellStyle name="Style 86 3 2 3 2 2 3" xfId="15952" xr:uid="{F44EB246-AA64-491F-9801-C95432FCEF81}"/>
    <cellStyle name="Style 86 3 2 3 2 2 3 2" xfId="34585" xr:uid="{B0ECC5C2-78DF-494D-84C8-0F614830F0AB}"/>
    <cellStyle name="Style 86 3 2 3 2 3" xfId="15953" xr:uid="{4FE5DE65-5D0A-46E6-B9BF-E041F3818D8F}"/>
    <cellStyle name="Style 86 3 2 3 2 3 2" xfId="15954" xr:uid="{77AD9363-048F-44E1-81EB-4F733E690C30}"/>
    <cellStyle name="Style 86 3 2 3 2 3 2 2" xfId="34586" xr:uid="{4DF7CE4E-C886-4CAD-ACBD-1513E54B60A9}"/>
    <cellStyle name="Style 86 3 2 3 2 4" xfId="15955" xr:uid="{0235A950-2026-450D-ACF3-CE3EE1F73BD9}"/>
    <cellStyle name="Style 86 3 2 3 2 4 2" xfId="34587" xr:uid="{4FE0F6BF-BE0D-4A83-886C-8ABDDBDB1B34}"/>
    <cellStyle name="Style 86 3 2 3 2 5" xfId="15956" xr:uid="{3065B016-67AD-444B-AFAB-BFEE65CA800A}"/>
    <cellStyle name="Style 86 3 2 3 2 5 2" xfId="34588" xr:uid="{4C09508C-C37B-41F5-A3FB-1FC0002762E9}"/>
    <cellStyle name="Style 86 3 2 3 2 6" xfId="15957" xr:uid="{BCD49442-0A9E-4B5E-8AE6-0895501CB4E4}"/>
    <cellStyle name="Style 86 3 2 3 2 6 2" xfId="34589" xr:uid="{0C53BCF7-E94E-4770-9756-35D0375927BC}"/>
    <cellStyle name="Style 86 3 2 3 2 7" xfId="15958" xr:uid="{B55EDD8C-C06F-4F53-B669-CF4B092E5B8F}"/>
    <cellStyle name="Style 86 3 2 3 2 7 2" xfId="34590" xr:uid="{5C84A29C-A5A8-4205-BF4B-29CFFE5EDAD2}"/>
    <cellStyle name="Style 86 3 2 3 2 8" xfId="15959" xr:uid="{825E167F-E66C-4A90-BE75-FCFC2A3D32F1}"/>
    <cellStyle name="Style 86 3 2 3 2 8 2" xfId="34591" xr:uid="{C9D64014-04B5-45CF-A792-7E5B353654C8}"/>
    <cellStyle name="Style 86 3 2 3 2 9" xfId="15960" xr:uid="{FA2A9E1D-0DB2-43F9-854E-CECE05B3895E}"/>
    <cellStyle name="Style 86 3 2 3 2 9 2" xfId="34592" xr:uid="{F9E5E784-A66C-46D9-88F6-822982B29998}"/>
    <cellStyle name="Style 86 3 2 3 3" xfId="7337" xr:uid="{C19D9BAD-0DA5-47BF-9694-FE0123727CBE}"/>
    <cellStyle name="Style 86 3 2 3 3 2" xfId="15961" xr:uid="{B47C12C3-DB74-471C-9910-B1C53AB3CC50}"/>
    <cellStyle name="Style 86 3 2 3 3 2 2" xfId="34593" xr:uid="{EEF0B268-A2D0-4863-B69E-F83657C98028}"/>
    <cellStyle name="Style 86 3 2 3 3 3" xfId="15962" xr:uid="{F9DBA3CE-B808-4DD5-9BC9-C69CD2DD351B}"/>
    <cellStyle name="Style 86 3 2 3 3 3 2" xfId="34594" xr:uid="{14588E9B-7946-491A-AB3B-6CBC31383F21}"/>
    <cellStyle name="Style 86 3 2 3 4" xfId="15963" xr:uid="{21B93245-FCAB-436A-A0E9-BB5FE801B799}"/>
    <cellStyle name="Style 86 3 2 3 4 2" xfId="15964" xr:uid="{34B3ED9F-02FB-48AA-A40D-7D51B4B2CB34}"/>
    <cellStyle name="Style 86 3 2 3 4 2 2" xfId="34595" xr:uid="{7950E7EA-49C1-457E-A319-A5D6977F6F84}"/>
    <cellStyle name="Style 86 3 2 3 5" xfId="15965" xr:uid="{2D7750F8-8261-44E6-BEFF-5979757BD6CC}"/>
    <cellStyle name="Style 86 3 2 3 5 2" xfId="34596" xr:uid="{7AC2F0FE-EEF6-43D8-A720-ED1694C539FF}"/>
    <cellStyle name="Style 86 3 2 3 6" xfId="15966" xr:uid="{A85C3D95-90F8-4486-9966-593D4E6396B3}"/>
    <cellStyle name="Style 86 3 2 3 6 2" xfId="34597" xr:uid="{81B2B90C-00C0-4C9D-9035-A0C4430F115D}"/>
    <cellStyle name="Style 86 3 2 3 7" xfId="15967" xr:uid="{EC80CDB7-E53B-424F-BCF5-683583C69920}"/>
    <cellStyle name="Style 86 3 2 3 7 2" xfId="34598" xr:uid="{33219ACA-0C63-463C-92C8-83B66D679536}"/>
    <cellStyle name="Style 86 3 2 3 8" xfId="15968" xr:uid="{70F5B35C-93F6-4A30-9C75-E0F507B3C82C}"/>
    <cellStyle name="Style 86 3 2 3 8 2" xfId="34599" xr:uid="{14FDF9C6-A70F-476F-8FAF-B8D5173D7293}"/>
    <cellStyle name="Style 86 3 2 3 9" xfId="15969" xr:uid="{771978D7-BE8A-4085-8632-CEC68E051BA2}"/>
    <cellStyle name="Style 86 3 2 3 9 2" xfId="34600" xr:uid="{1FFCBD8A-BB3C-4285-8EE2-6F006687EF4F}"/>
    <cellStyle name="Style 86 3 2 4" xfId="3615" xr:uid="{264C9EEB-5780-4F91-BEB6-CF5102A28131}"/>
    <cellStyle name="Style 86 3 2 4 10" xfId="15970" xr:uid="{8B166A5A-31E9-4E73-A531-E7BDF361E134}"/>
    <cellStyle name="Style 86 3 2 4 10 2" xfId="34601" xr:uid="{9DE7477E-3E57-4D5F-93D8-EACB73F71292}"/>
    <cellStyle name="Style 86 3 2 4 11" xfId="15971" xr:uid="{71B4632F-22CA-4AAA-A26D-64868696BFDC}"/>
    <cellStyle name="Style 86 3 2 4 11 2" xfId="34602" xr:uid="{0911FEEC-52E6-4F88-9293-7F233B338876}"/>
    <cellStyle name="Style 86 3 2 4 12" xfId="15972" xr:uid="{82C51FF6-B3EC-4D9F-911D-1C30150649B3}"/>
    <cellStyle name="Style 86 3 2 4 12 2" xfId="34603" xr:uid="{076A8271-74BF-4276-8B3C-3F5068DF4AEF}"/>
    <cellStyle name="Style 86 3 2 4 2" xfId="7339" xr:uid="{519C9F1E-64C2-49FA-BDC3-D5E0282F5748}"/>
    <cellStyle name="Style 86 3 2 4 2 2" xfId="15973" xr:uid="{7224EFAF-9F3E-4172-8C5C-9A596247F883}"/>
    <cellStyle name="Style 86 3 2 4 2 2 2" xfId="34604" xr:uid="{A7A292D3-13D9-431F-9753-533D6B8B7FB3}"/>
    <cellStyle name="Style 86 3 2 4 2 3" xfId="15974" xr:uid="{CCFCBE5B-4B27-423D-8700-FA0334C9D718}"/>
    <cellStyle name="Style 86 3 2 4 2 3 2" xfId="34605" xr:uid="{022E52BD-EBB7-485C-BC40-85C28D5CFE97}"/>
    <cellStyle name="Style 86 3 2 4 3" xfId="15975" xr:uid="{51E7A2E5-063D-4FA7-B518-03194DE66564}"/>
    <cellStyle name="Style 86 3 2 4 3 2" xfId="15976" xr:uid="{626929DF-DAB9-4702-9101-23D1379B5176}"/>
    <cellStyle name="Style 86 3 2 4 3 2 2" xfId="34606" xr:uid="{5EAAF32C-EBEA-434A-8639-6080F552D7E9}"/>
    <cellStyle name="Style 86 3 2 4 4" xfId="15977" xr:uid="{2AB11200-11B4-473E-A84A-8BAE6E724396}"/>
    <cellStyle name="Style 86 3 2 4 4 2" xfId="34607" xr:uid="{5BE1337B-ADE6-4CFF-AFF6-5C5D6B3D96F7}"/>
    <cellStyle name="Style 86 3 2 4 5" xfId="15978" xr:uid="{F0B3F6E5-03BE-40AD-8CF8-22A791FD5EC4}"/>
    <cellStyle name="Style 86 3 2 4 5 2" xfId="34608" xr:uid="{AE64EC12-CA24-4EB0-A82D-1C88CFAE94D8}"/>
    <cellStyle name="Style 86 3 2 4 6" xfId="15979" xr:uid="{99D951F5-A5D5-48AA-9351-D3DDF6B6D153}"/>
    <cellStyle name="Style 86 3 2 4 6 2" xfId="34609" xr:uid="{62EED559-E62F-4F80-8D88-91D2D3BBDD73}"/>
    <cellStyle name="Style 86 3 2 4 7" xfId="15980" xr:uid="{FCF250C8-A757-4796-BCEF-1056CFBC5304}"/>
    <cellStyle name="Style 86 3 2 4 7 2" xfId="34610" xr:uid="{3F7519D2-727F-4647-9115-8C908F1AEED5}"/>
    <cellStyle name="Style 86 3 2 4 8" xfId="15981" xr:uid="{7B708B90-AF63-4E2D-A09B-FE3A40516128}"/>
    <cellStyle name="Style 86 3 2 4 8 2" xfId="34611" xr:uid="{7DA07794-9E96-4510-8FD4-C814DE8EAF54}"/>
    <cellStyle name="Style 86 3 2 4 9" xfId="15982" xr:uid="{506568D5-C09B-4178-A06D-60E01B678D14}"/>
    <cellStyle name="Style 86 3 2 4 9 2" xfId="34612" xr:uid="{7D3F6B32-8253-47C2-B34B-7555E5E73386}"/>
    <cellStyle name="Style 86 3 2 5" xfId="7332" xr:uid="{FAB3BB15-625C-4637-BC10-0F23000E847D}"/>
    <cellStyle name="Style 86 3 2 5 2" xfId="15983" xr:uid="{0D8227DA-80E0-4327-91F5-184F8925E120}"/>
    <cellStyle name="Style 86 3 2 5 2 2" xfId="34613" xr:uid="{D447D37F-A322-4A1A-B821-109F065861C9}"/>
    <cellStyle name="Style 86 3 2 5 3" xfId="15984" xr:uid="{9C69B825-4A35-4100-8A20-51D7F51DF0A5}"/>
    <cellStyle name="Style 86 3 2 5 3 2" xfId="34614" xr:uid="{2E716994-7308-47B6-9B6D-4CB39A3A260D}"/>
    <cellStyle name="Style 86 3 2 6" xfId="15985" xr:uid="{DBE3EE2C-A3C6-4E48-B843-A3198DC26BC4}"/>
    <cellStyle name="Style 86 3 2 6 2" xfId="15986" xr:uid="{20CF4709-93DC-4C2A-956D-AA11EAFFB94D}"/>
    <cellStyle name="Style 86 3 2 6 2 2" xfId="34615" xr:uid="{69176DAD-4C5C-4FE4-8DE3-F1CDD25EEACA}"/>
    <cellStyle name="Style 86 3 2 7" xfId="15987" xr:uid="{8CE96FF5-B801-4ACD-87A9-9FB16B0D5273}"/>
    <cellStyle name="Style 86 3 2 7 2" xfId="34616" xr:uid="{39CEEB0A-6D82-4087-B918-7FAA010930C9}"/>
    <cellStyle name="Style 86 3 2 8" xfId="15988" xr:uid="{21A9692D-5D8F-44F1-8A20-DD4CD5D1B689}"/>
    <cellStyle name="Style 86 3 2 8 2" xfId="34617" xr:uid="{C43ABD91-4F99-42FA-B5D1-40FC0ABFBBD9}"/>
    <cellStyle name="Style 86 3 2 9" xfId="15989" xr:uid="{BF7F8324-A4EE-4295-88D6-DF539515865E}"/>
    <cellStyle name="Style 86 3 2 9 2" xfId="34618" xr:uid="{A9B24D2D-9EC9-4366-AF23-D41BF7558E24}"/>
    <cellStyle name="Style 86 3 3" xfId="3616" xr:uid="{D8A4D392-B797-42BE-A62B-D6CCDF35A090}"/>
    <cellStyle name="Style 86 3 3 10" xfId="15990" xr:uid="{FE75D3B5-C73A-47D5-8BE8-372A91F4A81F}"/>
    <cellStyle name="Style 86 3 3 10 2" xfId="34619" xr:uid="{22FD1D60-786D-461C-91AD-182D851FAC20}"/>
    <cellStyle name="Style 86 3 3 11" xfId="15991" xr:uid="{BA67BCA3-4E17-4E60-B06E-EAC185445A77}"/>
    <cellStyle name="Style 86 3 3 11 2" xfId="34620" xr:uid="{A6FB1243-BC97-4157-ACD6-20AC73C2E537}"/>
    <cellStyle name="Style 86 3 3 12" xfId="15992" xr:uid="{6EC8DF91-C201-483E-B394-778CF05239D3}"/>
    <cellStyle name="Style 86 3 3 12 2" xfId="34621" xr:uid="{29A034B5-F49F-4252-9745-70AF8D6D158A}"/>
    <cellStyle name="Style 86 3 3 13" xfId="15993" xr:uid="{81612353-AAFF-46A0-BA3F-49F4CEF2C330}"/>
    <cellStyle name="Style 86 3 3 13 2" xfId="34622" xr:uid="{A478476F-23AD-4EE8-893E-86BE8BC83B3E}"/>
    <cellStyle name="Style 86 3 3 14" xfId="15994" xr:uid="{CF0DB345-E575-40E6-9092-2E0AC7A2B7FA}"/>
    <cellStyle name="Style 86 3 3 14 2" xfId="34623" xr:uid="{BA03655E-74D5-4EFF-B311-0CC42E52D420}"/>
    <cellStyle name="Style 86 3 3 15" xfId="15995" xr:uid="{36B509D0-709D-474E-A2E6-651740D08AD3}"/>
    <cellStyle name="Style 86 3 3 15 2" xfId="34624" xr:uid="{26995DE2-AA92-48E4-81F5-A134F1E7E618}"/>
    <cellStyle name="Style 86 3 3 2" xfId="3617" xr:uid="{5104C2ED-42E3-4AC3-8BD3-A5BB8DD0CE11}"/>
    <cellStyle name="Style 86 3 3 2 10" xfId="15996" xr:uid="{58D60076-4DFE-4844-B173-62E2C6D930E0}"/>
    <cellStyle name="Style 86 3 3 2 10 2" xfId="34625" xr:uid="{9F7C6BBE-ECBC-4A1B-962F-D577D7B9D5DA}"/>
    <cellStyle name="Style 86 3 3 2 11" xfId="15997" xr:uid="{16C99713-E577-4431-9D99-53AEBC3E4037}"/>
    <cellStyle name="Style 86 3 3 2 11 2" xfId="34626" xr:uid="{FC8393A3-600F-44F1-8513-57AE6D0CA574}"/>
    <cellStyle name="Style 86 3 3 2 12" xfId="15998" xr:uid="{CF9FA320-D03D-48FD-8645-ABC2AF31EBBD}"/>
    <cellStyle name="Style 86 3 3 2 12 2" xfId="34627" xr:uid="{F0A66971-C9E3-4EE1-AEDB-0151CB74BE44}"/>
    <cellStyle name="Style 86 3 3 2 13" xfId="15999" xr:uid="{646EDF09-3152-453D-8699-77CC60F1BB3B}"/>
    <cellStyle name="Style 86 3 3 2 13 2" xfId="34628" xr:uid="{5C5681D8-5D74-408B-8C61-3F4D5BF520B5}"/>
    <cellStyle name="Style 86 3 3 2 14" xfId="16000" xr:uid="{5E9526C3-9142-4FBE-A22D-65DCD12B7BD1}"/>
    <cellStyle name="Style 86 3 3 2 14 2" xfId="34629" xr:uid="{84966A54-F901-44A9-B609-42D842A2AF7F}"/>
    <cellStyle name="Style 86 3 3 2 15" xfId="16001" xr:uid="{BC0A8C91-DB9C-48D5-B5F6-6D1774C952FB}"/>
    <cellStyle name="Style 86 3 3 2 15 2" xfId="34630" xr:uid="{E125E317-ACE7-42AC-9443-5EB3E59503EF}"/>
    <cellStyle name="Style 86 3 3 2 2" xfId="3618" xr:uid="{4E88C4B5-7315-4DD8-A4F5-ABE615CC02C3}"/>
    <cellStyle name="Style 86 3 3 2 2 10" xfId="16002" xr:uid="{8D86A9AB-EC9A-49A5-9A53-396176651822}"/>
    <cellStyle name="Style 86 3 3 2 2 10 2" xfId="34631" xr:uid="{E04FDB11-A48F-42EE-9074-F70927A095E8}"/>
    <cellStyle name="Style 86 3 3 2 2 11" xfId="16003" xr:uid="{1A56CCE2-4A21-4FBB-ADC8-D02BF02B3647}"/>
    <cellStyle name="Style 86 3 3 2 2 11 2" xfId="34632" xr:uid="{5BA9C22E-B84B-4FC7-BD28-C94462896AEE}"/>
    <cellStyle name="Style 86 3 3 2 2 12" xfId="16004" xr:uid="{C011000C-B082-4071-9B6F-31CBE05280DB}"/>
    <cellStyle name="Style 86 3 3 2 2 12 2" xfId="34633" xr:uid="{DBE23AF3-741F-47BE-9BB5-22C579A174B2}"/>
    <cellStyle name="Style 86 3 3 2 2 13" xfId="16005" xr:uid="{493DE71E-CBE9-49DA-B2E6-528A993998E4}"/>
    <cellStyle name="Style 86 3 3 2 2 13 2" xfId="34634" xr:uid="{B8F1E422-78F7-4855-9A45-B7B265EF7A9B}"/>
    <cellStyle name="Style 86 3 3 2 2 14" xfId="16006" xr:uid="{30F774AA-EC6A-4BAC-8BC0-5A1934D70E34}"/>
    <cellStyle name="Style 86 3 3 2 2 14 2" xfId="34635" xr:uid="{FD245ECF-6C9C-4900-AF89-BF4BCFF4DB02}"/>
    <cellStyle name="Style 86 3 3 2 2 2" xfId="3619" xr:uid="{7AEE9B08-A03E-43A6-A655-733C9D7757F4}"/>
    <cellStyle name="Style 86 3 3 2 2 2 10" xfId="16007" xr:uid="{D491045B-56F3-4317-97E9-971863090494}"/>
    <cellStyle name="Style 86 3 3 2 2 2 10 2" xfId="34636" xr:uid="{32D134D9-C02C-4C50-9D42-3C7BB1B2DAEC}"/>
    <cellStyle name="Style 86 3 3 2 2 2 11" xfId="16008" xr:uid="{9698BC7B-49BE-4DF9-81D8-4A3FCB72B236}"/>
    <cellStyle name="Style 86 3 3 2 2 2 11 2" xfId="34637" xr:uid="{06689000-DFE7-49FA-9794-559D7782AD1F}"/>
    <cellStyle name="Style 86 3 3 2 2 2 12" xfId="16009" xr:uid="{AF50FB5C-8D66-4807-9818-55DF8C5E4CB5}"/>
    <cellStyle name="Style 86 3 3 2 2 2 12 2" xfId="34638" xr:uid="{3BDB53CB-182A-4BA9-B0B8-0FD6C5330B3C}"/>
    <cellStyle name="Style 86 3 3 2 2 2 2" xfId="7343" xr:uid="{81A735FE-A10F-4029-9835-FCC28A7B3052}"/>
    <cellStyle name="Style 86 3 3 2 2 2 2 2" xfId="16010" xr:uid="{E9BAB49F-9907-4655-87F3-B87F7AB684CF}"/>
    <cellStyle name="Style 86 3 3 2 2 2 2 2 2" xfId="34639" xr:uid="{0424AD58-D4AB-47A6-8D5E-910176B2FCDB}"/>
    <cellStyle name="Style 86 3 3 2 2 2 2 3" xfId="16011" xr:uid="{7D1181BE-AF0C-459B-B4B7-8FAB4785662B}"/>
    <cellStyle name="Style 86 3 3 2 2 2 2 3 2" xfId="34640" xr:uid="{07F7F6EE-4C42-48A9-B263-5051FEEFA856}"/>
    <cellStyle name="Style 86 3 3 2 2 2 3" xfId="16012" xr:uid="{C9F8A646-7F56-4F1E-9381-75F9A3663CC0}"/>
    <cellStyle name="Style 86 3 3 2 2 2 3 2" xfId="16013" xr:uid="{E3DB9E25-12CC-4F75-9F76-6DB9FA13AF10}"/>
    <cellStyle name="Style 86 3 3 2 2 2 3 2 2" xfId="34641" xr:uid="{45295735-B372-4FD6-82F3-846392E3259A}"/>
    <cellStyle name="Style 86 3 3 2 2 2 4" xfId="16014" xr:uid="{268F61DA-3C63-4BDA-B93C-B6885FA0E7AE}"/>
    <cellStyle name="Style 86 3 3 2 2 2 4 2" xfId="34642" xr:uid="{11810E09-89F7-4243-824B-22F5A17E815A}"/>
    <cellStyle name="Style 86 3 3 2 2 2 5" xfId="16015" xr:uid="{E0B5D05D-E7E0-416A-AE8C-93B0811CF0C8}"/>
    <cellStyle name="Style 86 3 3 2 2 2 5 2" xfId="34643" xr:uid="{41698121-C785-4BEB-B536-7CEB70815943}"/>
    <cellStyle name="Style 86 3 3 2 2 2 6" xfId="16016" xr:uid="{A7C353D6-7476-479B-8234-6E69F9F8EE54}"/>
    <cellStyle name="Style 86 3 3 2 2 2 6 2" xfId="34644" xr:uid="{9A8B59BD-C7C7-4F84-8541-DF90E8A42B63}"/>
    <cellStyle name="Style 86 3 3 2 2 2 7" xfId="16017" xr:uid="{27935027-C22C-4C20-B124-884A4269F61B}"/>
    <cellStyle name="Style 86 3 3 2 2 2 7 2" xfId="34645" xr:uid="{222E7463-DBA1-41CF-AD87-6F7CF86049BA}"/>
    <cellStyle name="Style 86 3 3 2 2 2 8" xfId="16018" xr:uid="{23A9A8D0-48FE-469D-801E-62AD3B211D26}"/>
    <cellStyle name="Style 86 3 3 2 2 2 8 2" xfId="34646" xr:uid="{F3C5A852-A07D-45EA-823F-630116689790}"/>
    <cellStyle name="Style 86 3 3 2 2 2 9" xfId="16019" xr:uid="{1695EC51-DA20-4EA5-B0CB-4CFAF4440AB2}"/>
    <cellStyle name="Style 86 3 3 2 2 2 9 2" xfId="34647" xr:uid="{D5E6FF42-16A8-4174-9D2D-43C68C7E35ED}"/>
    <cellStyle name="Style 86 3 3 2 2 3" xfId="7342" xr:uid="{11465E6D-56D3-4203-ADE0-A87C9A9C24FC}"/>
    <cellStyle name="Style 86 3 3 2 2 3 2" xfId="16020" xr:uid="{2AEF081E-78D7-4B5F-BD5E-EBA59F1CF334}"/>
    <cellStyle name="Style 86 3 3 2 2 3 2 2" xfId="34648" xr:uid="{ACC623AF-6B6B-43F9-95AB-27C34C1F5585}"/>
    <cellStyle name="Style 86 3 3 2 2 3 3" xfId="16021" xr:uid="{92D12F32-A7AF-4EF5-A39E-41BE1F6B0719}"/>
    <cellStyle name="Style 86 3 3 2 2 3 3 2" xfId="34649" xr:uid="{CB17A58B-3736-4ED1-8799-D2818B4D433C}"/>
    <cellStyle name="Style 86 3 3 2 2 4" xfId="16022" xr:uid="{BF5FE44D-0FCB-4DC2-AC94-B3EBEFD8FB5D}"/>
    <cellStyle name="Style 86 3 3 2 2 4 2" xfId="16023" xr:uid="{9F0D16A3-2272-4C94-8366-8742D1BAAFE9}"/>
    <cellStyle name="Style 86 3 3 2 2 4 2 2" xfId="34650" xr:uid="{768713B1-AA28-4BA6-9816-220D85AF143A}"/>
    <cellStyle name="Style 86 3 3 2 2 5" xfId="16024" xr:uid="{6A8E8E80-464C-44FB-B695-938B64345D26}"/>
    <cellStyle name="Style 86 3 3 2 2 5 2" xfId="34651" xr:uid="{5510EC40-422C-4175-A31B-E5DDB7C2F0F7}"/>
    <cellStyle name="Style 86 3 3 2 2 6" xfId="16025" xr:uid="{BB5C1900-5A64-448C-A69A-202ADC744CE0}"/>
    <cellStyle name="Style 86 3 3 2 2 6 2" xfId="34652" xr:uid="{BFB5486F-9403-43DD-8025-ADAB805C2A4E}"/>
    <cellStyle name="Style 86 3 3 2 2 7" xfId="16026" xr:uid="{59FD268C-B692-4AFE-8D8A-346D2247BFC2}"/>
    <cellStyle name="Style 86 3 3 2 2 7 2" xfId="34653" xr:uid="{3A6CECB2-4DF8-439B-ABA9-A536E2143741}"/>
    <cellStyle name="Style 86 3 3 2 2 8" xfId="16027" xr:uid="{DA810AE8-3E36-47A7-B91F-5CFF840FCEB4}"/>
    <cellStyle name="Style 86 3 3 2 2 8 2" xfId="34654" xr:uid="{0EDA1C54-4EE8-4618-B9E5-7ED3CE9FE1F0}"/>
    <cellStyle name="Style 86 3 3 2 2 9" xfId="16028" xr:uid="{211ED7A7-2335-4399-A555-1C3E33F44B15}"/>
    <cellStyle name="Style 86 3 3 2 2 9 2" xfId="34655" xr:uid="{2301E3EA-5128-4CEA-97F5-F3439759EC83}"/>
    <cellStyle name="Style 86 3 3 2 3" xfId="3620" xr:uid="{001F685F-C30D-422F-A5DA-1C397B861B70}"/>
    <cellStyle name="Style 86 3 3 2 3 10" xfId="16029" xr:uid="{9F317B34-3623-4102-B900-026F87F3CF10}"/>
    <cellStyle name="Style 86 3 3 2 3 10 2" xfId="34656" xr:uid="{30DBEBE4-289C-4989-BC5B-E0566B8E2C5B}"/>
    <cellStyle name="Style 86 3 3 2 3 11" xfId="16030" xr:uid="{6AA04908-840A-4F5D-BF10-7C88163C9D9A}"/>
    <cellStyle name="Style 86 3 3 2 3 11 2" xfId="34657" xr:uid="{4FC81F8A-ABA4-4D52-94B4-7F15FE2A6364}"/>
    <cellStyle name="Style 86 3 3 2 3 12" xfId="16031" xr:uid="{2D28D329-542E-4D1E-89B5-7655F6756FE6}"/>
    <cellStyle name="Style 86 3 3 2 3 12 2" xfId="34658" xr:uid="{9C8DDE48-7D1E-4623-8211-53C8BA304F51}"/>
    <cellStyle name="Style 86 3 3 2 3 2" xfId="7344" xr:uid="{E664A1DA-2CF1-456D-8866-90C908851D9B}"/>
    <cellStyle name="Style 86 3 3 2 3 2 2" xfId="16032" xr:uid="{82E4BDDA-FCC3-4E3E-8CFD-314C091F5089}"/>
    <cellStyle name="Style 86 3 3 2 3 2 2 2" xfId="34659" xr:uid="{2F412903-82B7-4AC4-AB4E-994A8874A454}"/>
    <cellStyle name="Style 86 3 3 2 3 2 3" xfId="16033" xr:uid="{73400369-45F9-4FB0-BE0A-A3796784CAD3}"/>
    <cellStyle name="Style 86 3 3 2 3 2 3 2" xfId="34660" xr:uid="{D19A1271-A939-48A9-AF20-85DFDB9C5552}"/>
    <cellStyle name="Style 86 3 3 2 3 3" xfId="16034" xr:uid="{414BEDD3-D7CB-4B2E-870C-D60983BBCAA0}"/>
    <cellStyle name="Style 86 3 3 2 3 3 2" xfId="16035" xr:uid="{2BD7BBFA-7032-41AF-982C-1C26AF5B8C33}"/>
    <cellStyle name="Style 86 3 3 2 3 3 2 2" xfId="34661" xr:uid="{3B72C4D8-9C9D-49AC-BE4A-52801E14E24B}"/>
    <cellStyle name="Style 86 3 3 2 3 4" xfId="16036" xr:uid="{32816BED-F877-4193-B282-44E319395EC6}"/>
    <cellStyle name="Style 86 3 3 2 3 4 2" xfId="34662" xr:uid="{267ABACE-7B42-4F1E-B0CC-203EF15972DC}"/>
    <cellStyle name="Style 86 3 3 2 3 5" xfId="16037" xr:uid="{5619CE8D-4868-4823-9B97-DF3ADBBA6703}"/>
    <cellStyle name="Style 86 3 3 2 3 5 2" xfId="34663" xr:uid="{6FD6F868-AF43-4742-A8C6-2CB7C127B31C}"/>
    <cellStyle name="Style 86 3 3 2 3 6" xfId="16038" xr:uid="{5C8B4CF0-2321-4B02-8343-9B01B7F8AAF5}"/>
    <cellStyle name="Style 86 3 3 2 3 6 2" xfId="34664" xr:uid="{3E421D42-A327-4F57-812D-BE6BBB84D7F7}"/>
    <cellStyle name="Style 86 3 3 2 3 7" xfId="16039" xr:uid="{18A14B3A-9B39-4A79-83D6-8E07B1EE940D}"/>
    <cellStyle name="Style 86 3 3 2 3 7 2" xfId="34665" xr:uid="{DCDA37AF-8B0B-4551-956B-BAF37BED6261}"/>
    <cellStyle name="Style 86 3 3 2 3 8" xfId="16040" xr:uid="{CEBA923A-93A4-42C8-B861-591B2798E433}"/>
    <cellStyle name="Style 86 3 3 2 3 8 2" xfId="34666" xr:uid="{3161CE20-0C35-4C2C-B053-96978274A868}"/>
    <cellStyle name="Style 86 3 3 2 3 9" xfId="16041" xr:uid="{16422EBB-9F7B-4738-8420-6013AD638FD8}"/>
    <cellStyle name="Style 86 3 3 2 3 9 2" xfId="34667" xr:uid="{5594A2EF-63F5-48E3-88FF-1E249FA97296}"/>
    <cellStyle name="Style 86 3 3 2 4" xfId="7341" xr:uid="{2C35F871-6E39-47F9-9824-98CC0C281540}"/>
    <cellStyle name="Style 86 3 3 2 4 2" xfId="16042" xr:uid="{FA93D131-4789-4EAF-B058-D56F3C22C8BC}"/>
    <cellStyle name="Style 86 3 3 2 4 2 2" xfId="34668" xr:uid="{90B360B7-EA11-4AF2-99E7-D70676245089}"/>
    <cellStyle name="Style 86 3 3 2 4 3" xfId="16043" xr:uid="{02C141F3-B0A4-4B22-A23C-444E53325161}"/>
    <cellStyle name="Style 86 3 3 2 4 3 2" xfId="34669" xr:uid="{29C0CC02-6258-4EFA-AF60-A81A0FE7546B}"/>
    <cellStyle name="Style 86 3 3 2 5" xfId="16044" xr:uid="{BF171698-F134-4CD9-AAAE-8ED6B1C1A70B}"/>
    <cellStyle name="Style 86 3 3 2 5 2" xfId="16045" xr:uid="{2E373BE3-DC3F-4557-B31C-E69413940EE0}"/>
    <cellStyle name="Style 86 3 3 2 5 2 2" xfId="34670" xr:uid="{BB6F0DD5-3EE7-426E-8637-DCCE90F3588D}"/>
    <cellStyle name="Style 86 3 3 2 6" xfId="16046" xr:uid="{51BCF820-3824-4727-9889-733C397ADEF5}"/>
    <cellStyle name="Style 86 3 3 2 6 2" xfId="34671" xr:uid="{E1E4E37C-E9BC-4B38-B30D-32306EA67FD9}"/>
    <cellStyle name="Style 86 3 3 2 7" xfId="16047" xr:uid="{8658C5F4-A5C7-4B97-A34F-09E099129EC4}"/>
    <cellStyle name="Style 86 3 3 2 7 2" xfId="34672" xr:uid="{5DE44189-0EB8-468A-AA42-87EAECC6C2BC}"/>
    <cellStyle name="Style 86 3 3 2 8" xfId="16048" xr:uid="{149EF1F1-8C3D-4716-A997-ABFD27CDC90A}"/>
    <cellStyle name="Style 86 3 3 2 8 2" xfId="34673" xr:uid="{6685A538-A0AE-4C51-B020-8E25BD6DCCE3}"/>
    <cellStyle name="Style 86 3 3 2 9" xfId="16049" xr:uid="{13FA28E4-36BF-4042-849C-888F42467EDF}"/>
    <cellStyle name="Style 86 3 3 2 9 2" xfId="34674" xr:uid="{56C4BD81-13B5-4CC7-820A-3653B4853689}"/>
    <cellStyle name="Style 86 3 3 3" xfId="3621" xr:uid="{A721B4D7-CDE9-4D21-AA67-508B23BFED53}"/>
    <cellStyle name="Style 86 3 3 3 10" xfId="16050" xr:uid="{0584CA10-FB01-461F-9E81-EBB47BEF6D17}"/>
    <cellStyle name="Style 86 3 3 3 10 2" xfId="34675" xr:uid="{6CB24E6D-FEBE-46B0-9FAE-CCFB61194089}"/>
    <cellStyle name="Style 86 3 3 3 11" xfId="16051" xr:uid="{9EB76D54-D3C5-46BE-833B-9C7A98AAEA95}"/>
    <cellStyle name="Style 86 3 3 3 11 2" xfId="34676" xr:uid="{CC941EE8-2250-4BCC-B469-3901875A8C62}"/>
    <cellStyle name="Style 86 3 3 3 12" xfId="16052" xr:uid="{D5ABED61-C9FB-4191-9D32-9032823FA2A0}"/>
    <cellStyle name="Style 86 3 3 3 12 2" xfId="34677" xr:uid="{F5A4D497-6C18-4AB4-84B0-9DFE2B0FDC29}"/>
    <cellStyle name="Style 86 3 3 3 13" xfId="16053" xr:uid="{216CF264-F1FD-4459-960C-2E6CA59CC24B}"/>
    <cellStyle name="Style 86 3 3 3 13 2" xfId="34678" xr:uid="{4D139E2D-71E9-48DF-9872-F82638EC0E1D}"/>
    <cellStyle name="Style 86 3 3 3 2" xfId="7346" xr:uid="{5087E9BD-6F92-47C6-AE8E-C3E48429D471}"/>
    <cellStyle name="Style 86 3 3 3 2 2" xfId="16054" xr:uid="{17219E40-878B-4659-AD0E-B8DAE79C8927}"/>
    <cellStyle name="Style 86 3 3 3 2 2 2" xfId="34679" xr:uid="{79B6DD70-AC7D-41A6-8CFF-6206F8440ED8}"/>
    <cellStyle name="Style 86 3 3 3 2 3" xfId="16055" xr:uid="{601E4229-3B83-4363-9B21-868B72344DA9}"/>
    <cellStyle name="Style 86 3 3 3 2 3 2" xfId="34680" xr:uid="{986BB423-1B87-455B-A48F-205688745E93}"/>
    <cellStyle name="Style 86 3 3 3 3" xfId="7345" xr:uid="{5E3BAFBC-17FB-45F5-998A-E68EAF76A91C}"/>
    <cellStyle name="Style 86 3 3 3 3 2" xfId="16056" xr:uid="{3502242B-F54C-45A8-9F40-15D05A500686}"/>
    <cellStyle name="Style 86 3 3 3 3 2 2" xfId="34681" xr:uid="{EB6F6DFC-C7E5-470C-9122-3E32728F3342}"/>
    <cellStyle name="Style 86 3 3 3 4" xfId="16057" xr:uid="{CE306D43-F33A-4C64-B0C6-CDAE6AD93D26}"/>
    <cellStyle name="Style 86 3 3 3 4 2" xfId="16058" xr:uid="{E8050002-6687-45EF-A07B-28917162B459}"/>
    <cellStyle name="Style 86 3 3 3 4 2 2" xfId="34682" xr:uid="{4C427567-548F-490C-9EC5-1B4D7E825BFC}"/>
    <cellStyle name="Style 86 3 3 3 5" xfId="16059" xr:uid="{2FACFA29-8194-4AA7-BE79-5BDD00D9E921}"/>
    <cellStyle name="Style 86 3 3 3 5 2" xfId="34683" xr:uid="{F2151785-EC80-49E4-B5F4-C3329E089C8A}"/>
    <cellStyle name="Style 86 3 3 3 6" xfId="16060" xr:uid="{5DB6EFB7-75D1-41F3-B902-14A33A0732ED}"/>
    <cellStyle name="Style 86 3 3 3 6 2" xfId="34684" xr:uid="{49E08CBD-D57A-4068-B1E8-B0B3F5890202}"/>
    <cellStyle name="Style 86 3 3 3 7" xfId="16061" xr:uid="{178E5A64-7D1D-4678-9733-9D3512FC5931}"/>
    <cellStyle name="Style 86 3 3 3 7 2" xfId="34685" xr:uid="{405A06ED-4F9C-4DC6-8107-CB4941B8E211}"/>
    <cellStyle name="Style 86 3 3 3 8" xfId="16062" xr:uid="{5CCFAAE8-051E-4911-8D59-292B11D2DB18}"/>
    <cellStyle name="Style 86 3 3 3 8 2" xfId="34686" xr:uid="{71DC4333-C50F-43D6-A510-7F12CC92F8BF}"/>
    <cellStyle name="Style 86 3 3 3 9" xfId="16063" xr:uid="{8A565594-63FD-4D08-8E53-A7D7E561BD3A}"/>
    <cellStyle name="Style 86 3 3 3 9 2" xfId="34687" xr:uid="{8A039967-B0AD-467A-A6D0-8232585042A1}"/>
    <cellStyle name="Style 86 3 3 4" xfId="7347" xr:uid="{B9B33840-4D4D-4997-97B7-EA37B93E5E45}"/>
    <cellStyle name="Style 86 3 3 4 2" xfId="16064" xr:uid="{7BA17960-7D98-4DEC-9587-4C2C492D14A3}"/>
    <cellStyle name="Style 86 3 3 4 2 2" xfId="34688" xr:uid="{3B5EFC6B-A27D-4C99-A888-73A3EAE3456F}"/>
    <cellStyle name="Style 86 3 3 4 3" xfId="16065" xr:uid="{0BD86EAF-8D62-4F44-AC31-4310EE1A7A82}"/>
    <cellStyle name="Style 86 3 3 4 3 2" xfId="34689" xr:uid="{93981A40-1326-4853-AAD1-A1BE7057DBEB}"/>
    <cellStyle name="Style 86 3 3 5" xfId="7348" xr:uid="{5503563B-819B-4D5E-871B-1BD7A300264E}"/>
    <cellStyle name="Style 86 3 3 5 2" xfId="16066" xr:uid="{839B4233-179E-4282-B89F-9B8E140A236A}"/>
    <cellStyle name="Style 86 3 3 5 2 2" xfId="34690" xr:uid="{8F8D3CEF-BE54-4470-97F2-7E82A250D7E3}"/>
    <cellStyle name="Style 86 3 3 6" xfId="7340" xr:uid="{23968955-5F80-4DA6-B7F7-554D7C7D2BAD}"/>
    <cellStyle name="Style 86 3 3 6 2" xfId="16067" xr:uid="{EC185B70-6A0E-4940-B590-7B44D5BA62B9}"/>
    <cellStyle name="Style 86 3 3 6 2 2" xfId="34691" xr:uid="{DBCAD67D-0D69-4A38-9A37-2689490AFD1F}"/>
    <cellStyle name="Style 86 3 3 7" xfId="16068" xr:uid="{2E52C491-4B6C-409A-863C-E028B7082810}"/>
    <cellStyle name="Style 86 3 3 7 2" xfId="16069" xr:uid="{A8131EE3-3B5C-40B9-856A-F0C74BB51C7C}"/>
    <cellStyle name="Style 86 3 3 7 2 2" xfId="34692" xr:uid="{49840355-1A3D-491C-B940-B7668E24A1DD}"/>
    <cellStyle name="Style 86 3 3 8" xfId="16070" xr:uid="{6AB2452F-409B-497A-9C06-C5078DD00D53}"/>
    <cellStyle name="Style 86 3 3 8 2" xfId="34693" xr:uid="{97BE358A-1125-4538-B373-27BF640592DC}"/>
    <cellStyle name="Style 86 3 3 9" xfId="16071" xr:uid="{DD9F439E-C5EB-4817-8BB6-C6F7C5257DF1}"/>
    <cellStyle name="Style 86 3 3 9 2" xfId="34694" xr:uid="{CEAEAE79-044B-4AE6-8935-E2A16403AEAA}"/>
    <cellStyle name="Style 86 3 4" xfId="3622" xr:uid="{41946F1B-3F79-4C73-91DA-8754CDDD328F}"/>
    <cellStyle name="Style 86 3 4 10" xfId="16072" xr:uid="{391AAFEC-5B72-4599-8A63-2F45AF0F700F}"/>
    <cellStyle name="Style 86 3 4 10 2" xfId="34695" xr:uid="{A85FBF58-5A59-4D46-BBDC-81FDEFE04757}"/>
    <cellStyle name="Style 86 3 4 11" xfId="16073" xr:uid="{08149FD7-5FBA-496E-9ED5-9CD632B4B4F1}"/>
    <cellStyle name="Style 86 3 4 11 2" xfId="34696" xr:uid="{193756BF-E51E-47BA-BFC8-B009B71B7DD2}"/>
    <cellStyle name="Style 86 3 4 12" xfId="16074" xr:uid="{A5E60491-33DD-4092-8228-D92E1A6BB52A}"/>
    <cellStyle name="Style 86 3 4 12 2" xfId="34697" xr:uid="{E7F2A47A-44DC-4B09-B722-3F4DF38605D8}"/>
    <cellStyle name="Style 86 3 4 13" xfId="16075" xr:uid="{FD9D5A00-FFD6-42C7-BF3C-650DABC4608C}"/>
    <cellStyle name="Style 86 3 4 13 2" xfId="34698" xr:uid="{285D1F6C-C565-4576-BB37-B249B02E1A3D}"/>
    <cellStyle name="Style 86 3 4 14" xfId="16076" xr:uid="{EB82A843-417C-455E-872B-22CBBFA89F59}"/>
    <cellStyle name="Style 86 3 4 14 2" xfId="34699" xr:uid="{67CB5A89-3219-4131-A0A8-258E118A387D}"/>
    <cellStyle name="Style 86 3 4 2" xfId="3623" xr:uid="{0C244BA9-EE1A-4D29-97B7-0F7D75F5839D}"/>
    <cellStyle name="Style 86 3 4 2 10" xfId="16077" xr:uid="{2438699C-D4BE-4C97-9746-FC0F8F1CF996}"/>
    <cellStyle name="Style 86 3 4 2 10 2" xfId="34700" xr:uid="{D501A02B-EDF0-4183-9E3B-37A515B2DBCE}"/>
    <cellStyle name="Style 86 3 4 2 11" xfId="16078" xr:uid="{B1DBF93A-F4B7-48A0-8B8B-687517CB4282}"/>
    <cellStyle name="Style 86 3 4 2 11 2" xfId="34701" xr:uid="{3154AAE6-61B5-4155-A99C-E0484F255FBB}"/>
    <cellStyle name="Style 86 3 4 2 12" xfId="16079" xr:uid="{3FE9F78D-948C-4691-B595-E5A7F3397F92}"/>
    <cellStyle name="Style 86 3 4 2 12 2" xfId="34702" xr:uid="{A157D8A1-6CD4-43F3-A12C-7B7DC06AF5F2}"/>
    <cellStyle name="Style 86 3 4 2 2" xfId="7350" xr:uid="{5AEB9C05-4763-4718-9C37-EE9136472B34}"/>
    <cellStyle name="Style 86 3 4 2 2 2" xfId="16080" xr:uid="{3F860B66-6939-41DA-823D-1A5DA1477AE8}"/>
    <cellStyle name="Style 86 3 4 2 2 2 2" xfId="34703" xr:uid="{AEB337D5-396D-4CC4-9CD0-55F45440D7BE}"/>
    <cellStyle name="Style 86 3 4 2 2 3" xfId="16081" xr:uid="{59AE299F-5B28-4A82-A2F4-C7579860B27B}"/>
    <cellStyle name="Style 86 3 4 2 2 3 2" xfId="34704" xr:uid="{C915D151-EA2B-48D8-83B6-04C5B5AA3166}"/>
    <cellStyle name="Style 86 3 4 2 3" xfId="16082" xr:uid="{8C2FD5D7-E498-4F55-9784-A7327E5027B0}"/>
    <cellStyle name="Style 86 3 4 2 3 2" xfId="16083" xr:uid="{2B99ED53-C53A-4C14-91CE-B25623442C82}"/>
    <cellStyle name="Style 86 3 4 2 3 2 2" xfId="34705" xr:uid="{337FB69D-A752-41B1-A911-98F9AEB22284}"/>
    <cellStyle name="Style 86 3 4 2 4" xfId="16084" xr:uid="{3D680351-57EB-4DC0-B609-D6F6AE9A056E}"/>
    <cellStyle name="Style 86 3 4 2 4 2" xfId="34706" xr:uid="{4207D98F-9690-49CA-BAAB-1A8AB409432B}"/>
    <cellStyle name="Style 86 3 4 2 5" xfId="16085" xr:uid="{7DA733EA-B0AF-44DC-8C47-2BFA73EE1629}"/>
    <cellStyle name="Style 86 3 4 2 5 2" xfId="34707" xr:uid="{950C2506-D5D9-47CC-8208-573629B706C6}"/>
    <cellStyle name="Style 86 3 4 2 6" xfId="16086" xr:uid="{D69C0742-1B2D-40AA-8B8C-71F2D4AA9723}"/>
    <cellStyle name="Style 86 3 4 2 6 2" xfId="34708" xr:uid="{F1972329-E509-4363-AFD0-0864D12FB60E}"/>
    <cellStyle name="Style 86 3 4 2 7" xfId="16087" xr:uid="{2420F8DE-34D6-4442-A3F9-7466A2DC0F24}"/>
    <cellStyle name="Style 86 3 4 2 7 2" xfId="34709" xr:uid="{CCFA1E27-8081-497E-B653-4342F8CB5106}"/>
    <cellStyle name="Style 86 3 4 2 8" xfId="16088" xr:uid="{6FFDEDED-4879-4287-8B30-4F60D64C7878}"/>
    <cellStyle name="Style 86 3 4 2 8 2" xfId="34710" xr:uid="{09FEC948-4CA5-4238-A920-68C763105CA6}"/>
    <cellStyle name="Style 86 3 4 2 9" xfId="16089" xr:uid="{FE755EE2-7489-40A6-8685-55679B90A13D}"/>
    <cellStyle name="Style 86 3 4 2 9 2" xfId="34711" xr:uid="{055E5E24-C50E-4117-9325-BBB3E8F9EDB6}"/>
    <cellStyle name="Style 86 3 4 3" xfId="7349" xr:uid="{21CEF742-328B-4E3B-A5E6-173F1BC7D3F9}"/>
    <cellStyle name="Style 86 3 4 3 2" xfId="16090" xr:uid="{9E1ED499-02A3-45D1-B12F-2D9937A773A1}"/>
    <cellStyle name="Style 86 3 4 3 2 2" xfId="34712" xr:uid="{D23E4756-8493-42C7-96AC-102C7B1374CF}"/>
    <cellStyle name="Style 86 3 4 3 3" xfId="16091" xr:uid="{400F1F07-D88A-418F-9F3F-9E8CB4A5982F}"/>
    <cellStyle name="Style 86 3 4 3 3 2" xfId="34713" xr:uid="{A985B5A0-24A6-414A-AFAD-C83CE18446E8}"/>
    <cellStyle name="Style 86 3 4 4" xfId="16092" xr:uid="{14C0E2E5-D52B-4BD5-A5BA-3041ADF5E506}"/>
    <cellStyle name="Style 86 3 4 4 2" xfId="16093" xr:uid="{0E4528BB-7270-40FC-BC85-56C6E7C9774A}"/>
    <cellStyle name="Style 86 3 4 4 2 2" xfId="34714" xr:uid="{9223242F-7176-4F20-BA64-2587861BAB20}"/>
    <cellStyle name="Style 86 3 4 5" xfId="16094" xr:uid="{FB982D54-55DC-4BEF-BFE8-DC404CCDBFDB}"/>
    <cellStyle name="Style 86 3 4 5 2" xfId="34715" xr:uid="{76DD24AD-5CD2-4B60-B8E5-947E119D49A0}"/>
    <cellStyle name="Style 86 3 4 6" xfId="16095" xr:uid="{72900F81-27CC-47DE-B66C-AD59E1922232}"/>
    <cellStyle name="Style 86 3 4 6 2" xfId="34716" xr:uid="{7CEB7478-7E90-412E-860B-7800FAB112FF}"/>
    <cellStyle name="Style 86 3 4 7" xfId="16096" xr:uid="{93D2822E-7BD2-460D-A9EB-0B04E178C605}"/>
    <cellStyle name="Style 86 3 4 7 2" xfId="34717" xr:uid="{17AA6416-4B36-4A70-9B43-9071EEEAD20D}"/>
    <cellStyle name="Style 86 3 4 8" xfId="16097" xr:uid="{69BBB869-D95F-4F1D-B9C7-54F4C8622768}"/>
    <cellStyle name="Style 86 3 4 8 2" xfId="34718" xr:uid="{7B97FBFF-E71A-488F-BF7D-BC51188FA14A}"/>
    <cellStyle name="Style 86 3 4 9" xfId="16098" xr:uid="{E11504EA-6091-4F63-8B77-39F48B7E8CDF}"/>
    <cellStyle name="Style 86 3 4 9 2" xfId="34719" xr:uid="{2E72D674-87B5-48FE-83DE-59E9635855B6}"/>
    <cellStyle name="Style 86 3 5" xfId="3624" xr:uid="{0A159BEE-CCBC-45C6-BF0C-1F94593E3532}"/>
    <cellStyle name="Style 86 3 5 10" xfId="16099" xr:uid="{EF083F0E-7F9E-460D-AA7B-089F135FC430}"/>
    <cellStyle name="Style 86 3 5 10 2" xfId="34720" xr:uid="{2E83C42A-2EA4-430B-84D5-D0489767914F}"/>
    <cellStyle name="Style 86 3 5 11" xfId="16100" xr:uid="{CCBBBEC1-9750-4312-9EB1-85497D58DC75}"/>
    <cellStyle name="Style 86 3 5 11 2" xfId="34721" xr:uid="{45BA9A53-869E-4EEB-87D0-1935179CFD71}"/>
    <cellStyle name="Style 86 3 5 12" xfId="16101" xr:uid="{C1023801-E013-48AF-B7A4-E2F37037B64F}"/>
    <cellStyle name="Style 86 3 5 12 2" xfId="34722" xr:uid="{6FE3D6B2-5C95-4455-9FBA-112F36874D01}"/>
    <cellStyle name="Style 86 3 5 13" xfId="16102" xr:uid="{1E875EB4-B41F-4254-B48D-E55C56478320}"/>
    <cellStyle name="Style 86 3 5 13 2" xfId="34723" xr:uid="{63325FBB-174C-4838-933D-F69C8C92D617}"/>
    <cellStyle name="Style 86 3 5 2" xfId="7351" xr:uid="{42BA5EF2-27C8-45CE-B755-EEE446FD2123}"/>
    <cellStyle name="Style 86 3 5 2 2" xfId="16103" xr:uid="{6323F12B-BE50-40B6-919E-3223C550CDD7}"/>
    <cellStyle name="Style 86 3 5 2 2 2" xfId="34724" xr:uid="{04AFE998-2409-437D-922B-E253EEE745AB}"/>
    <cellStyle name="Style 86 3 5 2 3" xfId="16104" xr:uid="{0BB60080-08D4-4B42-B835-4D0CF28884B0}"/>
    <cellStyle name="Style 86 3 5 2 3 2" xfId="34725" xr:uid="{36E081EC-AC12-4486-AB4B-13001E98AA84}"/>
    <cellStyle name="Style 86 3 5 3" xfId="16105" xr:uid="{83406826-D276-4378-AF59-CC4C0FECBC80}"/>
    <cellStyle name="Style 86 3 5 3 2" xfId="16106" xr:uid="{FA85CE37-019B-4267-A490-9996527AD6E0}"/>
    <cellStyle name="Style 86 3 5 3 2 2" xfId="34726" xr:uid="{15A5DBB3-CD94-45D1-AA7D-3CA03BEDB458}"/>
    <cellStyle name="Style 86 3 5 4" xfId="16107" xr:uid="{1774D648-A4B7-4132-B0E1-AC7CC345AAD7}"/>
    <cellStyle name="Style 86 3 5 4 2" xfId="34727" xr:uid="{F2C4DFF8-3C75-415B-8D57-88AAEE24B881}"/>
    <cellStyle name="Style 86 3 5 5" xfId="16108" xr:uid="{3A73CF58-996D-4526-9F3F-B0BDE2A807C9}"/>
    <cellStyle name="Style 86 3 5 5 2" xfId="34728" xr:uid="{57B16B6E-4503-4A7D-AA51-B18ED65E5511}"/>
    <cellStyle name="Style 86 3 5 6" xfId="16109" xr:uid="{D8B30C2D-2C80-40AC-9948-C14AEFF3C5F6}"/>
    <cellStyle name="Style 86 3 5 6 2" xfId="34729" xr:uid="{47114635-6DAB-44AE-AE45-DD63621D4DE9}"/>
    <cellStyle name="Style 86 3 5 7" xfId="16110" xr:uid="{69DC829F-AD73-4A4B-9C6A-AB3151AB9F89}"/>
    <cellStyle name="Style 86 3 5 7 2" xfId="34730" xr:uid="{8720414E-551D-4C7C-B2C2-471B608E5CF3}"/>
    <cellStyle name="Style 86 3 5 8" xfId="16111" xr:uid="{C93A89D8-F567-43EC-B8FA-6F156D0CC612}"/>
    <cellStyle name="Style 86 3 5 8 2" xfId="34731" xr:uid="{3CA06D2C-1BAB-439F-8BA4-F2AAD31ECF37}"/>
    <cellStyle name="Style 86 3 5 9" xfId="16112" xr:uid="{75E84549-5B0D-4567-822B-337C19F8F153}"/>
    <cellStyle name="Style 86 3 5 9 2" xfId="34732" xr:uid="{9CF1A9E9-125A-4728-BB57-6AEF7239452F}"/>
    <cellStyle name="Style 86 3 6" xfId="7352" xr:uid="{249F13B9-0642-48E9-8472-12012F8DCC0B}"/>
    <cellStyle name="Style 86 3 6 2" xfId="16113" xr:uid="{BF5C40CB-8396-4F17-9467-5F0AB03AD289}"/>
    <cellStyle name="Style 86 3 6 2 2" xfId="34733" xr:uid="{43B7742F-AE8F-4E23-9774-3E2C4933653E}"/>
    <cellStyle name="Style 86 3 6 3" xfId="16114" xr:uid="{05003E95-4A43-4214-B935-FC5D2B2A8F31}"/>
    <cellStyle name="Style 86 3 6 3 2" xfId="34734" xr:uid="{EA734380-5143-46EC-8D14-21C4C657209E}"/>
    <cellStyle name="Style 86 3 7" xfId="7331" xr:uid="{789568C7-844E-42C9-82FE-7DD633FCC9D4}"/>
    <cellStyle name="Style 86 3 7 2" xfId="16115" xr:uid="{4E43477B-80F6-4F56-A5D0-687A121A3E66}"/>
    <cellStyle name="Style 86 3 7 2 2" xfId="34735" xr:uid="{C98DFEB6-BEEC-4026-9F5B-15A0695555DA}"/>
    <cellStyle name="Style 86 3 8" xfId="16116" xr:uid="{646B1DBA-EF9E-40F9-BE7A-0C946E9CCBF0}"/>
    <cellStyle name="Style 86 3 8 2" xfId="16117" xr:uid="{E8ABDB5F-4639-4B78-B7E7-B9B8A4F4549D}"/>
    <cellStyle name="Style 86 3 8 2 2" xfId="34736" xr:uid="{51E15199-C51A-4885-82A3-F55C0EF23F9E}"/>
    <cellStyle name="Style 86 3 9" xfId="16118" xr:uid="{3570C5AE-EC91-4056-BDB3-D42D9451FA5F}"/>
    <cellStyle name="Style 86 3 9 2" xfId="34737" xr:uid="{2A535696-0649-4291-839C-88D06D8A1032}"/>
    <cellStyle name="Style 86 4" xfId="3625" xr:uid="{F0EF7B64-D6EC-438C-A875-FD03273A7C34}"/>
    <cellStyle name="Style 86 4 10" xfId="16119" xr:uid="{5BDD605F-7DF3-4942-8B50-AB3DDADE6B84}"/>
    <cellStyle name="Style 86 4 10 2" xfId="34738" xr:uid="{AD4B9686-3D82-4CC7-9872-D62308D5FD92}"/>
    <cellStyle name="Style 86 4 11" xfId="16120" xr:uid="{608CD5AB-2D58-4AE3-AF62-584CCC729B3B}"/>
    <cellStyle name="Style 86 4 11 2" xfId="34739" xr:uid="{83B624C1-656F-4E1D-AF2B-FF39317BBA1C}"/>
    <cellStyle name="Style 86 4 12" xfId="16121" xr:uid="{67061765-3632-4DAC-99FD-F32C7F592079}"/>
    <cellStyle name="Style 86 4 12 2" xfId="34740" xr:uid="{75361C8F-BCAF-4495-A9A2-3F635A972B91}"/>
    <cellStyle name="Style 86 4 13" xfId="16122" xr:uid="{4D118AE9-0E7E-491B-82C4-61357DD645D0}"/>
    <cellStyle name="Style 86 4 13 2" xfId="34741" xr:uid="{26F7A843-1EC5-456A-A826-7D9D2EE0D71B}"/>
    <cellStyle name="Style 86 4 14" xfId="16123" xr:uid="{C2C97226-44EB-46D9-8040-B728716149F0}"/>
    <cellStyle name="Style 86 4 14 2" xfId="34742" xr:uid="{7206EFF2-5F7A-4D31-9E9B-F0E9FF828E1E}"/>
    <cellStyle name="Style 86 4 15" xfId="16124" xr:uid="{74655CDC-1420-4520-BD07-591F3A362C05}"/>
    <cellStyle name="Style 86 4 15 2" xfId="34743" xr:uid="{F583F49C-540F-4E76-8336-6B29F5F44099}"/>
    <cellStyle name="Style 86 4 2" xfId="3626" xr:uid="{D482C2D4-6884-4170-82FC-8E1946FD51F2}"/>
    <cellStyle name="Style 86 4 2 10" xfId="16125" xr:uid="{C0CA3D8D-9DEC-4435-8530-E159AD82F000}"/>
    <cellStyle name="Style 86 4 2 10 2" xfId="34744" xr:uid="{F54CCB5F-9A9E-4B69-B1D3-7D48B311CC2F}"/>
    <cellStyle name="Style 86 4 2 11" xfId="16126" xr:uid="{D0C51BD4-597B-4D7A-8F3B-3C891AF1FC8E}"/>
    <cellStyle name="Style 86 4 2 11 2" xfId="34745" xr:uid="{D725F6A6-F07A-4A60-BBF3-52F7661DF135}"/>
    <cellStyle name="Style 86 4 2 12" xfId="16127" xr:uid="{6A4DE451-5B27-4B09-85C1-97A76A7E8099}"/>
    <cellStyle name="Style 86 4 2 12 2" xfId="34746" xr:uid="{471CC393-C194-408F-9666-82298F683AC5}"/>
    <cellStyle name="Style 86 4 2 13" xfId="16128" xr:uid="{732FABF8-D8E0-4B10-9679-BB97147A0D00}"/>
    <cellStyle name="Style 86 4 2 13 2" xfId="34747" xr:uid="{3CC01543-A846-4465-A536-CACB924DC1AB}"/>
    <cellStyle name="Style 86 4 2 14" xfId="16129" xr:uid="{F1F9DD06-61C2-40F6-9F1F-452C7872FD5B}"/>
    <cellStyle name="Style 86 4 2 14 2" xfId="34748" xr:uid="{778C476D-7718-42E5-96C9-984FB5268B7B}"/>
    <cellStyle name="Style 86 4 2 15" xfId="16130" xr:uid="{8FF1A2DF-51F6-4292-99E5-10E8394801E6}"/>
    <cellStyle name="Style 86 4 2 15 2" xfId="34749" xr:uid="{326182B1-A96B-4523-B09B-D07ADDD84F0F}"/>
    <cellStyle name="Style 86 4 2 2" xfId="3627" xr:uid="{A6511C3C-991A-4D26-B865-2E52E6BDEBFD}"/>
    <cellStyle name="Style 86 4 2 2 10" xfId="16131" xr:uid="{19B9E85C-0D59-43AF-80FD-43DD7F12E272}"/>
    <cellStyle name="Style 86 4 2 2 10 2" xfId="34750" xr:uid="{14AE995A-F6E1-43DB-A82C-8F572FD17BC8}"/>
    <cellStyle name="Style 86 4 2 2 11" xfId="16132" xr:uid="{E05C45BB-62A3-40E6-9753-7241E8FD4DBE}"/>
    <cellStyle name="Style 86 4 2 2 11 2" xfId="34751" xr:uid="{C778D7C0-BBDE-461F-ACE6-70E73B858D00}"/>
    <cellStyle name="Style 86 4 2 2 12" xfId="16133" xr:uid="{24C983A4-D392-4EFC-A5FF-39E5B0D8E321}"/>
    <cellStyle name="Style 86 4 2 2 12 2" xfId="34752" xr:uid="{CF78B9EA-6ED4-4FE7-9B80-55C9D0C25621}"/>
    <cellStyle name="Style 86 4 2 2 13" xfId="16134" xr:uid="{C0F1F5F0-561B-43F3-8A6E-AF1DCD2846E0}"/>
    <cellStyle name="Style 86 4 2 2 13 2" xfId="34753" xr:uid="{B8650295-5D8E-4A61-A4E1-BEC03C57CBDF}"/>
    <cellStyle name="Style 86 4 2 2 14" xfId="16135" xr:uid="{9B97D3F0-181C-46BF-807F-8E55A5246BEA}"/>
    <cellStyle name="Style 86 4 2 2 14 2" xfId="34754" xr:uid="{BC74A8B7-F9EF-4401-B607-7AEB9EEFD7FB}"/>
    <cellStyle name="Style 86 4 2 2 2" xfId="3628" xr:uid="{140A15DF-4DD8-4030-9CC0-2A821F7E9D45}"/>
    <cellStyle name="Style 86 4 2 2 2 10" xfId="16136" xr:uid="{00A34F14-2FC2-48C2-825B-37499AA06DA4}"/>
    <cellStyle name="Style 86 4 2 2 2 10 2" xfId="34755" xr:uid="{AF4EA0CD-F166-4585-9FD2-73931870F761}"/>
    <cellStyle name="Style 86 4 2 2 2 11" xfId="16137" xr:uid="{D44AAD40-7B36-43B1-8ADF-C7B81131FACA}"/>
    <cellStyle name="Style 86 4 2 2 2 11 2" xfId="34756" xr:uid="{DBDF3387-7617-423C-857B-241916144A23}"/>
    <cellStyle name="Style 86 4 2 2 2 12" xfId="16138" xr:uid="{DAB6902E-41D6-4195-B1C8-F2237F310509}"/>
    <cellStyle name="Style 86 4 2 2 2 12 2" xfId="34757" xr:uid="{BFFA6C44-7A01-4D6B-8D29-A1F8E276562B}"/>
    <cellStyle name="Style 86 4 2 2 2 2" xfId="7356" xr:uid="{CC0DA97D-02F5-4F4A-AC39-7C223DBEFB70}"/>
    <cellStyle name="Style 86 4 2 2 2 2 2" xfId="16139" xr:uid="{62FEA072-EA71-458A-83F2-B86B885DF544}"/>
    <cellStyle name="Style 86 4 2 2 2 2 2 2" xfId="34758" xr:uid="{F71C56EE-6CFA-4C2B-B50D-C2091C3D4A38}"/>
    <cellStyle name="Style 86 4 2 2 2 2 3" xfId="16140" xr:uid="{712098E9-5887-463A-99BB-8A0CD057BAE4}"/>
    <cellStyle name="Style 86 4 2 2 2 2 3 2" xfId="34759" xr:uid="{93C3C1CF-712C-47FE-AE2D-D202083FC04B}"/>
    <cellStyle name="Style 86 4 2 2 2 3" xfId="16141" xr:uid="{B796E31A-6C21-4A35-A2FD-DE65B6E57127}"/>
    <cellStyle name="Style 86 4 2 2 2 3 2" xfId="16142" xr:uid="{506DC6B3-B978-41CE-90D9-B283D5AAE23C}"/>
    <cellStyle name="Style 86 4 2 2 2 3 2 2" xfId="34760" xr:uid="{5C4505B1-DE6C-47E2-825F-A3D94249D6CF}"/>
    <cellStyle name="Style 86 4 2 2 2 4" xfId="16143" xr:uid="{A103794B-DC75-4D4C-8D53-C268F2343B85}"/>
    <cellStyle name="Style 86 4 2 2 2 4 2" xfId="34761" xr:uid="{79A5DF97-2A95-4A01-9936-005095D92C8B}"/>
    <cellStyle name="Style 86 4 2 2 2 5" xfId="16144" xr:uid="{BA79B32D-3ADE-4999-A8D8-531EBFC9F13E}"/>
    <cellStyle name="Style 86 4 2 2 2 5 2" xfId="34762" xr:uid="{BE3B3547-BD16-4892-B09E-80AEF969079A}"/>
    <cellStyle name="Style 86 4 2 2 2 6" xfId="16145" xr:uid="{D040ACF4-FB37-4323-8F87-EBE9EB4BC818}"/>
    <cellStyle name="Style 86 4 2 2 2 6 2" xfId="34763" xr:uid="{F8EADC30-220E-4817-BC29-C9EDC315E5F8}"/>
    <cellStyle name="Style 86 4 2 2 2 7" xfId="16146" xr:uid="{0444A4FD-F1E9-4773-B9E5-015283EA5B6E}"/>
    <cellStyle name="Style 86 4 2 2 2 7 2" xfId="34764" xr:uid="{42B1CC50-7EC0-4946-9D1A-5C3A717F3FCA}"/>
    <cellStyle name="Style 86 4 2 2 2 8" xfId="16147" xr:uid="{EDE02719-433B-486E-9DA9-69CE7FA51C78}"/>
    <cellStyle name="Style 86 4 2 2 2 8 2" xfId="34765" xr:uid="{6AC345B5-741E-4900-8E1B-5C2F830BBEF6}"/>
    <cellStyle name="Style 86 4 2 2 2 9" xfId="16148" xr:uid="{977A05F3-B179-4F94-B3FC-0BF11ABB6FD4}"/>
    <cellStyle name="Style 86 4 2 2 2 9 2" xfId="34766" xr:uid="{DAE35EAA-62F2-402B-860F-23B6C134A158}"/>
    <cellStyle name="Style 86 4 2 2 3" xfId="7355" xr:uid="{A2E60630-B5F8-4BB2-8DF7-C6D9F0D73408}"/>
    <cellStyle name="Style 86 4 2 2 3 2" xfId="16149" xr:uid="{3338D2B8-44F6-4E17-B1A1-8DD608928E1F}"/>
    <cellStyle name="Style 86 4 2 2 3 2 2" xfId="34767" xr:uid="{A1BBD372-2EA6-4E6B-8D66-86313D4A37F7}"/>
    <cellStyle name="Style 86 4 2 2 3 3" xfId="16150" xr:uid="{9168D46D-A1E3-4E52-AD25-6208FA105EA8}"/>
    <cellStyle name="Style 86 4 2 2 3 3 2" xfId="34768" xr:uid="{D6CB4EC7-F775-492D-8B6A-E5762E2D9E3A}"/>
    <cellStyle name="Style 86 4 2 2 4" xfId="16151" xr:uid="{3DC29AA5-0E25-4F54-AAF1-15266483489C}"/>
    <cellStyle name="Style 86 4 2 2 4 2" xfId="16152" xr:uid="{101592F0-CEF7-4A2C-B120-D8CF3722D35F}"/>
    <cellStyle name="Style 86 4 2 2 4 2 2" xfId="34769" xr:uid="{39768363-5D63-464F-94AC-6404F10CA1F5}"/>
    <cellStyle name="Style 86 4 2 2 5" xfId="16153" xr:uid="{695CEB85-0EE8-4AA6-B350-CA1337CEAB37}"/>
    <cellStyle name="Style 86 4 2 2 5 2" xfId="34770" xr:uid="{5595427C-F8CE-4823-8746-9ECC2D240541}"/>
    <cellStyle name="Style 86 4 2 2 6" xfId="16154" xr:uid="{7B0D427F-CE95-4F24-8D6A-3F7D7CF4E34A}"/>
    <cellStyle name="Style 86 4 2 2 6 2" xfId="34771" xr:uid="{829C7EDA-5A46-4994-B796-3FB8F49AF379}"/>
    <cellStyle name="Style 86 4 2 2 7" xfId="16155" xr:uid="{AB5C71BD-8DB3-4229-8A0E-64567B4F3F93}"/>
    <cellStyle name="Style 86 4 2 2 7 2" xfId="34772" xr:uid="{EBBC885D-E751-44C7-9A35-B2E25409A927}"/>
    <cellStyle name="Style 86 4 2 2 8" xfId="16156" xr:uid="{F0F12259-232E-4CE8-8C4F-D384C960F428}"/>
    <cellStyle name="Style 86 4 2 2 8 2" xfId="34773" xr:uid="{B477697D-D2EF-460C-AACC-607AD5605178}"/>
    <cellStyle name="Style 86 4 2 2 9" xfId="16157" xr:uid="{C5A1EAD7-1632-4AA0-8F32-F7FE1B7B3923}"/>
    <cellStyle name="Style 86 4 2 2 9 2" xfId="34774" xr:uid="{07829607-9C5C-404A-85C3-A15F7A9CD649}"/>
    <cellStyle name="Style 86 4 2 3" xfId="3629" xr:uid="{A0E40BB8-FF67-42C8-BE51-4E388BBC6377}"/>
    <cellStyle name="Style 86 4 2 3 10" xfId="16158" xr:uid="{26B5EFDD-BFE7-409E-BF1D-1FDAC3E492A4}"/>
    <cellStyle name="Style 86 4 2 3 10 2" xfId="34775" xr:uid="{254B46C8-A56D-4F76-9E11-E49D26B37048}"/>
    <cellStyle name="Style 86 4 2 3 11" xfId="16159" xr:uid="{9AF1E0DB-BA93-473C-A9EA-C41127C7E08B}"/>
    <cellStyle name="Style 86 4 2 3 11 2" xfId="34776" xr:uid="{87920832-F480-4FCA-AC4D-764F73E836BE}"/>
    <cellStyle name="Style 86 4 2 3 12" xfId="16160" xr:uid="{AA3A8B99-9DE2-4B26-97E0-CF59A3365C4D}"/>
    <cellStyle name="Style 86 4 2 3 12 2" xfId="34777" xr:uid="{1CEBC572-3C99-4277-93AF-17F8B01DA9BB}"/>
    <cellStyle name="Style 86 4 2 3 2" xfId="7357" xr:uid="{0DCEA659-B683-43B8-86AE-BB95EDA191B8}"/>
    <cellStyle name="Style 86 4 2 3 2 2" xfId="16161" xr:uid="{509C49F6-9943-4C4C-858D-6A3BC8F6E4E4}"/>
    <cellStyle name="Style 86 4 2 3 2 2 2" xfId="34778" xr:uid="{9A3F599C-9AA3-4A8B-81C4-9D769AA4A695}"/>
    <cellStyle name="Style 86 4 2 3 2 3" xfId="16162" xr:uid="{763C0731-0601-48A2-81C4-E1F07EAC2E29}"/>
    <cellStyle name="Style 86 4 2 3 2 3 2" xfId="34779" xr:uid="{83083938-FB1C-41DB-BD57-FD1101BD28BD}"/>
    <cellStyle name="Style 86 4 2 3 3" xfId="16163" xr:uid="{3EED494C-7E3D-4804-B9F0-BB407514389F}"/>
    <cellStyle name="Style 86 4 2 3 3 2" xfId="16164" xr:uid="{711672C5-8D33-47A0-8394-2600DA2EC26E}"/>
    <cellStyle name="Style 86 4 2 3 3 2 2" xfId="34780" xr:uid="{A99F1E07-FA7E-40ED-8C67-BCA119E65280}"/>
    <cellStyle name="Style 86 4 2 3 4" xfId="16165" xr:uid="{A205C02F-B4A1-472A-B510-AF1CEB0619E5}"/>
    <cellStyle name="Style 86 4 2 3 4 2" xfId="34781" xr:uid="{AF5633F5-3D9A-4DCC-9A58-B7B41A672903}"/>
    <cellStyle name="Style 86 4 2 3 5" xfId="16166" xr:uid="{93F1AD7B-97F2-410D-9324-E7B56C80620D}"/>
    <cellStyle name="Style 86 4 2 3 5 2" xfId="34782" xr:uid="{25462D79-0D15-43C3-9CAD-91722885EBE8}"/>
    <cellStyle name="Style 86 4 2 3 6" xfId="16167" xr:uid="{CA9AF8AF-3BC9-42B1-A21B-287A47587900}"/>
    <cellStyle name="Style 86 4 2 3 6 2" xfId="34783" xr:uid="{D0F85A4D-BC51-4E32-8543-D418A95F704C}"/>
    <cellStyle name="Style 86 4 2 3 7" xfId="16168" xr:uid="{24585A03-AA71-49D9-A9A6-102CCD53D146}"/>
    <cellStyle name="Style 86 4 2 3 7 2" xfId="34784" xr:uid="{BDE8A6C5-C9E5-467D-82D2-20CA7AC06896}"/>
    <cellStyle name="Style 86 4 2 3 8" xfId="16169" xr:uid="{ED12D33D-DB85-493A-8DFD-4FB20E8A874F}"/>
    <cellStyle name="Style 86 4 2 3 8 2" xfId="34785" xr:uid="{09A9438E-0B62-4712-A4C0-90F26E65F409}"/>
    <cellStyle name="Style 86 4 2 3 9" xfId="16170" xr:uid="{15EEF6BE-52E9-42A5-B956-A319D48E6EFD}"/>
    <cellStyle name="Style 86 4 2 3 9 2" xfId="34786" xr:uid="{70DD2691-B8B2-48C4-993B-DD6961FFF0D4}"/>
    <cellStyle name="Style 86 4 2 4" xfId="7354" xr:uid="{D09A3A8D-DAFA-48FD-B424-B8F1FB773D33}"/>
    <cellStyle name="Style 86 4 2 4 2" xfId="16171" xr:uid="{E16B9B68-9F5E-4CCA-AFE7-B13107B399F8}"/>
    <cellStyle name="Style 86 4 2 4 2 2" xfId="34787" xr:uid="{35AFF62E-605A-4925-9076-6466136290D2}"/>
    <cellStyle name="Style 86 4 2 4 3" xfId="16172" xr:uid="{1CB015E9-2FE1-49DD-A49D-C27C7BB5EDB1}"/>
    <cellStyle name="Style 86 4 2 4 3 2" xfId="34788" xr:uid="{050D3501-A2B5-4FE9-9601-13969F5028C9}"/>
    <cellStyle name="Style 86 4 2 5" xfId="16173" xr:uid="{1BB680E4-16B4-494E-953E-780D3CA21B50}"/>
    <cellStyle name="Style 86 4 2 5 2" xfId="16174" xr:uid="{E76B80D5-1785-4BD7-82D4-38567B09CCE2}"/>
    <cellStyle name="Style 86 4 2 5 2 2" xfId="34789" xr:uid="{691053BC-D41D-4BB7-A6F8-6C43D669875D}"/>
    <cellStyle name="Style 86 4 2 6" xfId="16175" xr:uid="{A6AA14B5-3340-4CCD-ADB2-35009A7C29F6}"/>
    <cellStyle name="Style 86 4 2 6 2" xfId="34790" xr:uid="{F9713B9F-A638-476D-B997-A16CA74BEB36}"/>
    <cellStyle name="Style 86 4 2 7" xfId="16176" xr:uid="{BD2E8055-C2A8-4954-8140-6915DC761B6D}"/>
    <cellStyle name="Style 86 4 2 7 2" xfId="34791" xr:uid="{A24F6093-1659-44CD-A88F-B2CCDAD1FA88}"/>
    <cellStyle name="Style 86 4 2 8" xfId="16177" xr:uid="{B6B84F13-3E7A-47F5-A8C8-9E25DD1682BC}"/>
    <cellStyle name="Style 86 4 2 8 2" xfId="34792" xr:uid="{05A1B875-ADBE-4BF9-86BF-204602AA47EA}"/>
    <cellStyle name="Style 86 4 2 9" xfId="16178" xr:uid="{5863EBBA-403E-4AAB-AA82-6879633B0F95}"/>
    <cellStyle name="Style 86 4 2 9 2" xfId="34793" xr:uid="{0072BF86-4471-4437-9553-81E432DAEC0F}"/>
    <cellStyle name="Style 86 4 3" xfId="3630" xr:uid="{B29FF2AA-60E9-4FC3-BE28-95DC1F03431C}"/>
    <cellStyle name="Style 86 4 3 10" xfId="16179" xr:uid="{7B2E47F1-4250-49AA-8030-405C6A8A1B1B}"/>
    <cellStyle name="Style 86 4 3 10 2" xfId="34794" xr:uid="{9D083251-66F3-4D01-8EA8-F5C862F2BFD6}"/>
    <cellStyle name="Style 86 4 3 11" xfId="16180" xr:uid="{5C26FE9E-0D29-4303-9A3E-584E7ACF1336}"/>
    <cellStyle name="Style 86 4 3 11 2" xfId="34795" xr:uid="{97906CF2-1FEA-4A14-A2B9-8FBDA918B343}"/>
    <cellStyle name="Style 86 4 3 12" xfId="16181" xr:uid="{0049835A-8D1F-4012-9418-91D1245D29B7}"/>
    <cellStyle name="Style 86 4 3 12 2" xfId="34796" xr:uid="{27FE1855-A452-4219-820B-17F130C50128}"/>
    <cellStyle name="Style 86 4 3 13" xfId="16182" xr:uid="{F8BB9B5A-0837-433C-AD24-7D0A0CF035DC}"/>
    <cellStyle name="Style 86 4 3 13 2" xfId="34797" xr:uid="{A0093D4B-44AE-4DCF-9A1B-C71F0322305D}"/>
    <cellStyle name="Style 86 4 3 2" xfId="7359" xr:uid="{30F75BDD-C78D-4764-8CD9-77B3DE259499}"/>
    <cellStyle name="Style 86 4 3 2 2" xfId="16183" xr:uid="{76D70C8F-D026-4CE1-B9E0-CA26CEF561B8}"/>
    <cellStyle name="Style 86 4 3 2 2 2" xfId="34798" xr:uid="{CE8A53D8-048C-4738-98AA-16562FBA288D}"/>
    <cellStyle name="Style 86 4 3 2 3" xfId="16184" xr:uid="{32AC9457-143D-4FC1-A57D-5C3779700F3A}"/>
    <cellStyle name="Style 86 4 3 2 3 2" xfId="34799" xr:uid="{B1149DFF-C0FE-4713-9730-AED44D2F9497}"/>
    <cellStyle name="Style 86 4 3 3" xfId="7358" xr:uid="{81FDEDE0-17F3-4E6D-8B9C-7E8C25861E3F}"/>
    <cellStyle name="Style 86 4 3 3 2" xfId="16185" xr:uid="{C8D6B374-DDF5-480E-B8AE-1AB4884B342F}"/>
    <cellStyle name="Style 86 4 3 3 2 2" xfId="34800" xr:uid="{64E7AE4F-66C3-43D2-9E8D-422AA93A2CFC}"/>
    <cellStyle name="Style 86 4 3 4" xfId="16186" xr:uid="{9CE17F07-2EAA-4FEE-986B-238B6E6F5577}"/>
    <cellStyle name="Style 86 4 3 4 2" xfId="16187" xr:uid="{8D008D7A-95B8-4B97-B62F-04933A395479}"/>
    <cellStyle name="Style 86 4 3 4 2 2" xfId="34801" xr:uid="{1843DDB7-0743-402B-B669-357959B95D5C}"/>
    <cellStyle name="Style 86 4 3 5" xfId="16188" xr:uid="{2A34160F-01D0-4591-9211-FB45D8F5C49F}"/>
    <cellStyle name="Style 86 4 3 5 2" xfId="34802" xr:uid="{CB6E78FB-A632-4D9C-93F5-709D59A218CB}"/>
    <cellStyle name="Style 86 4 3 6" xfId="16189" xr:uid="{8BBAB97C-758B-4641-B1A5-35AF3EA77977}"/>
    <cellStyle name="Style 86 4 3 6 2" xfId="34803" xr:uid="{8508021D-BF5E-415B-9690-883AE22E82AD}"/>
    <cellStyle name="Style 86 4 3 7" xfId="16190" xr:uid="{9C8E9D79-670D-4E19-AE00-25FFEC4B430E}"/>
    <cellStyle name="Style 86 4 3 7 2" xfId="34804" xr:uid="{03B68AED-8AD3-462B-9F8C-E498B607837C}"/>
    <cellStyle name="Style 86 4 3 8" xfId="16191" xr:uid="{83D83A97-808B-4C82-A81D-76CD121D87F1}"/>
    <cellStyle name="Style 86 4 3 8 2" xfId="34805" xr:uid="{145A39A9-DD13-4914-A808-AF4E693E6093}"/>
    <cellStyle name="Style 86 4 3 9" xfId="16192" xr:uid="{A532BDBF-AE2C-46B6-8E6C-FF5AE48433F0}"/>
    <cellStyle name="Style 86 4 3 9 2" xfId="34806" xr:uid="{AD3C474F-76D1-412D-A8B7-5AB39DB45933}"/>
    <cellStyle name="Style 86 4 4" xfId="7360" xr:uid="{E3B44840-08D1-4F0C-96F3-584D1D501E03}"/>
    <cellStyle name="Style 86 4 4 2" xfId="16193" xr:uid="{6BB25485-743B-4C7F-A721-D1054D5B7FCC}"/>
    <cellStyle name="Style 86 4 4 2 2" xfId="34807" xr:uid="{F4211302-5443-45EC-AB64-CBBEE98434CB}"/>
    <cellStyle name="Style 86 4 4 3" xfId="16194" xr:uid="{6CB8A2FD-356E-49DC-B4D6-833144252A77}"/>
    <cellStyle name="Style 86 4 4 3 2" xfId="34808" xr:uid="{5E2331B1-2B2A-498E-BA2B-608CB64D0DC8}"/>
    <cellStyle name="Style 86 4 5" xfId="7361" xr:uid="{7A5572B2-26FE-4FD5-858D-903A0FC4643D}"/>
    <cellStyle name="Style 86 4 5 2" xfId="16195" xr:uid="{0BC82EBC-CFDE-46C1-919D-3AF77CFB55CA}"/>
    <cellStyle name="Style 86 4 5 2 2" xfId="34809" xr:uid="{01C64ABF-DF4B-4EDB-8C11-9D55575BE96F}"/>
    <cellStyle name="Style 86 4 6" xfId="7353" xr:uid="{EF9BA3E9-2470-47D9-AC04-68D0BB01BD8B}"/>
    <cellStyle name="Style 86 4 6 2" xfId="16196" xr:uid="{3519A104-8073-4301-908C-C3FA245F4CCF}"/>
    <cellStyle name="Style 86 4 6 2 2" xfId="34810" xr:uid="{7F1FD74E-1ADA-4961-9754-F799B2A44297}"/>
    <cellStyle name="Style 86 4 7" xfId="16197" xr:uid="{14FD8097-4A4F-49C0-AD57-03B65A15F104}"/>
    <cellStyle name="Style 86 4 7 2" xfId="16198" xr:uid="{82DCBCFB-7F03-424A-82EC-F151335F1D2C}"/>
    <cellStyle name="Style 86 4 7 2 2" xfId="34811" xr:uid="{C2241C08-407A-42C3-B2F3-6EA32420D244}"/>
    <cellStyle name="Style 86 4 8" xfId="16199" xr:uid="{12009844-56D8-4397-95FA-A73C1DA2C577}"/>
    <cellStyle name="Style 86 4 8 2" xfId="34812" xr:uid="{10D3BC75-34D8-4ECB-A40B-AF94F6B9C1C0}"/>
    <cellStyle name="Style 86 4 9" xfId="16200" xr:uid="{41B97C1F-C0C7-4FF4-B5ED-CDC158FA45AB}"/>
    <cellStyle name="Style 86 4 9 2" xfId="34813" xr:uid="{BF54A26B-6CBC-43D8-A836-0554A95575F4}"/>
    <cellStyle name="Style 86 5" xfId="3631" xr:uid="{C94A6178-EE93-490A-94F7-BB193404A275}"/>
    <cellStyle name="Style 86 5 10" xfId="16201" xr:uid="{227EDEEB-7675-4D16-B577-959BDE4AD134}"/>
    <cellStyle name="Style 86 5 10 2" xfId="34814" xr:uid="{DEFB26DB-FBC3-481D-B250-113DAAC317D0}"/>
    <cellStyle name="Style 86 5 11" xfId="16202" xr:uid="{7A85D080-8DE1-4BAA-A787-E02875EDC87F}"/>
    <cellStyle name="Style 86 5 11 2" xfId="34815" xr:uid="{7BCAC14C-14AC-42FF-9CE7-776B81A5E75B}"/>
    <cellStyle name="Style 86 5 12" xfId="16203" xr:uid="{BEAC70E8-FF1A-43E2-A4D2-B47DB31A006D}"/>
    <cellStyle name="Style 86 5 12 2" xfId="34816" xr:uid="{BB524B08-EF3E-4D2A-9034-FEB65273205B}"/>
    <cellStyle name="Style 86 5 13" xfId="16204" xr:uid="{700A75E9-D157-4F0B-B9CD-239093023FEF}"/>
    <cellStyle name="Style 86 5 13 2" xfId="34817" xr:uid="{284CF939-2D46-497B-80A9-907894559AB7}"/>
    <cellStyle name="Style 86 5 14" xfId="16205" xr:uid="{F86ADA9C-3EE2-44C5-BB31-39B1FF230C9F}"/>
    <cellStyle name="Style 86 5 14 2" xfId="34818" xr:uid="{7640A361-C189-4411-A2C0-6A80C075E9FC}"/>
    <cellStyle name="Style 86 5 2" xfId="3632" xr:uid="{1035BFD5-6239-4C63-99C9-9E500D18D6B3}"/>
    <cellStyle name="Style 86 5 2 10" xfId="16206" xr:uid="{B64EA7BF-7747-44AF-B0FB-D578363F1967}"/>
    <cellStyle name="Style 86 5 2 10 2" xfId="34819" xr:uid="{21F6CF66-B7A8-4CA6-A74D-EEF583C74D32}"/>
    <cellStyle name="Style 86 5 2 11" xfId="16207" xr:uid="{968F316C-59F3-476F-8499-91A8D311313A}"/>
    <cellStyle name="Style 86 5 2 11 2" xfId="34820" xr:uid="{ABB73CB5-9461-4118-9FB8-C789D9AC5AF9}"/>
    <cellStyle name="Style 86 5 2 12" xfId="16208" xr:uid="{15926283-0C36-451A-8F75-3472FA24B579}"/>
    <cellStyle name="Style 86 5 2 12 2" xfId="34821" xr:uid="{7E39F8F2-5A1C-4FC9-A164-C4317F0A352D}"/>
    <cellStyle name="Style 86 5 2 2" xfId="7363" xr:uid="{0D2DCC34-FBCC-4E24-AF24-8B0F542B1975}"/>
    <cellStyle name="Style 86 5 2 2 2" xfId="16209" xr:uid="{3878C4D4-2D1B-4CD4-8151-CBDA48051D2E}"/>
    <cellStyle name="Style 86 5 2 2 2 2" xfId="34822" xr:uid="{54882D80-66FF-44FC-B926-6ADC3BEC3EC3}"/>
    <cellStyle name="Style 86 5 2 2 3" xfId="16210" xr:uid="{C8C6EC64-3D21-478A-8665-2483699405EF}"/>
    <cellStyle name="Style 86 5 2 2 3 2" xfId="34823" xr:uid="{7B932259-4583-43C9-B69D-2CE989C8EA2E}"/>
    <cellStyle name="Style 86 5 2 3" xfId="16211" xr:uid="{9A5AA075-F0CD-43BA-A61F-8B8A903E5CEF}"/>
    <cellStyle name="Style 86 5 2 3 2" xfId="16212" xr:uid="{41A6967E-C222-435D-BCF1-DF7501139023}"/>
    <cellStyle name="Style 86 5 2 3 2 2" xfId="34824" xr:uid="{35752EA7-21B0-4745-A9D2-A489C7A3E388}"/>
    <cellStyle name="Style 86 5 2 4" xfId="16213" xr:uid="{257CC9DE-80D0-4812-8AAC-2BB1CB50FD2F}"/>
    <cellStyle name="Style 86 5 2 4 2" xfId="34825" xr:uid="{CA9E7491-B787-4FF3-A9EF-C551EA2D8C88}"/>
    <cellStyle name="Style 86 5 2 5" xfId="16214" xr:uid="{F54836FE-3789-40F1-8B60-0599D5FF3081}"/>
    <cellStyle name="Style 86 5 2 5 2" xfId="34826" xr:uid="{57061F44-51AE-478A-92CB-411318D79709}"/>
    <cellStyle name="Style 86 5 2 6" xfId="16215" xr:uid="{ED499030-BB51-42ED-BF69-28E5A1AE311C}"/>
    <cellStyle name="Style 86 5 2 6 2" xfId="34827" xr:uid="{159D677B-C172-4723-B65E-5D28B85D52C9}"/>
    <cellStyle name="Style 86 5 2 7" xfId="16216" xr:uid="{3B8E57BB-148A-4AB3-BD36-509BAE962932}"/>
    <cellStyle name="Style 86 5 2 7 2" xfId="34828" xr:uid="{26FC884B-5BC1-4A55-8C29-239D45791A61}"/>
    <cellStyle name="Style 86 5 2 8" xfId="16217" xr:uid="{D75CB210-4127-4261-9372-3289BB28CFDD}"/>
    <cellStyle name="Style 86 5 2 8 2" xfId="34829" xr:uid="{A027A310-838A-49BB-9773-AE60FE13034E}"/>
    <cellStyle name="Style 86 5 2 9" xfId="16218" xr:uid="{402511EC-644B-4238-A6ED-0D6E82A07A78}"/>
    <cellStyle name="Style 86 5 2 9 2" xfId="34830" xr:uid="{6E9BA733-EFA3-456D-80F6-EE2ABDE63E58}"/>
    <cellStyle name="Style 86 5 3" xfId="7362" xr:uid="{F31605D2-96F1-4AA6-9EAD-BD9F96ED9BB4}"/>
    <cellStyle name="Style 86 5 3 2" xfId="16219" xr:uid="{B02E7A89-3DD0-4675-95B8-980FC5F232B3}"/>
    <cellStyle name="Style 86 5 3 2 2" xfId="34831" xr:uid="{E2F7DE77-9FB1-4226-8C2C-A5E14AC87104}"/>
    <cellStyle name="Style 86 5 3 3" xfId="16220" xr:uid="{CEFE6D81-4B9B-4D6E-A86A-B19B3E0FFECC}"/>
    <cellStyle name="Style 86 5 3 3 2" xfId="34832" xr:uid="{60E60156-EA56-4BC1-9E25-17A502937FE4}"/>
    <cellStyle name="Style 86 5 4" xfId="16221" xr:uid="{9D6ADB4B-A878-4F43-AE6C-27327A98943A}"/>
    <cellStyle name="Style 86 5 4 2" xfId="16222" xr:uid="{7FE65A3E-9CB4-422C-BA41-A856D5B39984}"/>
    <cellStyle name="Style 86 5 4 2 2" xfId="34833" xr:uid="{8223C65A-C217-454D-9D8F-127DB15C22A0}"/>
    <cellStyle name="Style 86 5 5" xfId="16223" xr:uid="{76D310A5-8945-431F-BFDD-9198A4F82FBD}"/>
    <cellStyle name="Style 86 5 5 2" xfId="34834" xr:uid="{1D128DE4-9015-47B9-890D-F38D5FFC02FB}"/>
    <cellStyle name="Style 86 5 6" xfId="16224" xr:uid="{A987BAA5-FC5A-480E-A39E-DBFB412F458F}"/>
    <cellStyle name="Style 86 5 6 2" xfId="34835" xr:uid="{05F367FD-5A79-461C-81E3-84537EA8EF6C}"/>
    <cellStyle name="Style 86 5 7" xfId="16225" xr:uid="{8C440EB1-0F1B-4EBD-BF69-A3DB095128C5}"/>
    <cellStyle name="Style 86 5 7 2" xfId="34836" xr:uid="{4B689867-2292-427C-ACFC-A80B6CF293D8}"/>
    <cellStyle name="Style 86 5 8" xfId="16226" xr:uid="{5135011A-97FF-41E1-A426-10CAD66D05E6}"/>
    <cellStyle name="Style 86 5 8 2" xfId="34837" xr:uid="{B7996B4A-DA58-4584-A709-DB301272DDD5}"/>
    <cellStyle name="Style 86 5 9" xfId="16227" xr:uid="{F108520F-8311-424B-B452-718BAA0F5D15}"/>
    <cellStyle name="Style 86 5 9 2" xfId="34838" xr:uid="{BB14F130-3941-4356-A9CA-BF45A4B7DDC5}"/>
    <cellStyle name="Style 86 6" xfId="3633" xr:uid="{CC25AB39-E484-4240-B17D-53DF973296FC}"/>
    <cellStyle name="Style 86 6 10" xfId="16228" xr:uid="{ECEF60CC-0F09-4411-80C8-43CC178972F1}"/>
    <cellStyle name="Style 86 6 10 2" xfId="34839" xr:uid="{84B645FD-31AC-4DD8-9202-707E40D9E703}"/>
    <cellStyle name="Style 86 6 11" xfId="16229" xr:uid="{EEA44452-6C99-4858-8552-6DA2761F78E3}"/>
    <cellStyle name="Style 86 6 11 2" xfId="34840" xr:uid="{BE8745DC-98A6-4D89-AA84-6C1AB114622E}"/>
    <cellStyle name="Style 86 6 12" xfId="16230" xr:uid="{13A830B0-D3E4-48D7-BF93-CE1002BFDEC8}"/>
    <cellStyle name="Style 86 6 12 2" xfId="34841" xr:uid="{1B8278A5-23FC-4A92-9C30-59135B668AB1}"/>
    <cellStyle name="Style 86 6 13" xfId="16231" xr:uid="{43C06095-2AD6-45EA-AD53-C6CEA7923248}"/>
    <cellStyle name="Style 86 6 13 2" xfId="34842" xr:uid="{6DDB8047-F769-493A-8B6F-07183BA4A554}"/>
    <cellStyle name="Style 86 6 2" xfId="4217" xr:uid="{2B8BD48F-7537-4E96-9B3B-C868C2DD685F}"/>
    <cellStyle name="Style 86 6 2 2" xfId="7365" xr:uid="{FB60C54D-9A0D-472E-93C5-82A07EAB64FD}"/>
    <cellStyle name="Style 86 6 2 2 2" xfId="16232" xr:uid="{CB5D8372-7BEA-415C-9D23-440211BBCF12}"/>
    <cellStyle name="Style 86 6 2 2 2 2" xfId="34843" xr:uid="{E0A647C1-790C-42AD-A94B-2F36C3C7C385}"/>
    <cellStyle name="Style 86 6 2 2 3" xfId="28350" xr:uid="{C0F7A30F-CFCC-4628-B152-3CBA397CBEA5}"/>
    <cellStyle name="Style 86 6 2 3" xfId="16233" xr:uid="{29962E26-D1AC-4693-B373-E50F89B2CD46}"/>
    <cellStyle name="Style 86 6 2 3 2" xfId="34844" xr:uid="{E3162241-F237-44A3-BFE3-3C58A9C9ECA9}"/>
    <cellStyle name="Style 86 6 3" xfId="7366" xr:uid="{F37CDA7D-4011-42A3-83EB-CA2A403F55FB}"/>
    <cellStyle name="Style 86 6 3 2" xfId="16234" xr:uid="{99506B9F-ED36-478D-AF43-0AD077153B20}"/>
    <cellStyle name="Style 86 6 3 2 2" xfId="34845" xr:uid="{AA15125B-9CC3-4D0D-B03D-321AB99E039F}"/>
    <cellStyle name="Style 86 6 4" xfId="7364" xr:uid="{F891F8D9-9667-4348-976E-ADF717DDA021}"/>
    <cellStyle name="Style 86 6 4 2" xfId="16235" xr:uid="{2B7DD0C4-7512-4074-ACFD-A6E0D6C284FE}"/>
    <cellStyle name="Style 86 6 4 2 2" xfId="34846" xr:uid="{6D00DA38-5D0B-4ACF-8B9A-F060AB07D4EA}"/>
    <cellStyle name="Style 86 6 5" xfId="16236" xr:uid="{ECC51B63-F9ED-44D8-A14E-9AA46B39166E}"/>
    <cellStyle name="Style 86 6 5 2" xfId="16237" xr:uid="{B39C71AC-0D78-42C0-BCF9-BB4DD94F73B1}"/>
    <cellStyle name="Style 86 6 5 2 2" xfId="34847" xr:uid="{74C3B15C-4E3A-4E08-9E13-9B14BB7FD963}"/>
    <cellStyle name="Style 86 6 6" xfId="16238" xr:uid="{E5862039-59B5-4F2E-BA41-93A88FED1533}"/>
    <cellStyle name="Style 86 6 6 2" xfId="34848" xr:uid="{8BED4606-B90B-4453-A1A9-0B0FDAFA406A}"/>
    <cellStyle name="Style 86 6 7" xfId="16239" xr:uid="{2B1A42B3-694B-4850-938F-5D0FB89F49F8}"/>
    <cellStyle name="Style 86 6 7 2" xfId="34849" xr:uid="{37FD21CE-7DA7-4D03-B9B7-182D437F16E3}"/>
    <cellStyle name="Style 86 6 8" xfId="16240" xr:uid="{55F0704C-008D-458C-8386-1E7C92E9E657}"/>
    <cellStyle name="Style 86 6 8 2" xfId="34850" xr:uid="{1E424486-D78D-484F-A3CB-A77491AB5490}"/>
    <cellStyle name="Style 86 6 9" xfId="16241" xr:uid="{9E9C7DEA-CAD5-4E73-8D22-B293E993AC0B}"/>
    <cellStyle name="Style 86 6 9 2" xfId="34851" xr:uid="{7C7F5F2F-7C9A-46AC-834E-A8C2D336F1C1}"/>
    <cellStyle name="Style 86 7" xfId="4216" xr:uid="{A6FAFA54-0F1F-42CA-97DE-D382BA6F063C}"/>
    <cellStyle name="Style 86 7 2" xfId="7368" xr:uid="{FD77D02C-E12D-4A1E-88B0-D224DD715453}"/>
    <cellStyle name="Style 86 7 2 2" xfId="16242" xr:uid="{7E1D918F-DB8B-409A-8462-93760D9F5677}"/>
    <cellStyle name="Style 86 7 2 2 2" xfId="34852" xr:uid="{F6ED36B9-3A7C-4545-A0DE-DD1106E155D9}"/>
    <cellStyle name="Style 86 7 3" xfId="7369" xr:uid="{9A2C1190-A604-4A79-88AA-1D48DEA475CD}"/>
    <cellStyle name="Style 86 7 4" xfId="7367" xr:uid="{A67CE47D-1DAE-4151-9EFD-8712BABBA296}"/>
    <cellStyle name="Style 86 7 4 2" xfId="28349" xr:uid="{EE1609E8-9F9D-4F2F-8F70-72AE06BB7B3E}"/>
    <cellStyle name="Style 86 7 5" xfId="16243" xr:uid="{DD1AB761-4CE1-4E96-A184-421C8E40916D}"/>
    <cellStyle name="Style 86 7 5 2" xfId="34853" xr:uid="{E19E56A2-5E73-40EF-8E7B-EA27439BDC2E}"/>
    <cellStyle name="Style 86 7 6" xfId="24161" xr:uid="{FAF76B05-0F02-4AD0-92EC-96E8A4D7EC12}"/>
    <cellStyle name="Style 86 8" xfId="7370" xr:uid="{4F875C6F-B8A9-43B6-996F-49AEF4779251}"/>
    <cellStyle name="Style 86 8 2" xfId="16244" xr:uid="{3F2D6715-E8FC-4D9E-A221-6D72042E03E4}"/>
    <cellStyle name="Style 86 8 2 2" xfId="34854" xr:uid="{576FEBBC-FA90-43A7-AC6B-72CE0957D4AF}"/>
    <cellStyle name="Style 86 9" xfId="7371" xr:uid="{30455BDA-029A-40FB-B08D-CD3E77D180F3}"/>
    <cellStyle name="Style 86 9 2" xfId="16245" xr:uid="{5A5304A3-FEDB-44BC-BFFE-1FD46A26391E}"/>
    <cellStyle name="Style 86 9 2 2" xfId="34855" xr:uid="{23832CA0-8824-4D73-A37E-3C36050C8463}"/>
    <cellStyle name="Style 86_ADDON" xfId="25813" xr:uid="{74009EC7-DE20-473D-9B6C-E9DE29E014B3}"/>
    <cellStyle name="Style 87" xfId="3634" xr:uid="{35C0C6F2-201C-4E34-AAEC-26379D387B3B}"/>
    <cellStyle name="Style 87 10" xfId="7372" xr:uid="{21CBA230-C1E7-43E1-A567-1C85EFF6AE84}"/>
    <cellStyle name="Style 87 10 2" xfId="16246" xr:uid="{C006CB8E-E52E-4B98-BDAE-75EB99004A16}"/>
    <cellStyle name="Style 87 10 2 2" xfId="34856" xr:uid="{0E706CF3-62DE-4FA6-A37C-0899214F7579}"/>
    <cellStyle name="Style 87 11" xfId="16247" xr:uid="{750C8850-50E2-4440-A5A0-1A2614D42059}"/>
    <cellStyle name="Style 87 11 2" xfId="16248" xr:uid="{F4DC86B9-C02F-4CA7-B118-DB1FDE279BE4}"/>
    <cellStyle name="Style 87 11 2 2" xfId="34857" xr:uid="{D48253EE-F793-440A-8ADA-E3BCA6941E75}"/>
    <cellStyle name="Style 87 11 3" xfId="26717" xr:uid="{645B14D8-DEFF-4B5B-A97E-8037E100979A}"/>
    <cellStyle name="Style 87 12" xfId="16249" xr:uid="{15F7033D-726F-4FDA-8F0C-3D2EB89C688B}"/>
    <cellStyle name="Style 87 12 2" xfId="34858" xr:uid="{D5216973-0CCC-4DE8-AD09-2BB595600DE9}"/>
    <cellStyle name="Style 87 13" xfId="16250" xr:uid="{E1296A7A-D4EC-4BAE-B36D-9E13D4EAED40}"/>
    <cellStyle name="Style 87 13 2" xfId="34859" xr:uid="{D31BF774-03D7-4FA6-B0C5-9505EE28D03F}"/>
    <cellStyle name="Style 87 14" xfId="16251" xr:uid="{518CFB04-C33E-427E-9EA8-061715804FC0}"/>
    <cellStyle name="Style 87 14 2" xfId="34860" xr:uid="{5506E585-ACA8-4342-B9C3-52F3269688AB}"/>
    <cellStyle name="Style 87 15" xfId="16252" xr:uid="{69D11E17-EBDC-4584-A421-05A93EA15444}"/>
    <cellStyle name="Style 87 15 2" xfId="34861" xr:uid="{8767569E-30D2-4ED8-B65B-204276D8A153}"/>
    <cellStyle name="Style 87 16" xfId="16253" xr:uid="{D56641D5-0486-4542-A311-804B070E44B2}"/>
    <cellStyle name="Style 87 16 2" xfId="34862" xr:uid="{79C4FC98-DF2B-4E3B-B20D-82C8C707AA4F}"/>
    <cellStyle name="Style 87 17" xfId="16254" xr:uid="{E4034E5F-F439-4945-B1D6-644739F57AB9}"/>
    <cellStyle name="Style 87 17 2" xfId="34863" xr:uid="{57A25D26-7537-4E5C-9910-D68D0BD7C908}"/>
    <cellStyle name="Style 87 18" xfId="16255" xr:uid="{C080DE38-789C-401E-BB5C-8D3F3998B69F}"/>
    <cellStyle name="Style 87 18 2" xfId="34864" xr:uid="{B2FEAC94-662E-4BDD-BE53-20EDF4E03BE3}"/>
    <cellStyle name="Style 87 19" xfId="16256" xr:uid="{DEF802C6-8B23-47EE-8DEE-B723AD816D48}"/>
    <cellStyle name="Style 87 19 2" xfId="34865" xr:uid="{EB4A5C11-F614-434C-BCE9-9C9BF621FEFF}"/>
    <cellStyle name="Style 87 2" xfId="3635" xr:uid="{02736647-41F9-4BFF-A6A5-8AC9D2D55F9B}"/>
    <cellStyle name="Style 87 2 10" xfId="16257" xr:uid="{CE0FFA95-6484-4DDA-AC9E-2ECA4738523F}"/>
    <cellStyle name="Style 87 2 10 2" xfId="34866" xr:uid="{75B2345E-AAE7-4B46-934F-86A7A01606DA}"/>
    <cellStyle name="Style 87 2 11" xfId="16258" xr:uid="{C390256D-836F-486D-BD03-46A437AC8E9E}"/>
    <cellStyle name="Style 87 2 11 2" xfId="34867" xr:uid="{A590D1F4-E0F9-4252-9038-ED3F2034C8D7}"/>
    <cellStyle name="Style 87 2 12" xfId="16259" xr:uid="{55DBEBBA-08E1-4972-A04D-2A756B2D10FD}"/>
    <cellStyle name="Style 87 2 12 2" xfId="34868" xr:uid="{DBBCC355-FE5B-4BF8-B5CC-20C1FD91B699}"/>
    <cellStyle name="Style 87 2 13" xfId="16260" xr:uid="{70DE3E05-7026-4481-9520-C9595F509C1D}"/>
    <cellStyle name="Style 87 2 13 2" xfId="34869" xr:uid="{4E665727-D34D-4DDC-9350-18AAE16ADCC7}"/>
    <cellStyle name="Style 87 2 14" xfId="16261" xr:uid="{BB7A3930-7E6C-4E0B-871F-64FA32573892}"/>
    <cellStyle name="Style 87 2 14 2" xfId="34870" xr:uid="{D92C708E-6003-4048-8097-896B05D9EF4E}"/>
    <cellStyle name="Style 87 2 15" xfId="16262" xr:uid="{60D66CE0-8BC2-4D60-9633-B4146EA6003C}"/>
    <cellStyle name="Style 87 2 15 2" xfId="34871" xr:uid="{77DEE22E-E74C-46EF-ACB4-3324DC132FF6}"/>
    <cellStyle name="Style 87 2 16" xfId="16263" xr:uid="{228CBC37-CA56-47D2-9C03-F4DA315AD1CB}"/>
    <cellStyle name="Style 87 2 16 2" xfId="34872" xr:uid="{08FCF578-0AE5-4092-9476-083606E3BE03}"/>
    <cellStyle name="Style 87 2 17" xfId="16264" xr:uid="{083C56A7-D538-4E77-951F-A95EC8A7A3AA}"/>
    <cellStyle name="Style 87 2 17 2" xfId="34873" xr:uid="{829424C8-AA68-49C2-95E3-422EF1192DA3}"/>
    <cellStyle name="Style 87 2 2" xfId="3636" xr:uid="{9AFE2944-68DD-423A-AE30-CB93F63DBD7D}"/>
    <cellStyle name="Style 87 2 2 10" xfId="16265" xr:uid="{80762D85-D79B-4C1C-8543-F37F0E84DF6B}"/>
    <cellStyle name="Style 87 2 2 10 2" xfId="34874" xr:uid="{15C287CB-4532-4650-A35F-801C009FD6F2}"/>
    <cellStyle name="Style 87 2 2 11" xfId="16266" xr:uid="{3B167E7C-8628-4B5E-99F3-11456F7B118E}"/>
    <cellStyle name="Style 87 2 2 11 2" xfId="34875" xr:uid="{63E5CAB4-7350-48A7-9083-84489C6724DE}"/>
    <cellStyle name="Style 87 2 2 12" xfId="16267" xr:uid="{99A2A149-44BF-4931-B834-EC4BBBFF46BE}"/>
    <cellStyle name="Style 87 2 2 12 2" xfId="34876" xr:uid="{B9D2BF1A-8F64-4E18-AAB9-41D67A4EBA39}"/>
    <cellStyle name="Style 87 2 2 13" xfId="16268" xr:uid="{1F6B1525-E171-4BA9-B2B6-380531BC87E1}"/>
    <cellStyle name="Style 87 2 2 13 2" xfId="34877" xr:uid="{2B083F11-C0D4-4AB2-ABDE-4D147A9602A1}"/>
    <cellStyle name="Style 87 2 2 14" xfId="16269" xr:uid="{A10E5AF0-6B94-4B76-9F6A-32D1362A234A}"/>
    <cellStyle name="Style 87 2 2 14 2" xfId="34878" xr:uid="{716FDCDC-D6A8-4584-A28D-2C81C0261C4E}"/>
    <cellStyle name="Style 87 2 2 15" xfId="16270" xr:uid="{0D82315A-CF9F-4101-9A96-EE52DA305DF2}"/>
    <cellStyle name="Style 87 2 2 15 2" xfId="34879" xr:uid="{DCC85497-7807-43F9-9393-3C8F87731244}"/>
    <cellStyle name="Style 87 2 2 16" xfId="16271" xr:uid="{E4929BD8-7F73-46F5-AD8F-4746637270E8}"/>
    <cellStyle name="Style 87 2 2 16 2" xfId="34880" xr:uid="{6E1F183D-E470-40A3-B98C-B108C23BF7B4}"/>
    <cellStyle name="Style 87 2 2 2" xfId="3637" xr:uid="{F3E44D3A-84AB-45A0-9E94-54E4E4037A32}"/>
    <cellStyle name="Style 87 2 2 2 10" xfId="16272" xr:uid="{BAEA1204-8F06-4D30-B12B-1755A2322AD5}"/>
    <cellStyle name="Style 87 2 2 2 10 2" xfId="34881" xr:uid="{32621906-8BDA-451F-8294-6DD032BCD2BD}"/>
    <cellStyle name="Style 87 2 2 2 11" xfId="16273" xr:uid="{613857B5-EEB7-41BE-9CFE-6AB148379659}"/>
    <cellStyle name="Style 87 2 2 2 11 2" xfId="34882" xr:uid="{2840C799-6805-4E8A-A69D-F751C2156919}"/>
    <cellStyle name="Style 87 2 2 2 12" xfId="16274" xr:uid="{8D3A8FFA-1246-4C4F-B349-F94685295A55}"/>
    <cellStyle name="Style 87 2 2 2 12 2" xfId="34883" xr:uid="{E5F9A1C4-DE31-4F5B-819B-57BD793D3681}"/>
    <cellStyle name="Style 87 2 2 2 13" xfId="16275" xr:uid="{FC0352A7-67F0-45C5-804E-CEED7275528E}"/>
    <cellStyle name="Style 87 2 2 2 13 2" xfId="34884" xr:uid="{071C6D7F-2644-4C45-8680-B2986F4218C8}"/>
    <cellStyle name="Style 87 2 2 2 14" xfId="16276" xr:uid="{C3A7B76D-BF79-4345-AD8A-07F9B4D31D45}"/>
    <cellStyle name="Style 87 2 2 2 14 2" xfId="34885" xr:uid="{5E6841C6-D51B-46DA-A3FB-3FF709BFD51A}"/>
    <cellStyle name="Style 87 2 2 2 15" xfId="16277" xr:uid="{2C62E20A-DECE-4DB3-AC0A-BAEBC3A82AD7}"/>
    <cellStyle name="Style 87 2 2 2 15 2" xfId="34886" xr:uid="{8108208A-5242-413F-89DD-0DC92B836055}"/>
    <cellStyle name="Style 87 2 2 2 2" xfId="3638" xr:uid="{7B55EF81-AB64-490F-BD1A-1E61391CC736}"/>
    <cellStyle name="Style 87 2 2 2 2 10" xfId="16278" xr:uid="{3C3F1A63-F004-4AE4-B7B3-854DC47A4FAE}"/>
    <cellStyle name="Style 87 2 2 2 2 10 2" xfId="34887" xr:uid="{7BADCDBB-7253-420C-9158-5F084EC4C0DA}"/>
    <cellStyle name="Style 87 2 2 2 2 11" xfId="16279" xr:uid="{CC616AAB-A451-48F6-AFE9-5B0CCE396E4A}"/>
    <cellStyle name="Style 87 2 2 2 2 11 2" xfId="34888" xr:uid="{E580930E-3CB3-45A1-9436-9F5972C85E1E}"/>
    <cellStyle name="Style 87 2 2 2 2 12" xfId="16280" xr:uid="{E1972780-A033-4AA7-850A-612CC57E9B2C}"/>
    <cellStyle name="Style 87 2 2 2 2 12 2" xfId="34889" xr:uid="{6EE5FF91-383C-4775-81EF-B53CC5F66ABC}"/>
    <cellStyle name="Style 87 2 2 2 2 13" xfId="16281" xr:uid="{A4CA1694-5862-462F-AE74-AFFB9AAD0991}"/>
    <cellStyle name="Style 87 2 2 2 2 13 2" xfId="34890" xr:uid="{9042CEF5-8FFA-4DDC-AC2F-D08FA3BC7774}"/>
    <cellStyle name="Style 87 2 2 2 2 14" xfId="16282" xr:uid="{447CD496-9E8A-40DE-8970-F50764310642}"/>
    <cellStyle name="Style 87 2 2 2 2 14 2" xfId="34891" xr:uid="{3708D5E8-1AC2-43E2-A8B2-C6022E9F613E}"/>
    <cellStyle name="Style 87 2 2 2 2 2" xfId="3639" xr:uid="{B575F94E-C65D-49B8-A165-A13F771DE1AE}"/>
    <cellStyle name="Style 87 2 2 2 2 2 10" xfId="16283" xr:uid="{DB576A0D-B2E0-4A72-AE3F-A2893851BB93}"/>
    <cellStyle name="Style 87 2 2 2 2 2 10 2" xfId="34892" xr:uid="{2CBEA6CF-CE8B-466C-98E7-7023399144B8}"/>
    <cellStyle name="Style 87 2 2 2 2 2 11" xfId="16284" xr:uid="{FA781E7B-78AD-4D3F-BDEB-BD1BC7D565AD}"/>
    <cellStyle name="Style 87 2 2 2 2 2 11 2" xfId="34893" xr:uid="{C348C178-77A0-4BA7-B66A-802DC7E18204}"/>
    <cellStyle name="Style 87 2 2 2 2 2 12" xfId="16285" xr:uid="{0EDA9D67-60B7-4343-8EDE-2A0737B4431D}"/>
    <cellStyle name="Style 87 2 2 2 2 2 12 2" xfId="34894" xr:uid="{84E5BD8F-0DD3-44A8-B5F8-9B04146D6305}"/>
    <cellStyle name="Style 87 2 2 2 2 2 2" xfId="7377" xr:uid="{3C5BB901-7110-4EE3-92DD-9B71350A78E0}"/>
    <cellStyle name="Style 87 2 2 2 2 2 2 2" xfId="16286" xr:uid="{D5F91056-F6CD-46BB-A209-A270F2C6156B}"/>
    <cellStyle name="Style 87 2 2 2 2 2 2 2 2" xfId="34895" xr:uid="{0BBBE736-0E69-40ED-AE34-76B17A81E129}"/>
    <cellStyle name="Style 87 2 2 2 2 2 2 3" xfId="16287" xr:uid="{A7B876F7-D749-48FF-8600-DB302373163C}"/>
    <cellStyle name="Style 87 2 2 2 2 2 2 3 2" xfId="34896" xr:uid="{8188E945-3E56-4EF4-BC77-F742B8E05C1E}"/>
    <cellStyle name="Style 87 2 2 2 2 2 3" xfId="16288" xr:uid="{C194886A-D349-4D97-8A57-955DE7AE3783}"/>
    <cellStyle name="Style 87 2 2 2 2 2 3 2" xfId="16289" xr:uid="{1A8B57FE-CFFA-4455-BCEB-E954F59C8CC0}"/>
    <cellStyle name="Style 87 2 2 2 2 2 3 2 2" xfId="34897" xr:uid="{E19635C2-DA3A-4750-8AA1-FE621BA6ED37}"/>
    <cellStyle name="Style 87 2 2 2 2 2 4" xfId="16290" xr:uid="{533AFDD1-E326-4447-B283-26C2D7DE2F9C}"/>
    <cellStyle name="Style 87 2 2 2 2 2 4 2" xfId="34898" xr:uid="{CC2AE9E0-09AD-4743-9EF3-F2BBF7FBAF62}"/>
    <cellStyle name="Style 87 2 2 2 2 2 5" xfId="16291" xr:uid="{19380F38-3A64-474A-8537-D3CE4078DECC}"/>
    <cellStyle name="Style 87 2 2 2 2 2 5 2" xfId="34899" xr:uid="{B555B0A1-A41C-46CB-9230-F0FDCC780612}"/>
    <cellStyle name="Style 87 2 2 2 2 2 6" xfId="16292" xr:uid="{A0785208-4FB5-4DC0-B89E-36E5A800C878}"/>
    <cellStyle name="Style 87 2 2 2 2 2 6 2" xfId="34900" xr:uid="{F3AD8C44-0FC1-464B-A5FA-8F5F0EA6CA4B}"/>
    <cellStyle name="Style 87 2 2 2 2 2 7" xfId="16293" xr:uid="{78FA986A-8F56-41E6-844A-497E6720EE30}"/>
    <cellStyle name="Style 87 2 2 2 2 2 7 2" xfId="34901" xr:uid="{CF2D6319-769A-4A0C-945A-734EC220E7D8}"/>
    <cellStyle name="Style 87 2 2 2 2 2 8" xfId="16294" xr:uid="{8DF2B732-D4A2-4495-9FBF-AAE9B3B51147}"/>
    <cellStyle name="Style 87 2 2 2 2 2 8 2" xfId="34902" xr:uid="{DD0DDC99-41E8-4830-B5B2-2314BD8B343B}"/>
    <cellStyle name="Style 87 2 2 2 2 2 9" xfId="16295" xr:uid="{D6A22044-0018-43CB-BE99-391C947D7A37}"/>
    <cellStyle name="Style 87 2 2 2 2 2 9 2" xfId="34903" xr:uid="{9FD315EE-6EA8-4E03-9EDB-9F665F3A7AEB}"/>
    <cellStyle name="Style 87 2 2 2 2 3" xfId="7376" xr:uid="{2711EF59-62E2-4718-9C39-EEE8D2186901}"/>
    <cellStyle name="Style 87 2 2 2 2 3 2" xfId="16296" xr:uid="{C4D6D2FF-CCBF-42A3-B8C2-40449FC3CB3F}"/>
    <cellStyle name="Style 87 2 2 2 2 3 2 2" xfId="34904" xr:uid="{BB01EC7B-CD17-4A0E-AEED-B95033042AB0}"/>
    <cellStyle name="Style 87 2 2 2 2 3 3" xfId="16297" xr:uid="{9FB48C08-E921-4AB2-B128-E49D70B41840}"/>
    <cellStyle name="Style 87 2 2 2 2 3 3 2" xfId="34905" xr:uid="{D2A264BC-67AC-4F8E-80E8-B995B1DDF695}"/>
    <cellStyle name="Style 87 2 2 2 2 4" xfId="16298" xr:uid="{3777AEB7-38CF-46AF-8046-E8749A120905}"/>
    <cellStyle name="Style 87 2 2 2 2 4 2" xfId="16299" xr:uid="{0C20952F-2E70-4AFA-BCFF-19BD873EF58A}"/>
    <cellStyle name="Style 87 2 2 2 2 4 2 2" xfId="34906" xr:uid="{8EE1A505-6389-4460-BD44-7624659BA51C}"/>
    <cellStyle name="Style 87 2 2 2 2 5" xfId="16300" xr:uid="{B51CD137-B62E-4B59-82AF-310D84DB0D88}"/>
    <cellStyle name="Style 87 2 2 2 2 5 2" xfId="34907" xr:uid="{06AF068B-F712-4032-95F4-29267D65509A}"/>
    <cellStyle name="Style 87 2 2 2 2 6" xfId="16301" xr:uid="{792528B3-8058-423F-9504-0DAA72E16EAD}"/>
    <cellStyle name="Style 87 2 2 2 2 6 2" xfId="34908" xr:uid="{3DB80E54-06BD-4035-827D-8FA83062E8E2}"/>
    <cellStyle name="Style 87 2 2 2 2 7" xfId="16302" xr:uid="{2B33005A-0890-45F8-BD83-C823244065AE}"/>
    <cellStyle name="Style 87 2 2 2 2 7 2" xfId="34909" xr:uid="{38D43F8E-564B-4D9E-904A-0E694338849A}"/>
    <cellStyle name="Style 87 2 2 2 2 8" xfId="16303" xr:uid="{0A8EB210-8F2B-4354-8AB0-1DCFABF900D3}"/>
    <cellStyle name="Style 87 2 2 2 2 8 2" xfId="34910" xr:uid="{726C5B21-285E-41D7-9B68-1D89D0F531DF}"/>
    <cellStyle name="Style 87 2 2 2 2 9" xfId="16304" xr:uid="{034D8705-4DFD-4A76-B1E4-82BD38F2833F}"/>
    <cellStyle name="Style 87 2 2 2 2 9 2" xfId="34911" xr:uid="{AFE8F2A5-D346-4219-B834-C24AF74C4C0B}"/>
    <cellStyle name="Style 87 2 2 2 3" xfId="3640" xr:uid="{8225770E-6D96-4E9F-B493-39C5D2EF95D1}"/>
    <cellStyle name="Style 87 2 2 2 3 10" xfId="16305" xr:uid="{45BFD692-523F-4E94-AA7A-C235419232F7}"/>
    <cellStyle name="Style 87 2 2 2 3 10 2" xfId="34912" xr:uid="{E087774C-CED6-4621-BEFD-0FFD5AD8028D}"/>
    <cellStyle name="Style 87 2 2 2 3 11" xfId="16306" xr:uid="{F9E62438-73C6-4F23-A146-169206F1F9E1}"/>
    <cellStyle name="Style 87 2 2 2 3 11 2" xfId="34913" xr:uid="{8D232B83-D151-485F-956B-5CFC587F89B7}"/>
    <cellStyle name="Style 87 2 2 2 3 12" xfId="16307" xr:uid="{E0E76FEA-4E84-4358-A6F0-E5099826128F}"/>
    <cellStyle name="Style 87 2 2 2 3 12 2" xfId="34914" xr:uid="{0A5F7ED0-EB51-4384-A0E4-F611946EEDA3}"/>
    <cellStyle name="Style 87 2 2 2 3 2" xfId="7378" xr:uid="{46E1710C-9F8D-4CD9-A7D3-3C9953238B2F}"/>
    <cellStyle name="Style 87 2 2 2 3 2 2" xfId="16308" xr:uid="{D3250189-B618-4C18-A02E-5A31EAFB715A}"/>
    <cellStyle name="Style 87 2 2 2 3 2 2 2" xfId="34915" xr:uid="{694F5BDA-E7E9-42CE-9054-9186F75FE2D6}"/>
    <cellStyle name="Style 87 2 2 2 3 2 3" xfId="16309" xr:uid="{7E61800E-2E5F-4663-865A-F39BBA17F7C7}"/>
    <cellStyle name="Style 87 2 2 2 3 2 3 2" xfId="34916" xr:uid="{75F0FDFF-AF66-4404-9B5B-F35EF3542652}"/>
    <cellStyle name="Style 87 2 2 2 3 3" xfId="16310" xr:uid="{D23CFBEC-8D3D-4871-9232-6D40FCB1D92C}"/>
    <cellStyle name="Style 87 2 2 2 3 3 2" xfId="16311" xr:uid="{553DA14A-8787-4978-9317-0D2F9AD1F957}"/>
    <cellStyle name="Style 87 2 2 2 3 3 2 2" xfId="34917" xr:uid="{7E77D6F6-2860-4362-AAE4-691FD4B9CC0B}"/>
    <cellStyle name="Style 87 2 2 2 3 4" xfId="16312" xr:uid="{4E9EA9CC-6CFB-4DD9-B073-573DAD5E3BD3}"/>
    <cellStyle name="Style 87 2 2 2 3 4 2" xfId="34918" xr:uid="{480F2BF5-E136-4D6B-B5B2-672D68183EE6}"/>
    <cellStyle name="Style 87 2 2 2 3 5" xfId="16313" xr:uid="{F23DA743-F2BE-4DFE-A3DB-30277AD32C6B}"/>
    <cellStyle name="Style 87 2 2 2 3 5 2" xfId="34919" xr:uid="{FA085A6E-2044-4EB3-8731-0D1712364692}"/>
    <cellStyle name="Style 87 2 2 2 3 6" xfId="16314" xr:uid="{CEB5B143-5C94-4ACB-B969-D75888922C58}"/>
    <cellStyle name="Style 87 2 2 2 3 6 2" xfId="34920" xr:uid="{6A7DE994-9766-49ED-9F5A-0CA28659CB31}"/>
    <cellStyle name="Style 87 2 2 2 3 7" xfId="16315" xr:uid="{CA478644-3657-4F9B-B9DA-97D0EA7D8F93}"/>
    <cellStyle name="Style 87 2 2 2 3 7 2" xfId="34921" xr:uid="{90904AA1-1A15-4518-ADE2-E91FBB669FCF}"/>
    <cellStyle name="Style 87 2 2 2 3 8" xfId="16316" xr:uid="{2FA779CB-64E1-43DF-AA7B-CF54B593353F}"/>
    <cellStyle name="Style 87 2 2 2 3 8 2" xfId="34922" xr:uid="{9DA8F48D-1DB4-4BBC-AD60-0363C038361C}"/>
    <cellStyle name="Style 87 2 2 2 3 9" xfId="16317" xr:uid="{70362EC4-44C7-476C-A003-17A7B00C1077}"/>
    <cellStyle name="Style 87 2 2 2 3 9 2" xfId="34923" xr:uid="{6A4E5457-090C-4D78-8EFE-1C1537705B43}"/>
    <cellStyle name="Style 87 2 2 2 4" xfId="7375" xr:uid="{E6BDC5BA-394B-4B3E-AB36-A8E8197052C8}"/>
    <cellStyle name="Style 87 2 2 2 4 2" xfId="16318" xr:uid="{AD1FD53C-D8AC-40E4-AF53-1B2BF56AE553}"/>
    <cellStyle name="Style 87 2 2 2 4 2 2" xfId="34924" xr:uid="{49AF1D7D-5682-4CD1-A220-6AF7C5FB59F3}"/>
    <cellStyle name="Style 87 2 2 2 4 3" xfId="16319" xr:uid="{FA8BF8A2-0EA6-46A0-926C-94BABEF5D196}"/>
    <cellStyle name="Style 87 2 2 2 4 3 2" xfId="34925" xr:uid="{D96A4879-18F6-4C16-A0BC-F3828AF9D155}"/>
    <cellStyle name="Style 87 2 2 2 5" xfId="16320" xr:uid="{1CF68C04-3D06-44CE-B764-7D51C35FD41B}"/>
    <cellStyle name="Style 87 2 2 2 5 2" xfId="16321" xr:uid="{6FAB6099-3FE1-4EF4-83C6-00462FE5FCFF}"/>
    <cellStyle name="Style 87 2 2 2 5 2 2" xfId="34926" xr:uid="{B7E1EAEC-DC60-4A1C-9A64-4D9473D0BBF8}"/>
    <cellStyle name="Style 87 2 2 2 6" xfId="16322" xr:uid="{1FE9516F-83AC-4D74-84DA-A73C88C30239}"/>
    <cellStyle name="Style 87 2 2 2 6 2" xfId="34927" xr:uid="{86880BD6-3187-4FBC-B00F-4D8F4B6FAD28}"/>
    <cellStyle name="Style 87 2 2 2 7" xfId="16323" xr:uid="{C1D358D2-69FB-43D1-BEC3-AD61A7164375}"/>
    <cellStyle name="Style 87 2 2 2 7 2" xfId="34928" xr:uid="{B1EDB1AB-37BB-44BB-817B-8B8AC4DA089D}"/>
    <cellStyle name="Style 87 2 2 2 8" xfId="16324" xr:uid="{685F937A-01DF-4603-9E27-243A63301313}"/>
    <cellStyle name="Style 87 2 2 2 8 2" xfId="34929" xr:uid="{29B0F5E8-084D-4825-956E-B57F44B36ACD}"/>
    <cellStyle name="Style 87 2 2 2 9" xfId="16325" xr:uid="{C7398A01-4E94-405E-A535-D64AE24B675E}"/>
    <cellStyle name="Style 87 2 2 2 9 2" xfId="34930" xr:uid="{83E3FF7A-6A1B-47F4-A7C0-A19B743B330E}"/>
    <cellStyle name="Style 87 2 2 3" xfId="3641" xr:uid="{71B18585-D578-4BE2-92DD-AF791DB4400C}"/>
    <cellStyle name="Style 87 2 2 3 10" xfId="16326" xr:uid="{3283E84B-3219-4049-A3A6-827F123282F3}"/>
    <cellStyle name="Style 87 2 2 3 10 2" xfId="34931" xr:uid="{A10CAA6A-8FE2-4567-99AD-B27EB4D2D8A3}"/>
    <cellStyle name="Style 87 2 2 3 11" xfId="16327" xr:uid="{8468BFD5-8B28-4A31-9F92-188281C86B17}"/>
    <cellStyle name="Style 87 2 2 3 11 2" xfId="34932" xr:uid="{64BEE90C-2508-4594-B51D-C3CDF58D5E61}"/>
    <cellStyle name="Style 87 2 2 3 12" xfId="16328" xr:uid="{039D4784-064A-4C0E-9B6E-2FA36F10F567}"/>
    <cellStyle name="Style 87 2 2 3 12 2" xfId="34933" xr:uid="{E0781083-6A63-43A7-951D-70F84191F409}"/>
    <cellStyle name="Style 87 2 2 3 13" xfId="16329" xr:uid="{4C4FA53A-D17A-445F-A56D-618F2C876FC3}"/>
    <cellStyle name="Style 87 2 2 3 13 2" xfId="34934" xr:uid="{26920FC9-76E6-445D-8DB4-03B6F9E30F50}"/>
    <cellStyle name="Style 87 2 2 3 14" xfId="16330" xr:uid="{F426CFEC-2C8C-482B-9D48-29F11ABE1F46}"/>
    <cellStyle name="Style 87 2 2 3 14 2" xfId="34935" xr:uid="{50F635A3-8232-47B9-8038-51F3E7634C55}"/>
    <cellStyle name="Style 87 2 2 3 2" xfId="3642" xr:uid="{93AD2CB1-0E2D-4132-ACE8-ADE7DF7C9919}"/>
    <cellStyle name="Style 87 2 2 3 2 10" xfId="16331" xr:uid="{9F30A3CF-CBEF-4438-9BC1-0641AE49F8D6}"/>
    <cellStyle name="Style 87 2 2 3 2 10 2" xfId="34936" xr:uid="{EF049984-28D0-4010-B395-B7EA43A2FE34}"/>
    <cellStyle name="Style 87 2 2 3 2 11" xfId="16332" xr:uid="{F76BA3ED-8D2F-4292-8FA5-DC82EC25F727}"/>
    <cellStyle name="Style 87 2 2 3 2 11 2" xfId="34937" xr:uid="{845962AD-0C3B-4C31-ACE6-588678A930C0}"/>
    <cellStyle name="Style 87 2 2 3 2 12" xfId="16333" xr:uid="{6D4B96E5-5231-4EA6-854E-5AC7993D9649}"/>
    <cellStyle name="Style 87 2 2 3 2 12 2" xfId="34938" xr:uid="{B6907E88-F866-4481-BA3E-C6148F1BDB6D}"/>
    <cellStyle name="Style 87 2 2 3 2 2" xfId="7380" xr:uid="{5203AE66-5351-4318-A6DD-55F02083A805}"/>
    <cellStyle name="Style 87 2 2 3 2 2 2" xfId="16334" xr:uid="{D6A55B3D-4E24-4D64-9742-E6BE78245D9C}"/>
    <cellStyle name="Style 87 2 2 3 2 2 2 2" xfId="34939" xr:uid="{5ABA37A3-5518-4E3E-9FD2-883049C9A29D}"/>
    <cellStyle name="Style 87 2 2 3 2 2 3" xfId="16335" xr:uid="{C9A65841-77B0-48DB-901F-7FD109DAF768}"/>
    <cellStyle name="Style 87 2 2 3 2 2 3 2" xfId="34940" xr:uid="{2BD35266-DBD5-427A-A506-0E990A7776C8}"/>
    <cellStyle name="Style 87 2 2 3 2 3" xfId="16336" xr:uid="{537D5231-FC0D-4468-92BA-C28A2429398E}"/>
    <cellStyle name="Style 87 2 2 3 2 3 2" xfId="16337" xr:uid="{6AE54418-7E94-4C10-A37E-2AA0033D5E0D}"/>
    <cellStyle name="Style 87 2 2 3 2 3 2 2" xfId="34941" xr:uid="{21C29764-9E1E-459C-B489-23BB77C85CAF}"/>
    <cellStyle name="Style 87 2 2 3 2 4" xfId="16338" xr:uid="{2B765621-C536-472D-9F4D-884AD6B91301}"/>
    <cellStyle name="Style 87 2 2 3 2 4 2" xfId="34942" xr:uid="{645096A1-16BB-4768-BF20-6CA564452524}"/>
    <cellStyle name="Style 87 2 2 3 2 5" xfId="16339" xr:uid="{DDCD83B6-B580-444D-B8EB-E12DE2AFDAD4}"/>
    <cellStyle name="Style 87 2 2 3 2 5 2" xfId="34943" xr:uid="{3D8B2932-3A3D-467A-8C23-9081DD606F65}"/>
    <cellStyle name="Style 87 2 2 3 2 6" xfId="16340" xr:uid="{3D34D35D-D5E6-4D34-8904-15B689449238}"/>
    <cellStyle name="Style 87 2 2 3 2 6 2" xfId="34944" xr:uid="{12DC77DD-5B7C-4FF5-9731-F89594DA0760}"/>
    <cellStyle name="Style 87 2 2 3 2 7" xfId="16341" xr:uid="{F6B02BE7-50A3-4704-A578-DB7DDA30D274}"/>
    <cellStyle name="Style 87 2 2 3 2 7 2" xfId="34945" xr:uid="{10774DFD-ECDE-4ECA-B9EC-F1167282EB96}"/>
    <cellStyle name="Style 87 2 2 3 2 8" xfId="16342" xr:uid="{DE995E5A-9DC1-4FCB-94A7-C5530CE9DFB5}"/>
    <cellStyle name="Style 87 2 2 3 2 8 2" xfId="34946" xr:uid="{C1618656-60D0-4812-9D84-31BD330D6164}"/>
    <cellStyle name="Style 87 2 2 3 2 9" xfId="16343" xr:uid="{7BF01972-F6E2-4F68-B8A7-DD90DBDB3AAC}"/>
    <cellStyle name="Style 87 2 2 3 2 9 2" xfId="34947" xr:uid="{6515BA25-B083-42E7-B667-5A98136CA13D}"/>
    <cellStyle name="Style 87 2 2 3 3" xfId="7379" xr:uid="{39A57E4B-518A-4E8B-BB63-6C91F95F20C0}"/>
    <cellStyle name="Style 87 2 2 3 3 2" xfId="16344" xr:uid="{08896986-F335-4095-9D4F-12F539BC23B1}"/>
    <cellStyle name="Style 87 2 2 3 3 2 2" xfId="34948" xr:uid="{58842025-BB30-47F4-B7FF-23B52462A13D}"/>
    <cellStyle name="Style 87 2 2 3 3 3" xfId="16345" xr:uid="{FB427ED9-5463-449B-9D15-DEBB1223AB4F}"/>
    <cellStyle name="Style 87 2 2 3 3 3 2" xfId="34949" xr:uid="{74AC9D64-2EB0-43EC-8729-E2B1489A49D3}"/>
    <cellStyle name="Style 87 2 2 3 4" xfId="16346" xr:uid="{7C8A7A26-65E1-4704-A2EE-F0D1D59D5AC5}"/>
    <cellStyle name="Style 87 2 2 3 4 2" xfId="16347" xr:uid="{26F6509F-F589-4516-8919-02DADA02BC61}"/>
    <cellStyle name="Style 87 2 2 3 4 2 2" xfId="34950" xr:uid="{A28C3A31-6DF3-4A77-A53C-7B1635414DFD}"/>
    <cellStyle name="Style 87 2 2 3 5" xfId="16348" xr:uid="{951FF567-DC83-407C-9801-1A429EDB25BE}"/>
    <cellStyle name="Style 87 2 2 3 5 2" xfId="34951" xr:uid="{47303747-AA9E-48F1-B07C-434D23303D81}"/>
    <cellStyle name="Style 87 2 2 3 6" xfId="16349" xr:uid="{94E6527B-C9A2-41AA-B72F-B79E7AE51C0F}"/>
    <cellStyle name="Style 87 2 2 3 6 2" xfId="34952" xr:uid="{0A25492C-3F95-433E-98AE-A56A917D2BF9}"/>
    <cellStyle name="Style 87 2 2 3 7" xfId="16350" xr:uid="{1322AD6A-91EF-4D69-8AA1-B1FBFE1FFF1A}"/>
    <cellStyle name="Style 87 2 2 3 7 2" xfId="34953" xr:uid="{3530D08A-9086-4F67-A8E7-31050FDD5FEA}"/>
    <cellStyle name="Style 87 2 2 3 8" xfId="16351" xr:uid="{670997A0-F52B-4632-8EF6-2B9BD42C3A4F}"/>
    <cellStyle name="Style 87 2 2 3 8 2" xfId="34954" xr:uid="{BDEBEFAD-C922-49DB-96A8-4C7C5DF60A5D}"/>
    <cellStyle name="Style 87 2 2 3 9" xfId="16352" xr:uid="{557D5919-4259-4989-A283-AADF3B63C4A0}"/>
    <cellStyle name="Style 87 2 2 3 9 2" xfId="34955" xr:uid="{DB0E6E76-3A5B-4381-B5E5-C1D94D4C7D1D}"/>
    <cellStyle name="Style 87 2 2 4" xfId="3643" xr:uid="{AE5C3249-8675-42E7-9AB1-2571F766E5E3}"/>
    <cellStyle name="Style 87 2 2 4 10" xfId="16353" xr:uid="{F3B383A3-9DD5-4514-B73D-267D8135B8AA}"/>
    <cellStyle name="Style 87 2 2 4 10 2" xfId="34956" xr:uid="{29237800-67D4-47E8-94A6-C56D9C8CCACD}"/>
    <cellStyle name="Style 87 2 2 4 11" xfId="16354" xr:uid="{439A7CAF-4197-4C47-A06B-FD69A7A47898}"/>
    <cellStyle name="Style 87 2 2 4 11 2" xfId="34957" xr:uid="{7F99B0AD-0F55-48E5-BEA7-CD8F0305DF00}"/>
    <cellStyle name="Style 87 2 2 4 12" xfId="16355" xr:uid="{79761DF0-7570-40FC-9D97-906004EC1636}"/>
    <cellStyle name="Style 87 2 2 4 12 2" xfId="34958" xr:uid="{5342CAAE-3150-4456-ABC8-38348036CCAF}"/>
    <cellStyle name="Style 87 2 2 4 2" xfId="7381" xr:uid="{483AA60F-E8BB-414C-840F-9417C6BC83B2}"/>
    <cellStyle name="Style 87 2 2 4 2 2" xfId="16356" xr:uid="{772F6B4A-C417-4CA6-9353-10E3E086C772}"/>
    <cellStyle name="Style 87 2 2 4 2 2 2" xfId="34959" xr:uid="{E8156CCE-27CD-40D4-980B-2AFE80DB99FE}"/>
    <cellStyle name="Style 87 2 2 4 2 3" xfId="16357" xr:uid="{5A9B9E9F-5B0E-40B4-BA48-0EC69E4C01C5}"/>
    <cellStyle name="Style 87 2 2 4 2 3 2" xfId="34960" xr:uid="{286E0B73-F2A0-42A7-8DE9-3E61B36B8ECD}"/>
    <cellStyle name="Style 87 2 2 4 3" xfId="16358" xr:uid="{5F3C0DE8-C45B-403A-81A2-3B0A47AD0CD9}"/>
    <cellStyle name="Style 87 2 2 4 3 2" xfId="16359" xr:uid="{FA32DA6A-9DBA-48F5-AF6C-392C39FAFAB6}"/>
    <cellStyle name="Style 87 2 2 4 3 2 2" xfId="34961" xr:uid="{18984ED7-D677-44D4-A36A-6E8021866532}"/>
    <cellStyle name="Style 87 2 2 4 4" xfId="16360" xr:uid="{459DDA33-D702-454B-98BF-096A74E0059F}"/>
    <cellStyle name="Style 87 2 2 4 4 2" xfId="34962" xr:uid="{1AC33BE3-8315-49CB-98E7-294A49B762F9}"/>
    <cellStyle name="Style 87 2 2 4 5" xfId="16361" xr:uid="{3CB7839D-FC79-4467-AC73-EBB5D432FFEF}"/>
    <cellStyle name="Style 87 2 2 4 5 2" xfId="34963" xr:uid="{86E7FDA6-CE81-44DA-9908-8A1B1427D5C0}"/>
    <cellStyle name="Style 87 2 2 4 6" xfId="16362" xr:uid="{6BCB4153-B10E-49EA-AF10-69E15EB7446F}"/>
    <cellStyle name="Style 87 2 2 4 6 2" xfId="34964" xr:uid="{258F2425-68CE-408B-BDC9-CDBAAFF4DC39}"/>
    <cellStyle name="Style 87 2 2 4 7" xfId="16363" xr:uid="{477FFE80-F2C1-4A47-B7B1-9DEBC6A22F56}"/>
    <cellStyle name="Style 87 2 2 4 7 2" xfId="34965" xr:uid="{E11D66D7-001C-4ADF-958B-A296075F6D7E}"/>
    <cellStyle name="Style 87 2 2 4 8" xfId="16364" xr:uid="{05F38CEB-4110-4DDD-AF8A-ED78DD6A3509}"/>
    <cellStyle name="Style 87 2 2 4 8 2" xfId="34966" xr:uid="{79CDA462-974D-44C7-9F32-4025B8E3A0C6}"/>
    <cellStyle name="Style 87 2 2 4 9" xfId="16365" xr:uid="{671923C7-A955-4D9E-9C6B-70044036F647}"/>
    <cellStyle name="Style 87 2 2 4 9 2" xfId="34967" xr:uid="{C1916EF8-5D8E-4499-81C4-68A3468B6BB1}"/>
    <cellStyle name="Style 87 2 2 5" xfId="7374" xr:uid="{7DA8B9AD-0ACB-4AD8-8D8C-7FF391DDE8B4}"/>
    <cellStyle name="Style 87 2 2 5 2" xfId="16366" xr:uid="{756003D9-932E-42C4-A7C0-65E5715329AE}"/>
    <cellStyle name="Style 87 2 2 5 2 2" xfId="34968" xr:uid="{5F7107FE-6169-4739-8B79-1B1D77E9D702}"/>
    <cellStyle name="Style 87 2 2 5 3" xfId="16367" xr:uid="{55FE500F-D348-41F4-BA81-2A1A337A09E5}"/>
    <cellStyle name="Style 87 2 2 5 3 2" xfId="34969" xr:uid="{D0E229C1-E02B-45B4-AC78-361AF80EE06B}"/>
    <cellStyle name="Style 87 2 2 6" xfId="16368" xr:uid="{A9341419-2191-4710-AECC-398BEB5F3982}"/>
    <cellStyle name="Style 87 2 2 6 2" xfId="16369" xr:uid="{9C72379C-330C-4144-9C5F-AD9A154EBACC}"/>
    <cellStyle name="Style 87 2 2 6 2 2" xfId="34970" xr:uid="{420B283A-546F-49D6-9404-FD8176D6C65C}"/>
    <cellStyle name="Style 87 2 2 7" xfId="16370" xr:uid="{547B5558-F593-467E-9C90-12605CD49C36}"/>
    <cellStyle name="Style 87 2 2 7 2" xfId="34971" xr:uid="{C592C803-EAF8-4D72-91BE-4197F61024B1}"/>
    <cellStyle name="Style 87 2 2 8" xfId="16371" xr:uid="{60566C69-54FA-4F34-9D3B-EE48A5F3E17C}"/>
    <cellStyle name="Style 87 2 2 8 2" xfId="34972" xr:uid="{061D0526-D05E-4469-85AC-A97B919BA007}"/>
    <cellStyle name="Style 87 2 2 9" xfId="16372" xr:uid="{FED84F4F-A5C3-4B97-AEF1-F83478CB9215}"/>
    <cellStyle name="Style 87 2 2 9 2" xfId="34973" xr:uid="{A3B313B2-92CF-4BCE-9E9B-3E6759FD2080}"/>
    <cellStyle name="Style 87 2 3" xfId="3644" xr:uid="{E7A1381E-FA61-4CA1-A233-ED9EF3232345}"/>
    <cellStyle name="Style 87 2 3 10" xfId="16373" xr:uid="{C772BC2E-A751-4CA2-84F7-9176CB29FE73}"/>
    <cellStyle name="Style 87 2 3 10 2" xfId="34974" xr:uid="{40A54BFF-158C-41A2-885A-01AE73DDEEFE}"/>
    <cellStyle name="Style 87 2 3 11" xfId="16374" xr:uid="{681DA77E-44F5-406F-8090-5CFCAD57C877}"/>
    <cellStyle name="Style 87 2 3 11 2" xfId="34975" xr:uid="{0F929270-476C-4637-8DF7-718628D45A16}"/>
    <cellStyle name="Style 87 2 3 12" xfId="16375" xr:uid="{1894BB5A-C620-4326-99B1-138BA1B8AAB7}"/>
    <cellStyle name="Style 87 2 3 12 2" xfId="34976" xr:uid="{34F0C98F-1FAD-4816-8B56-72BC9BB0EF37}"/>
    <cellStyle name="Style 87 2 3 13" xfId="16376" xr:uid="{B059C32E-A7AF-46C2-88D2-69D503DF1AF0}"/>
    <cellStyle name="Style 87 2 3 13 2" xfId="34977" xr:uid="{722B9DEA-BB33-44C0-9D47-83E01BDE526B}"/>
    <cellStyle name="Style 87 2 3 14" xfId="16377" xr:uid="{593DF945-61B3-40B8-A519-7D7556BC558D}"/>
    <cellStyle name="Style 87 2 3 14 2" xfId="34978" xr:uid="{A2FFCF9B-3C46-485F-8098-11875FC175E3}"/>
    <cellStyle name="Style 87 2 3 15" xfId="16378" xr:uid="{84A5F85E-6417-4D12-9445-1E46315379A5}"/>
    <cellStyle name="Style 87 2 3 15 2" xfId="34979" xr:uid="{9796A47E-6C73-4268-A813-7F4A2A4E35A6}"/>
    <cellStyle name="Style 87 2 3 2" xfId="3645" xr:uid="{CCA0EF91-0502-4D81-84E1-50F53E68B8CE}"/>
    <cellStyle name="Style 87 2 3 2 10" xfId="16379" xr:uid="{498E092A-A2F9-4A65-B02A-3DA17599766B}"/>
    <cellStyle name="Style 87 2 3 2 10 2" xfId="34980" xr:uid="{5C570A24-8147-4668-8A3C-EB088296F497}"/>
    <cellStyle name="Style 87 2 3 2 11" xfId="16380" xr:uid="{FA3DC5A6-F65F-4A93-9FBB-0FFA14139FB6}"/>
    <cellStyle name="Style 87 2 3 2 11 2" xfId="34981" xr:uid="{E1450B81-F61B-4822-A83C-6DD1F9D0E900}"/>
    <cellStyle name="Style 87 2 3 2 12" xfId="16381" xr:uid="{A1F97740-D7B0-46D3-B060-1FD0885D506F}"/>
    <cellStyle name="Style 87 2 3 2 12 2" xfId="34982" xr:uid="{7BD902FB-AC8C-4972-9795-75307650B838}"/>
    <cellStyle name="Style 87 2 3 2 13" xfId="16382" xr:uid="{3C89EB76-2BC1-4BF5-AEF1-3419C2D37DDE}"/>
    <cellStyle name="Style 87 2 3 2 13 2" xfId="34983" xr:uid="{07DFCBC9-5567-42B0-B9C6-AAD0ECC7DACD}"/>
    <cellStyle name="Style 87 2 3 2 14" xfId="16383" xr:uid="{76BEF924-A919-4825-9F60-83574DCB1FAE}"/>
    <cellStyle name="Style 87 2 3 2 14 2" xfId="34984" xr:uid="{C5A1B660-B0C1-4F24-B24F-4F17835AB05F}"/>
    <cellStyle name="Style 87 2 3 2 2" xfId="3646" xr:uid="{27200D8C-5C73-4347-AAF1-29C4CE23915F}"/>
    <cellStyle name="Style 87 2 3 2 2 10" xfId="16384" xr:uid="{FC637B61-06CF-4A90-8FA8-20DD8CA0C822}"/>
    <cellStyle name="Style 87 2 3 2 2 10 2" xfId="34985" xr:uid="{EE7A0C13-B214-4316-B854-3804BB305D04}"/>
    <cellStyle name="Style 87 2 3 2 2 11" xfId="16385" xr:uid="{1C8030F2-0A4A-42FE-A09F-A2D701411DE3}"/>
    <cellStyle name="Style 87 2 3 2 2 11 2" xfId="34986" xr:uid="{563F754F-8554-4C53-8092-D85CB74AD8DC}"/>
    <cellStyle name="Style 87 2 3 2 2 12" xfId="16386" xr:uid="{414B17DF-31F9-44B4-8EA3-B49F098F93EE}"/>
    <cellStyle name="Style 87 2 3 2 2 12 2" xfId="34987" xr:uid="{E910095F-2DC4-41BD-BD72-B1271C14C16A}"/>
    <cellStyle name="Style 87 2 3 2 2 2" xfId="7384" xr:uid="{2D740BA6-BC15-48EC-8D33-C132581BEADB}"/>
    <cellStyle name="Style 87 2 3 2 2 2 2" xfId="16387" xr:uid="{71A3678E-E0A3-453D-9DC2-1B6E8420D70C}"/>
    <cellStyle name="Style 87 2 3 2 2 2 2 2" xfId="34988" xr:uid="{33DF993F-BBAC-450E-9D89-18C574F4EC1F}"/>
    <cellStyle name="Style 87 2 3 2 2 2 3" xfId="16388" xr:uid="{3149171C-21A1-4CCC-917E-4823124417B7}"/>
    <cellStyle name="Style 87 2 3 2 2 2 3 2" xfId="34989" xr:uid="{290BF6E2-C9BB-4A74-B110-6588597B482C}"/>
    <cellStyle name="Style 87 2 3 2 2 3" xfId="16389" xr:uid="{D1A349DD-3618-4FCA-BBA8-99DD13A59DB5}"/>
    <cellStyle name="Style 87 2 3 2 2 3 2" xfId="16390" xr:uid="{2362A82F-EA24-4FCE-97EB-64CE03281941}"/>
    <cellStyle name="Style 87 2 3 2 2 3 2 2" xfId="34990" xr:uid="{DD73E9E2-D184-4031-B890-982FEC4B2CD6}"/>
    <cellStyle name="Style 87 2 3 2 2 4" xfId="16391" xr:uid="{034247A7-8A16-41F1-89F9-676168A89EF3}"/>
    <cellStyle name="Style 87 2 3 2 2 4 2" xfId="34991" xr:uid="{CD108224-AFA2-4BF0-852E-7D88DD4D5E07}"/>
    <cellStyle name="Style 87 2 3 2 2 5" xfId="16392" xr:uid="{5733A039-5A1A-43B6-8D79-4DD13005DE1E}"/>
    <cellStyle name="Style 87 2 3 2 2 5 2" xfId="34992" xr:uid="{7E2FE5BF-BE91-4905-926C-9E67EFB970BE}"/>
    <cellStyle name="Style 87 2 3 2 2 6" xfId="16393" xr:uid="{81AA7D74-BBB1-4315-8620-C85CBD26C32A}"/>
    <cellStyle name="Style 87 2 3 2 2 6 2" xfId="34993" xr:uid="{2BE45886-83A5-4E4B-BD6D-2A3659C89B3A}"/>
    <cellStyle name="Style 87 2 3 2 2 7" xfId="16394" xr:uid="{1D27015F-912F-4532-B166-E7D84F993500}"/>
    <cellStyle name="Style 87 2 3 2 2 7 2" xfId="34994" xr:uid="{CCCF91AA-3BB7-4173-8BCE-C90DCC143F80}"/>
    <cellStyle name="Style 87 2 3 2 2 8" xfId="16395" xr:uid="{2C71600E-513E-4349-813E-D6BCE354C723}"/>
    <cellStyle name="Style 87 2 3 2 2 8 2" xfId="34995" xr:uid="{0A1BFCF1-1787-4ECB-9280-03E2FD5BA83C}"/>
    <cellStyle name="Style 87 2 3 2 2 9" xfId="16396" xr:uid="{8E8C86A4-9AFD-43B4-A481-E2B8B89F3189}"/>
    <cellStyle name="Style 87 2 3 2 2 9 2" xfId="34996" xr:uid="{65610E4C-AE56-42B2-869D-FA43D3AAEC38}"/>
    <cellStyle name="Style 87 2 3 2 3" xfId="7383" xr:uid="{197E60A5-694D-4ACE-B39C-0E2AC503D24A}"/>
    <cellStyle name="Style 87 2 3 2 3 2" xfId="16397" xr:uid="{AE6E8EFC-6A41-4C94-87E8-7735688EFF22}"/>
    <cellStyle name="Style 87 2 3 2 3 2 2" xfId="34997" xr:uid="{0EBF2220-9F76-4AF3-8C64-41A3AAA36A3A}"/>
    <cellStyle name="Style 87 2 3 2 3 3" xfId="16398" xr:uid="{8D69BA60-AD45-4890-91D5-18CAF9337FA0}"/>
    <cellStyle name="Style 87 2 3 2 3 3 2" xfId="34998" xr:uid="{4F56146E-1CDB-4B43-9607-438C4B5E2E3B}"/>
    <cellStyle name="Style 87 2 3 2 4" xfId="16399" xr:uid="{4D1D220D-855E-4974-9276-B840EC2FFF71}"/>
    <cellStyle name="Style 87 2 3 2 4 2" xfId="16400" xr:uid="{383D0DE5-C134-461A-89ED-9D9A16F6B1DC}"/>
    <cellStyle name="Style 87 2 3 2 4 2 2" xfId="34999" xr:uid="{BE7A6481-AA18-42D4-89E5-AD20BB4EBEF2}"/>
    <cellStyle name="Style 87 2 3 2 5" xfId="16401" xr:uid="{28AA01FE-B4F5-461E-8741-690E0C3B4F76}"/>
    <cellStyle name="Style 87 2 3 2 5 2" xfId="35000" xr:uid="{B74AF466-5A6B-4601-8031-2DF45FB083EA}"/>
    <cellStyle name="Style 87 2 3 2 6" xfId="16402" xr:uid="{94F7E0BB-185A-41F1-89B7-6ED266658D80}"/>
    <cellStyle name="Style 87 2 3 2 6 2" xfId="35001" xr:uid="{ABE80FB1-D941-496C-9E69-A1A34245912A}"/>
    <cellStyle name="Style 87 2 3 2 7" xfId="16403" xr:uid="{40A8B418-3F45-4BE0-9D63-4657897404E8}"/>
    <cellStyle name="Style 87 2 3 2 7 2" xfId="35002" xr:uid="{5CD1D725-D621-4F54-B088-4960C811CAF7}"/>
    <cellStyle name="Style 87 2 3 2 8" xfId="16404" xr:uid="{B2E23DDB-6964-4FEA-B4EF-E5988585B79E}"/>
    <cellStyle name="Style 87 2 3 2 8 2" xfId="35003" xr:uid="{4B96504B-04D1-44E9-B1AF-E944B8833912}"/>
    <cellStyle name="Style 87 2 3 2 9" xfId="16405" xr:uid="{222C7886-3214-4A2B-ADC3-E91D98652D77}"/>
    <cellStyle name="Style 87 2 3 2 9 2" xfId="35004" xr:uid="{22A10596-7CDC-47A8-B75A-2EFCBD7F34CE}"/>
    <cellStyle name="Style 87 2 3 3" xfId="3647" xr:uid="{445EAAB6-5856-4776-B7E2-E31063FB1C2D}"/>
    <cellStyle name="Style 87 2 3 3 10" xfId="16406" xr:uid="{4151EF33-26DA-4FBA-A6C5-7445BB8C1648}"/>
    <cellStyle name="Style 87 2 3 3 10 2" xfId="35005" xr:uid="{CFF9268E-62A0-4CC9-BC10-CC7BBD26F322}"/>
    <cellStyle name="Style 87 2 3 3 11" xfId="16407" xr:uid="{73F3B5D5-D7FD-4F01-93D0-A59F096DE292}"/>
    <cellStyle name="Style 87 2 3 3 11 2" xfId="35006" xr:uid="{8EAA587D-F2AB-4570-A6C8-21F8CEA2E9BE}"/>
    <cellStyle name="Style 87 2 3 3 12" xfId="16408" xr:uid="{32A3C97C-3DA7-4640-819E-B9EF9F8A7085}"/>
    <cellStyle name="Style 87 2 3 3 12 2" xfId="35007" xr:uid="{5CEA5A5A-C58B-47F1-8E06-89E4B45A558D}"/>
    <cellStyle name="Style 87 2 3 3 2" xfId="7385" xr:uid="{2483CB89-B3FF-409B-BA14-0417B4963839}"/>
    <cellStyle name="Style 87 2 3 3 2 2" xfId="16409" xr:uid="{DEE7AAD2-08CF-4912-BBD3-EFC831B359C1}"/>
    <cellStyle name="Style 87 2 3 3 2 2 2" xfId="35008" xr:uid="{26596434-1551-4794-BCD0-F22CB20E8773}"/>
    <cellStyle name="Style 87 2 3 3 2 3" xfId="16410" xr:uid="{3D3D137A-5919-4551-A0CB-940E94F43EA5}"/>
    <cellStyle name="Style 87 2 3 3 2 3 2" xfId="35009" xr:uid="{4C0C938E-6342-421C-93E1-225892CEF8F5}"/>
    <cellStyle name="Style 87 2 3 3 3" xfId="16411" xr:uid="{4DDD5A56-0057-43A4-ADA3-76778767A476}"/>
    <cellStyle name="Style 87 2 3 3 3 2" xfId="16412" xr:uid="{08B2A109-E03B-4730-9A23-0851FD74F046}"/>
    <cellStyle name="Style 87 2 3 3 3 2 2" xfId="35010" xr:uid="{419562DB-58BB-4DE7-95CB-F8FD72F1D243}"/>
    <cellStyle name="Style 87 2 3 3 4" xfId="16413" xr:uid="{1F451A56-9381-4719-A821-B0E03FD877B1}"/>
    <cellStyle name="Style 87 2 3 3 4 2" xfId="35011" xr:uid="{93891279-1C46-4CCA-AD29-366802600453}"/>
    <cellStyle name="Style 87 2 3 3 5" xfId="16414" xr:uid="{8B09B5F5-FC94-4219-A05C-0FBE67EA3F79}"/>
    <cellStyle name="Style 87 2 3 3 5 2" xfId="35012" xr:uid="{6FAE9274-C50F-4084-8BEF-80DF41D254A6}"/>
    <cellStyle name="Style 87 2 3 3 6" xfId="16415" xr:uid="{E0B03C5C-84AC-4E3D-BC5F-D90BFC0E6E1C}"/>
    <cellStyle name="Style 87 2 3 3 6 2" xfId="35013" xr:uid="{A1F0BA87-C2DF-4E28-9455-B4FED01ADCEC}"/>
    <cellStyle name="Style 87 2 3 3 7" xfId="16416" xr:uid="{E9C07D1B-D26F-49CC-A342-4EA6F2D48153}"/>
    <cellStyle name="Style 87 2 3 3 7 2" xfId="35014" xr:uid="{8CC6260D-7BD7-499F-AD33-9D07C5F226BC}"/>
    <cellStyle name="Style 87 2 3 3 8" xfId="16417" xr:uid="{C9328AF5-FF7A-40A6-8B4A-AD1552F1288C}"/>
    <cellStyle name="Style 87 2 3 3 8 2" xfId="35015" xr:uid="{2BCC072A-0DBD-4B52-B9EC-58485FA61A87}"/>
    <cellStyle name="Style 87 2 3 3 9" xfId="16418" xr:uid="{4900A42E-0ECD-4B52-989B-BAFB1B89C504}"/>
    <cellStyle name="Style 87 2 3 3 9 2" xfId="35016" xr:uid="{625A3062-9009-4192-832C-F77A55ED73D4}"/>
    <cellStyle name="Style 87 2 3 4" xfId="7382" xr:uid="{BA017CAF-2FC8-4F9C-B328-031C47E56603}"/>
    <cellStyle name="Style 87 2 3 4 2" xfId="16419" xr:uid="{386FF802-7B4A-4C56-BA4B-B02F06BA3268}"/>
    <cellStyle name="Style 87 2 3 4 2 2" xfId="35017" xr:uid="{41225E26-276D-45CA-98EB-05C8723C6E76}"/>
    <cellStyle name="Style 87 2 3 4 3" xfId="16420" xr:uid="{04B692DA-6585-4912-B11A-547BDDACD55D}"/>
    <cellStyle name="Style 87 2 3 4 3 2" xfId="35018" xr:uid="{4DFB5EA6-343F-4F1D-A408-C1B56EEB4531}"/>
    <cellStyle name="Style 87 2 3 5" xfId="16421" xr:uid="{D4134A12-F230-4FAC-B2C0-99534AD8CBC1}"/>
    <cellStyle name="Style 87 2 3 5 2" xfId="16422" xr:uid="{AAD95E05-EEC4-4D5E-AE83-FDD3B2839319}"/>
    <cellStyle name="Style 87 2 3 5 2 2" xfId="35019" xr:uid="{B8687162-2041-405D-B812-5BD14BE9484B}"/>
    <cellStyle name="Style 87 2 3 6" xfId="16423" xr:uid="{FE2BA082-5360-4F53-91B4-46F37EFF5E10}"/>
    <cellStyle name="Style 87 2 3 6 2" xfId="35020" xr:uid="{41C628FA-9D5E-4F64-A50B-22E9B87F5DDA}"/>
    <cellStyle name="Style 87 2 3 7" xfId="16424" xr:uid="{39A679BE-F9CE-4787-BE90-3816F2AA8D16}"/>
    <cellStyle name="Style 87 2 3 7 2" xfId="35021" xr:uid="{6179E879-D978-474C-BFE6-08799CB11112}"/>
    <cellStyle name="Style 87 2 3 8" xfId="16425" xr:uid="{ED525EA9-56F8-4F77-9896-AD20FBD41220}"/>
    <cellStyle name="Style 87 2 3 8 2" xfId="35022" xr:uid="{C9928D84-C505-415D-A8E9-C15385BA8569}"/>
    <cellStyle name="Style 87 2 3 9" xfId="16426" xr:uid="{67E6C0C9-334F-465B-B2BA-8F7DDBD1F879}"/>
    <cellStyle name="Style 87 2 3 9 2" xfId="35023" xr:uid="{B09ED788-75CD-4CCE-808C-C602EB19C404}"/>
    <cellStyle name="Style 87 2 4" xfId="3648" xr:uid="{C38F52C1-3731-4FAD-ABF1-00EB7A10EF26}"/>
    <cellStyle name="Style 87 2 4 10" xfId="16427" xr:uid="{5B661478-04E5-4B9B-A573-7EA847587FFB}"/>
    <cellStyle name="Style 87 2 4 10 2" xfId="35024" xr:uid="{7849BAFC-4F6F-4260-AC3A-131D7E0C13B2}"/>
    <cellStyle name="Style 87 2 4 11" xfId="16428" xr:uid="{DAF65EDD-F97B-4BD7-909E-8421083D61FC}"/>
    <cellStyle name="Style 87 2 4 11 2" xfId="35025" xr:uid="{F439D831-4345-47AD-A465-21F9A1110B75}"/>
    <cellStyle name="Style 87 2 4 12" xfId="16429" xr:uid="{3CA0AEA4-4F2C-4B76-B883-7E30D390AA75}"/>
    <cellStyle name="Style 87 2 4 12 2" xfId="35026" xr:uid="{21176D9C-C0B8-4792-AC40-B94973B170A5}"/>
    <cellStyle name="Style 87 2 4 13" xfId="16430" xr:uid="{4CD5A8D0-92B1-41E7-924A-38DB3356406D}"/>
    <cellStyle name="Style 87 2 4 13 2" xfId="35027" xr:uid="{5ABF362D-B723-483E-9931-1CC9782307F7}"/>
    <cellStyle name="Style 87 2 4 14" xfId="16431" xr:uid="{0DE6F55E-406C-4175-B8A8-046DF0FC5596}"/>
    <cellStyle name="Style 87 2 4 14 2" xfId="35028" xr:uid="{156EB30D-F48B-40F8-9723-BA8560D3EAEA}"/>
    <cellStyle name="Style 87 2 4 2" xfId="3649" xr:uid="{B6C7D130-85EE-4DA6-88C7-719243A35B2A}"/>
    <cellStyle name="Style 87 2 4 2 10" xfId="16432" xr:uid="{DB80034D-9773-45DA-B64A-46F34A7270F6}"/>
    <cellStyle name="Style 87 2 4 2 10 2" xfId="35029" xr:uid="{FDC8D628-20F2-4F60-8C93-FA201EBD5A1E}"/>
    <cellStyle name="Style 87 2 4 2 11" xfId="16433" xr:uid="{0529B88C-D892-4F25-BA4C-4B2537920D64}"/>
    <cellStyle name="Style 87 2 4 2 11 2" xfId="35030" xr:uid="{07E3AE39-1866-4473-9D7B-C2C27EBD47BB}"/>
    <cellStyle name="Style 87 2 4 2 12" xfId="16434" xr:uid="{C9D6DEC9-1C23-496B-8727-89947378DDBC}"/>
    <cellStyle name="Style 87 2 4 2 12 2" xfId="35031" xr:uid="{C96C9ABF-89FC-4013-B6A2-1470E6E03456}"/>
    <cellStyle name="Style 87 2 4 2 2" xfId="7387" xr:uid="{D64A1CC1-31A0-4430-BE18-939FD07D5E0C}"/>
    <cellStyle name="Style 87 2 4 2 2 2" xfId="16435" xr:uid="{A76961D0-7ECA-4905-967C-6906FD624D07}"/>
    <cellStyle name="Style 87 2 4 2 2 2 2" xfId="35032" xr:uid="{3F1D2B14-058E-478B-928D-FD6F4BE12951}"/>
    <cellStyle name="Style 87 2 4 2 2 3" xfId="16436" xr:uid="{43CD5BA0-3881-4C4F-98F3-573E280CDB97}"/>
    <cellStyle name="Style 87 2 4 2 2 3 2" xfId="35033" xr:uid="{C687D042-DE14-4EE9-ACB4-4C785DCA9FBC}"/>
    <cellStyle name="Style 87 2 4 2 3" xfId="16437" xr:uid="{7692DF63-C655-44C6-A871-C773C4294860}"/>
    <cellStyle name="Style 87 2 4 2 3 2" xfId="16438" xr:uid="{9B044586-B031-4885-BA87-B31D942572EA}"/>
    <cellStyle name="Style 87 2 4 2 3 2 2" xfId="35034" xr:uid="{4F8638D7-3499-4E3D-A2A2-2896F4D0EC6A}"/>
    <cellStyle name="Style 87 2 4 2 4" xfId="16439" xr:uid="{289D8362-F943-4BBB-BEB0-4B9C7D73D715}"/>
    <cellStyle name="Style 87 2 4 2 4 2" xfId="35035" xr:uid="{7462964E-CBD3-424A-BA9B-3A0A6B2B27BD}"/>
    <cellStyle name="Style 87 2 4 2 5" xfId="16440" xr:uid="{69786992-3BE3-4933-93E5-0ABA28A29DC5}"/>
    <cellStyle name="Style 87 2 4 2 5 2" xfId="35036" xr:uid="{0AB7A3F0-7CE5-49D1-9116-2C0F0947C6D9}"/>
    <cellStyle name="Style 87 2 4 2 6" xfId="16441" xr:uid="{47164DFF-BC6B-4511-A418-59551513C29E}"/>
    <cellStyle name="Style 87 2 4 2 6 2" xfId="35037" xr:uid="{8D687844-CEEB-43BE-8FD7-FDE00FB8298B}"/>
    <cellStyle name="Style 87 2 4 2 7" xfId="16442" xr:uid="{24CA6F79-1A90-4F75-81E0-B72AD5D51CCF}"/>
    <cellStyle name="Style 87 2 4 2 7 2" xfId="35038" xr:uid="{5379CF5B-293B-4D2F-B6BF-32A759664A9B}"/>
    <cellStyle name="Style 87 2 4 2 8" xfId="16443" xr:uid="{4A7EC1D6-15C6-41CD-B9BD-9CF3D048B014}"/>
    <cellStyle name="Style 87 2 4 2 8 2" xfId="35039" xr:uid="{BECDF1C7-793B-4F2F-B2AB-2A6B5180FF7B}"/>
    <cellStyle name="Style 87 2 4 2 9" xfId="16444" xr:uid="{48F2A05E-457E-4491-A2EC-FC17055A10FA}"/>
    <cellStyle name="Style 87 2 4 2 9 2" xfId="35040" xr:uid="{61BCEDB8-822C-4177-AF1F-90792F3ED270}"/>
    <cellStyle name="Style 87 2 4 3" xfId="7386" xr:uid="{B8DC39ED-0F79-45B8-99F5-97D332BC89A0}"/>
    <cellStyle name="Style 87 2 4 3 2" xfId="16445" xr:uid="{D2765823-3BC2-4F20-9F2E-C3FD64D460B0}"/>
    <cellStyle name="Style 87 2 4 3 2 2" xfId="35041" xr:uid="{11E4170B-6BC4-4DC8-B949-973DEEEFD8BE}"/>
    <cellStyle name="Style 87 2 4 3 3" xfId="16446" xr:uid="{83070063-61BD-43EA-97C1-9A13631F0981}"/>
    <cellStyle name="Style 87 2 4 3 3 2" xfId="35042" xr:uid="{EAB7B5DA-D735-4431-925A-BB0C35C31BAD}"/>
    <cellStyle name="Style 87 2 4 4" xfId="16447" xr:uid="{EBCE0AC9-29F0-46FF-8BF4-E09A6C82F3E9}"/>
    <cellStyle name="Style 87 2 4 4 2" xfId="16448" xr:uid="{CF579B92-514B-465D-8B5C-C2229C53240A}"/>
    <cellStyle name="Style 87 2 4 4 2 2" xfId="35043" xr:uid="{7A2E51A5-8408-4825-8C26-8D61071B51CA}"/>
    <cellStyle name="Style 87 2 4 5" xfId="16449" xr:uid="{F3F7A8A7-79DC-43B1-8BE4-6059770E1E91}"/>
    <cellStyle name="Style 87 2 4 5 2" xfId="35044" xr:uid="{CCB73C01-12B5-462F-AADF-8D12D10804F0}"/>
    <cellStyle name="Style 87 2 4 6" xfId="16450" xr:uid="{86FA8C39-49B0-4EF8-B434-495139FA0E8A}"/>
    <cellStyle name="Style 87 2 4 6 2" xfId="35045" xr:uid="{A88A4F10-8CA9-4CE4-875B-0997DFF03DFB}"/>
    <cellStyle name="Style 87 2 4 7" xfId="16451" xr:uid="{6D9679E3-2D64-4196-8E54-0BAB73D6F6C6}"/>
    <cellStyle name="Style 87 2 4 7 2" xfId="35046" xr:uid="{743EB47B-4E75-4265-9B3C-DAA9CF2CA8FB}"/>
    <cellStyle name="Style 87 2 4 8" xfId="16452" xr:uid="{66A79447-5451-44F3-971D-2392F7CA89A0}"/>
    <cellStyle name="Style 87 2 4 8 2" xfId="35047" xr:uid="{6C750DC5-3B25-45AE-802F-6593E0869761}"/>
    <cellStyle name="Style 87 2 4 9" xfId="16453" xr:uid="{917BE037-63E6-40E7-8219-26DE69F267A0}"/>
    <cellStyle name="Style 87 2 4 9 2" xfId="35048" xr:uid="{EE715D6C-9E63-43A5-9057-B75E9847625B}"/>
    <cellStyle name="Style 87 2 5" xfId="3650" xr:uid="{02820756-D3E9-4882-B88F-D02CFA97AB75}"/>
    <cellStyle name="Style 87 2 5 10" xfId="16454" xr:uid="{2D68F304-BB52-4F61-90F5-852A55395409}"/>
    <cellStyle name="Style 87 2 5 10 2" xfId="35049" xr:uid="{0CF338B4-AA8E-476D-B690-19003F606B05}"/>
    <cellStyle name="Style 87 2 5 11" xfId="16455" xr:uid="{99CBE365-EE68-42D4-BB0D-09A43B7A6A39}"/>
    <cellStyle name="Style 87 2 5 11 2" xfId="35050" xr:uid="{EC29AE47-FC85-4DBA-8CE2-0DCD9C9FA5CE}"/>
    <cellStyle name="Style 87 2 5 12" xfId="16456" xr:uid="{C558A09F-191C-4743-BCAD-D3C3DDA46C48}"/>
    <cellStyle name="Style 87 2 5 12 2" xfId="35051" xr:uid="{9AB6C720-0F0C-4524-8C1F-3977B4E3BA3A}"/>
    <cellStyle name="Style 87 2 5 2" xfId="7388" xr:uid="{0929E95F-9D9C-40C5-BCB8-D1E80ECB00BD}"/>
    <cellStyle name="Style 87 2 5 2 2" xfId="16457" xr:uid="{9B23C4E7-D801-4711-A7BD-23A41D3D5BB5}"/>
    <cellStyle name="Style 87 2 5 2 2 2" xfId="35052" xr:uid="{76A47711-3292-45BA-B22D-B83C24A3BC9F}"/>
    <cellStyle name="Style 87 2 5 2 3" xfId="16458" xr:uid="{5CC9D853-852C-4E77-82AB-1792820EF394}"/>
    <cellStyle name="Style 87 2 5 2 3 2" xfId="35053" xr:uid="{7531B0A2-A4D9-4097-8F72-85424D749710}"/>
    <cellStyle name="Style 87 2 5 3" xfId="16459" xr:uid="{2349374D-2509-4DB3-B9F2-3ABFA8D588C4}"/>
    <cellStyle name="Style 87 2 5 3 2" xfId="16460" xr:uid="{D71A71C8-AA69-4735-9F5A-5FAA7527A7B4}"/>
    <cellStyle name="Style 87 2 5 3 2 2" xfId="35054" xr:uid="{2E8ED21C-EB95-4DCE-8699-BF38D3CBBE4F}"/>
    <cellStyle name="Style 87 2 5 4" xfId="16461" xr:uid="{0C66E2BD-E564-4DB1-89BD-F76202A364DF}"/>
    <cellStyle name="Style 87 2 5 4 2" xfId="35055" xr:uid="{20B95642-BEC0-4402-9874-0B73512DC87F}"/>
    <cellStyle name="Style 87 2 5 5" xfId="16462" xr:uid="{40E679C6-9884-417A-9F53-E8D3AD0FEC5B}"/>
    <cellStyle name="Style 87 2 5 5 2" xfId="35056" xr:uid="{8B538534-55A0-4EF7-9DAA-5C1F7C4C162B}"/>
    <cellStyle name="Style 87 2 5 6" xfId="16463" xr:uid="{D2F8FA42-8015-45CD-8149-7F4A51F4E9C6}"/>
    <cellStyle name="Style 87 2 5 6 2" xfId="35057" xr:uid="{6C181B9C-1CDC-4A85-B101-5E4718D268D5}"/>
    <cellStyle name="Style 87 2 5 7" xfId="16464" xr:uid="{519755E1-B190-4DCD-9B0B-E98A21E9D023}"/>
    <cellStyle name="Style 87 2 5 7 2" xfId="35058" xr:uid="{8622BDDC-281E-43D8-9231-94FE5F714C76}"/>
    <cellStyle name="Style 87 2 5 8" xfId="16465" xr:uid="{0A9B066D-34D8-4E15-B745-7A18F6686ECC}"/>
    <cellStyle name="Style 87 2 5 8 2" xfId="35059" xr:uid="{D67C79E3-1657-4E17-81BF-CC9F6BB57EB3}"/>
    <cellStyle name="Style 87 2 5 9" xfId="16466" xr:uid="{2CA8DA56-3E3D-4738-BCE8-C3A52AA86722}"/>
    <cellStyle name="Style 87 2 5 9 2" xfId="35060" xr:uid="{BAB65131-A51E-40DE-A87D-4936E6950863}"/>
    <cellStyle name="Style 87 2 6" xfId="7373" xr:uid="{6E584C45-D42A-460C-A07B-69D7B5444593}"/>
    <cellStyle name="Style 87 2 6 2" xfId="16467" xr:uid="{612EE7A1-4218-4644-89C0-CE309384323A}"/>
    <cellStyle name="Style 87 2 6 2 2" xfId="35061" xr:uid="{AD5F9837-B1C6-43F9-B9D4-D0845E91A3AD}"/>
    <cellStyle name="Style 87 2 6 3" xfId="16468" xr:uid="{DCE7531B-938D-419C-B669-F86FC5B7F1C9}"/>
    <cellStyle name="Style 87 2 6 3 2" xfId="35062" xr:uid="{95D6706E-D9F7-4372-9327-5AE0C536AA75}"/>
    <cellStyle name="Style 87 2 7" xfId="16469" xr:uid="{6D90519D-03DD-4975-8865-7FAAA9240CFC}"/>
    <cellStyle name="Style 87 2 7 2" xfId="16470" xr:uid="{2FC71C2B-6FBF-49CD-AAA3-FB37565769EC}"/>
    <cellStyle name="Style 87 2 7 2 2" xfId="35063" xr:uid="{1BC9F088-C1A1-4836-9950-48567D14B9DB}"/>
    <cellStyle name="Style 87 2 8" xfId="16471" xr:uid="{2FF9F504-844B-4271-82BF-D77493CDAD93}"/>
    <cellStyle name="Style 87 2 8 2" xfId="35064" xr:uid="{1D1AED00-6106-4A02-884A-0060F03601FA}"/>
    <cellStyle name="Style 87 2 9" xfId="16472" xr:uid="{36E2662B-137A-4979-9C1C-13DB789C646B}"/>
    <cellStyle name="Style 87 2 9 2" xfId="35065" xr:uid="{C58A3D13-06E2-4501-BD8A-3F04A08889F6}"/>
    <cellStyle name="Style 87 3" xfId="3651" xr:uid="{1F3C16A0-48EC-4D4F-9F70-50B0175BCD16}"/>
    <cellStyle name="Style 87 3 10" xfId="16473" xr:uid="{4F6FBA87-D219-41C2-B246-34232AC40C8F}"/>
    <cellStyle name="Style 87 3 10 2" xfId="35066" xr:uid="{9C716BB2-4F05-4E1D-8B61-AAD0817BB635}"/>
    <cellStyle name="Style 87 3 11" xfId="16474" xr:uid="{04E46CB9-C167-430C-87CF-A04CB762B24E}"/>
    <cellStyle name="Style 87 3 11 2" xfId="35067" xr:uid="{DECEFEEF-22B6-4E7A-A7D9-8A07C1AC7109}"/>
    <cellStyle name="Style 87 3 12" xfId="16475" xr:uid="{E2283435-F0F5-4FFE-8B86-E6DE969852E9}"/>
    <cellStyle name="Style 87 3 12 2" xfId="35068" xr:uid="{2BC37813-DAFB-46F2-BB75-8AA63846A07D}"/>
    <cellStyle name="Style 87 3 13" xfId="16476" xr:uid="{AC811E5C-1D1C-4269-8296-A3E72ABB4ED5}"/>
    <cellStyle name="Style 87 3 13 2" xfId="35069" xr:uid="{47910A4B-24D6-4BC2-B715-E9FF117F9E45}"/>
    <cellStyle name="Style 87 3 14" xfId="16477" xr:uid="{850E61A4-FB46-428C-B129-203F56DBDADC}"/>
    <cellStyle name="Style 87 3 14 2" xfId="35070" xr:uid="{8DA9CD58-3D02-4F67-B89D-D69FB6E8A3DA}"/>
    <cellStyle name="Style 87 3 15" xfId="16478" xr:uid="{27392999-B751-4481-AD31-8A63667CF001}"/>
    <cellStyle name="Style 87 3 15 2" xfId="35071" xr:uid="{7C305599-6EB7-476C-8C68-2FC578E57872}"/>
    <cellStyle name="Style 87 3 16" xfId="16479" xr:uid="{E438597C-B99B-4B2E-A73B-B60337F2EDA4}"/>
    <cellStyle name="Style 87 3 16 2" xfId="35072" xr:uid="{E6705C87-5389-40BA-847C-80ABBA93D967}"/>
    <cellStyle name="Style 87 3 17" xfId="16480" xr:uid="{B0CC91FD-575D-4D87-B011-56FF4F3E72F8}"/>
    <cellStyle name="Style 87 3 17 2" xfId="35073" xr:uid="{A4033E71-FC17-47D4-BB38-8211862765AE}"/>
    <cellStyle name="Style 87 3 2" xfId="3652" xr:uid="{A392FD9A-5F65-4173-B9FB-87411625A14C}"/>
    <cellStyle name="Style 87 3 2 10" xfId="16481" xr:uid="{96BE821F-30DB-4662-863B-E9B4360BFCF0}"/>
    <cellStyle name="Style 87 3 2 10 2" xfId="35074" xr:uid="{203BBD58-BEA8-49D7-9364-AAC897ECD6F7}"/>
    <cellStyle name="Style 87 3 2 11" xfId="16482" xr:uid="{1DD2E8F7-1BCD-40A3-A54F-CFC8C8478721}"/>
    <cellStyle name="Style 87 3 2 11 2" xfId="35075" xr:uid="{E8D7668E-FD69-494A-97AE-058C6B9F0A9F}"/>
    <cellStyle name="Style 87 3 2 12" xfId="16483" xr:uid="{B44BAE4D-C55B-4364-BA94-8B7C3489E9C9}"/>
    <cellStyle name="Style 87 3 2 12 2" xfId="35076" xr:uid="{21F6C317-8D1F-4A95-B0A5-B7905C1D5C30}"/>
    <cellStyle name="Style 87 3 2 13" xfId="16484" xr:uid="{996B49AA-15B1-4563-87AF-D84BFC917C76}"/>
    <cellStyle name="Style 87 3 2 13 2" xfId="35077" xr:uid="{D98B2543-18FD-4EE8-9B49-A6D36B9C4A26}"/>
    <cellStyle name="Style 87 3 2 14" xfId="16485" xr:uid="{CD2A0F36-D02F-447A-A102-9F6CEBB7C2B1}"/>
    <cellStyle name="Style 87 3 2 14 2" xfId="35078" xr:uid="{F97D2765-CA3F-4A93-A8C3-099DADB2D543}"/>
    <cellStyle name="Style 87 3 2 15" xfId="16486" xr:uid="{0C4EE065-58C4-485D-BD09-A8EECD574538}"/>
    <cellStyle name="Style 87 3 2 15 2" xfId="35079" xr:uid="{5229A2DF-BD80-43DB-8EDB-11624B29EC82}"/>
    <cellStyle name="Style 87 3 2 16" xfId="16487" xr:uid="{C63EAE36-AD23-41D6-B714-C46E63117839}"/>
    <cellStyle name="Style 87 3 2 16 2" xfId="35080" xr:uid="{84667363-AC70-46D6-BD2C-2A38E6FF446D}"/>
    <cellStyle name="Style 87 3 2 2" xfId="3653" xr:uid="{99708373-75FD-4345-9591-684DA01B26D5}"/>
    <cellStyle name="Style 87 3 2 2 10" xfId="16488" xr:uid="{D27FA743-2CD3-423F-BD55-3974A21C3175}"/>
    <cellStyle name="Style 87 3 2 2 10 2" xfId="35081" xr:uid="{BA7D14FA-F460-4FCC-BEB9-AB9DA03E0591}"/>
    <cellStyle name="Style 87 3 2 2 11" xfId="16489" xr:uid="{20DBCD58-A911-4274-9153-A887CEF0CF8A}"/>
    <cellStyle name="Style 87 3 2 2 11 2" xfId="35082" xr:uid="{3F66C674-1F6D-40F4-8A4F-448A574D1FE8}"/>
    <cellStyle name="Style 87 3 2 2 12" xfId="16490" xr:uid="{9C63F07E-B9CF-4225-8B56-0440FE303FB8}"/>
    <cellStyle name="Style 87 3 2 2 12 2" xfId="35083" xr:uid="{D30D69E8-9A0C-4FAA-8425-618F0844278F}"/>
    <cellStyle name="Style 87 3 2 2 13" xfId="16491" xr:uid="{ED9D24FC-A725-4A84-A7E1-DC2C121EADC3}"/>
    <cellStyle name="Style 87 3 2 2 13 2" xfId="35084" xr:uid="{46C7349C-6A67-4893-B1ED-07B300082815}"/>
    <cellStyle name="Style 87 3 2 2 14" xfId="16492" xr:uid="{2C022519-DD40-4918-AAD7-2C51A7111A18}"/>
    <cellStyle name="Style 87 3 2 2 14 2" xfId="35085" xr:uid="{4C16E676-56F7-4D93-8639-8F277A62EA70}"/>
    <cellStyle name="Style 87 3 2 2 15" xfId="16493" xr:uid="{DBFBD988-2559-4747-B031-298FCA863817}"/>
    <cellStyle name="Style 87 3 2 2 15 2" xfId="35086" xr:uid="{B1380FD2-C11C-4828-B905-0DD3720547B8}"/>
    <cellStyle name="Style 87 3 2 2 2" xfId="3654" xr:uid="{4C5EA899-A0E7-43DA-871D-4B8ABD210908}"/>
    <cellStyle name="Style 87 3 2 2 2 10" xfId="16494" xr:uid="{6CBF4CEA-BC07-4EC1-8573-FFD4B2728FBD}"/>
    <cellStyle name="Style 87 3 2 2 2 10 2" xfId="35087" xr:uid="{31FA0532-C326-4DE5-93B6-01818C602C8A}"/>
    <cellStyle name="Style 87 3 2 2 2 11" xfId="16495" xr:uid="{2277D1A0-F925-45E1-9014-F8EBD038458F}"/>
    <cellStyle name="Style 87 3 2 2 2 11 2" xfId="35088" xr:uid="{646779DE-1976-43E0-8084-03F038B8C32D}"/>
    <cellStyle name="Style 87 3 2 2 2 12" xfId="16496" xr:uid="{19E9ADDC-9B48-42AA-9512-28561256B605}"/>
    <cellStyle name="Style 87 3 2 2 2 12 2" xfId="35089" xr:uid="{A2A6C579-8BA9-422F-8397-2AC753F858C7}"/>
    <cellStyle name="Style 87 3 2 2 2 13" xfId="16497" xr:uid="{B13379E1-9582-45C0-8290-E4C6638E6079}"/>
    <cellStyle name="Style 87 3 2 2 2 13 2" xfId="35090" xr:uid="{B7AC625E-F560-4BB3-8D96-0ACC2203D199}"/>
    <cellStyle name="Style 87 3 2 2 2 14" xfId="16498" xr:uid="{0ACF262B-2252-4805-B4F0-0A1E3F1CF368}"/>
    <cellStyle name="Style 87 3 2 2 2 14 2" xfId="35091" xr:uid="{2E1149FE-D409-4079-8857-E11AAE28777B}"/>
    <cellStyle name="Style 87 3 2 2 2 2" xfId="3655" xr:uid="{E65F7D92-ADDD-4FE8-918C-44F454C14780}"/>
    <cellStyle name="Style 87 3 2 2 2 2 10" xfId="16499" xr:uid="{3F9664F0-49E7-4D29-8D38-78E2D0BFDD4E}"/>
    <cellStyle name="Style 87 3 2 2 2 2 10 2" xfId="35092" xr:uid="{6D66A212-C2A5-4044-9F83-62D6427EF3EA}"/>
    <cellStyle name="Style 87 3 2 2 2 2 11" xfId="16500" xr:uid="{A2464F60-EB42-4E32-9598-4B716C7AFC22}"/>
    <cellStyle name="Style 87 3 2 2 2 2 11 2" xfId="35093" xr:uid="{A800FD6C-9CAE-4D6E-B9D2-EDF8F9EBDCF1}"/>
    <cellStyle name="Style 87 3 2 2 2 2 12" xfId="16501" xr:uid="{3E42E6B5-8A13-4C93-8C53-2E34EE56305B}"/>
    <cellStyle name="Style 87 3 2 2 2 2 12 2" xfId="35094" xr:uid="{20C0F72F-AEB6-4E65-A893-2B06DABC2A44}"/>
    <cellStyle name="Style 87 3 2 2 2 2 2" xfId="7393" xr:uid="{EBC2A7B8-655D-4165-9E1F-BFF4F3794925}"/>
    <cellStyle name="Style 87 3 2 2 2 2 2 2" xfId="16502" xr:uid="{30F79104-C82E-4374-8F9C-BB32CD23E3F8}"/>
    <cellStyle name="Style 87 3 2 2 2 2 2 2 2" xfId="35095" xr:uid="{507DBF77-D680-4BE7-AD38-FE883AC8F75E}"/>
    <cellStyle name="Style 87 3 2 2 2 2 2 3" xfId="16503" xr:uid="{9B25B8DF-A29B-4EAF-9CEC-9906C72BD7E3}"/>
    <cellStyle name="Style 87 3 2 2 2 2 2 3 2" xfId="35096" xr:uid="{25F9E729-CEFA-4659-8CBC-28FEA354F902}"/>
    <cellStyle name="Style 87 3 2 2 2 2 3" xfId="16504" xr:uid="{547125D2-AD2B-40E4-941E-82B15F2501AA}"/>
    <cellStyle name="Style 87 3 2 2 2 2 3 2" xfId="16505" xr:uid="{A087A51C-5D81-4450-9732-F1CEC0C747AF}"/>
    <cellStyle name="Style 87 3 2 2 2 2 3 2 2" xfId="35097" xr:uid="{31B9492C-0E9B-47A0-B678-CCC6F67D4CF9}"/>
    <cellStyle name="Style 87 3 2 2 2 2 4" xfId="16506" xr:uid="{2A579102-60BF-4094-B54D-944D6BE21279}"/>
    <cellStyle name="Style 87 3 2 2 2 2 4 2" xfId="35098" xr:uid="{E8256EBE-2C6E-4539-B046-BE71D471B514}"/>
    <cellStyle name="Style 87 3 2 2 2 2 5" xfId="16507" xr:uid="{A8E76B17-5D21-4E21-B728-2548FFD02F01}"/>
    <cellStyle name="Style 87 3 2 2 2 2 5 2" xfId="35099" xr:uid="{BDFDB97D-AFC5-4FED-BB34-A798F740C902}"/>
    <cellStyle name="Style 87 3 2 2 2 2 6" xfId="16508" xr:uid="{18BA54F5-A5BD-48C1-B01D-CEB19DA7C065}"/>
    <cellStyle name="Style 87 3 2 2 2 2 6 2" xfId="35100" xr:uid="{05D3622C-BED5-48B4-9EE9-FB996BDC3EF4}"/>
    <cellStyle name="Style 87 3 2 2 2 2 7" xfId="16509" xr:uid="{53E5DFEF-3419-4B8A-AA57-514CC1F714D0}"/>
    <cellStyle name="Style 87 3 2 2 2 2 7 2" xfId="35101" xr:uid="{19314CEF-E0D2-4342-AC83-982EFDA0AAA0}"/>
    <cellStyle name="Style 87 3 2 2 2 2 8" xfId="16510" xr:uid="{4D4DD070-7C9D-402F-BCD6-2BE066668672}"/>
    <cellStyle name="Style 87 3 2 2 2 2 8 2" xfId="35102" xr:uid="{79D27EEB-E5E8-42F5-925B-DE3129C52B7D}"/>
    <cellStyle name="Style 87 3 2 2 2 2 9" xfId="16511" xr:uid="{4619637C-3421-4D25-A374-F8245298D89A}"/>
    <cellStyle name="Style 87 3 2 2 2 2 9 2" xfId="35103" xr:uid="{B7F245D4-AC9D-428F-905E-CC7CBAC6F382}"/>
    <cellStyle name="Style 87 3 2 2 2 3" xfId="7392" xr:uid="{0186634F-54EE-4F8C-ABED-BA48FB64AAC6}"/>
    <cellStyle name="Style 87 3 2 2 2 3 2" xfId="16512" xr:uid="{EC78B2AB-ADE1-4913-8121-BD8778B860FB}"/>
    <cellStyle name="Style 87 3 2 2 2 3 2 2" xfId="35104" xr:uid="{B2DB8223-A3FD-45D2-B98A-CB65FB169A1E}"/>
    <cellStyle name="Style 87 3 2 2 2 3 3" xfId="16513" xr:uid="{00949013-AB79-4854-955D-D1F59D7CA6EE}"/>
    <cellStyle name="Style 87 3 2 2 2 3 3 2" xfId="35105" xr:uid="{C67A6A8F-0D26-4046-B6D2-6924ADF293FB}"/>
    <cellStyle name="Style 87 3 2 2 2 4" xfId="16514" xr:uid="{B2722898-8695-4884-AC7B-0EE6466F6889}"/>
    <cellStyle name="Style 87 3 2 2 2 4 2" xfId="16515" xr:uid="{1C6E9C0D-FE7A-4F74-8B88-AB5BC9C6AABA}"/>
    <cellStyle name="Style 87 3 2 2 2 4 2 2" xfId="35106" xr:uid="{38A148C3-5926-40F0-9D4F-15B838B93A68}"/>
    <cellStyle name="Style 87 3 2 2 2 5" xfId="16516" xr:uid="{F7739C86-EAD9-42C9-876E-36B074027FE0}"/>
    <cellStyle name="Style 87 3 2 2 2 5 2" xfId="35107" xr:uid="{30739811-EBC5-4E56-A381-5017FEDA1C41}"/>
    <cellStyle name="Style 87 3 2 2 2 6" xfId="16517" xr:uid="{049B5C25-C4E9-41F6-BFAD-340110165FD7}"/>
    <cellStyle name="Style 87 3 2 2 2 6 2" xfId="35108" xr:uid="{A6D428D1-8E7B-4FDF-BD90-640873EEB2A5}"/>
    <cellStyle name="Style 87 3 2 2 2 7" xfId="16518" xr:uid="{FB26408B-BECA-4F51-8EBB-700CD01C6D17}"/>
    <cellStyle name="Style 87 3 2 2 2 7 2" xfId="35109" xr:uid="{000C90AD-2884-4EED-BD96-A74EC81F2A43}"/>
    <cellStyle name="Style 87 3 2 2 2 8" xfId="16519" xr:uid="{73F0C75D-804C-458D-BC84-E5EC5D9075F3}"/>
    <cellStyle name="Style 87 3 2 2 2 8 2" xfId="35110" xr:uid="{9E5F1EB5-9949-4576-9F4D-7057CA578F68}"/>
    <cellStyle name="Style 87 3 2 2 2 9" xfId="16520" xr:uid="{CAC23221-0742-4CB1-B652-1F5C8684F003}"/>
    <cellStyle name="Style 87 3 2 2 2 9 2" xfId="35111" xr:uid="{888B7754-3991-43FC-97AF-5A9F478F92BF}"/>
    <cellStyle name="Style 87 3 2 2 3" xfId="3656" xr:uid="{1EACD1DB-8D4B-4C6D-AEDA-B88586F8466A}"/>
    <cellStyle name="Style 87 3 2 2 3 10" xfId="16521" xr:uid="{5B12D38A-47F6-4849-8456-F58E29B4E4F6}"/>
    <cellStyle name="Style 87 3 2 2 3 10 2" xfId="35112" xr:uid="{A8B4FFDB-3A3D-4842-81D9-9469EA8B0D6C}"/>
    <cellStyle name="Style 87 3 2 2 3 11" xfId="16522" xr:uid="{4B863595-5132-48C8-870A-2C161FD07DA8}"/>
    <cellStyle name="Style 87 3 2 2 3 11 2" xfId="35113" xr:uid="{75E8356A-39DF-45E2-A376-026CC9DC4473}"/>
    <cellStyle name="Style 87 3 2 2 3 12" xfId="16523" xr:uid="{3C0D3519-123E-4871-8218-AA50C140B6E4}"/>
    <cellStyle name="Style 87 3 2 2 3 12 2" xfId="35114" xr:uid="{6CED13CF-B513-4379-8E9E-7BB11097639D}"/>
    <cellStyle name="Style 87 3 2 2 3 2" xfId="7394" xr:uid="{1BCAD1E9-2513-4DC8-BB00-FFA4E0AF9E33}"/>
    <cellStyle name="Style 87 3 2 2 3 2 2" xfId="16524" xr:uid="{DD7DAA4D-91C6-4FD9-B40A-7FE8020E8E3B}"/>
    <cellStyle name="Style 87 3 2 2 3 2 2 2" xfId="35115" xr:uid="{77F8A1EE-8D9D-4DA9-8DA7-4BA9CFA536CD}"/>
    <cellStyle name="Style 87 3 2 2 3 2 3" xfId="16525" xr:uid="{BE0C6627-29B8-4E8A-A140-BFC4106CA8CD}"/>
    <cellStyle name="Style 87 3 2 2 3 2 3 2" xfId="35116" xr:uid="{325399AD-400A-4DC6-9758-9F5FA663C244}"/>
    <cellStyle name="Style 87 3 2 2 3 3" xfId="16526" xr:uid="{070D7C2C-891B-41E9-AD91-6CCF61CD965C}"/>
    <cellStyle name="Style 87 3 2 2 3 3 2" xfId="16527" xr:uid="{4BA2AE19-FD7A-4781-8707-0688352F9ABA}"/>
    <cellStyle name="Style 87 3 2 2 3 3 2 2" xfId="35117" xr:uid="{DE9387E3-04B7-4F8D-A8D7-019B6FE12DC1}"/>
    <cellStyle name="Style 87 3 2 2 3 4" xfId="16528" xr:uid="{137176E8-484D-4404-B151-A756D867B202}"/>
    <cellStyle name="Style 87 3 2 2 3 4 2" xfId="35118" xr:uid="{7A52D0DF-A99F-4514-A83A-D8B39B57EE3A}"/>
    <cellStyle name="Style 87 3 2 2 3 5" xfId="16529" xr:uid="{EE3D8C88-9BC5-4D40-AF51-FCF387917848}"/>
    <cellStyle name="Style 87 3 2 2 3 5 2" xfId="35119" xr:uid="{8F6A9945-C1B9-40EE-83CF-917205AF9F6C}"/>
    <cellStyle name="Style 87 3 2 2 3 6" xfId="16530" xr:uid="{E4185020-3A0C-4969-B423-C7E7B9F2EBE9}"/>
    <cellStyle name="Style 87 3 2 2 3 6 2" xfId="35120" xr:uid="{574D1EDE-966D-4BD9-A412-6B826228667D}"/>
    <cellStyle name="Style 87 3 2 2 3 7" xfId="16531" xr:uid="{4F0D45C1-E791-4A1E-88B8-286E8FE5AC16}"/>
    <cellStyle name="Style 87 3 2 2 3 7 2" xfId="35121" xr:uid="{F9D6E7F8-6C73-44ED-A223-7FAC6B3B71E8}"/>
    <cellStyle name="Style 87 3 2 2 3 8" xfId="16532" xr:uid="{232AD364-AAAF-4561-878E-8B1F2AB8AA22}"/>
    <cellStyle name="Style 87 3 2 2 3 8 2" xfId="35122" xr:uid="{806E10A4-91F7-458A-9602-57FFF9C58EB4}"/>
    <cellStyle name="Style 87 3 2 2 3 9" xfId="16533" xr:uid="{A91D1925-4CF1-459D-8607-E608590E7F03}"/>
    <cellStyle name="Style 87 3 2 2 3 9 2" xfId="35123" xr:uid="{5388A193-69F3-45A3-98AD-E895761A99D8}"/>
    <cellStyle name="Style 87 3 2 2 4" xfId="7391" xr:uid="{00943ACA-4CAB-4733-A985-990FFB6C3168}"/>
    <cellStyle name="Style 87 3 2 2 4 2" xfId="16534" xr:uid="{535429EA-8901-44D3-AB6A-6EFC60AD392A}"/>
    <cellStyle name="Style 87 3 2 2 4 2 2" xfId="35124" xr:uid="{A430B663-4086-4EBD-AFAD-A156C006D68B}"/>
    <cellStyle name="Style 87 3 2 2 4 3" xfId="16535" xr:uid="{EA292C48-A1CA-409F-BD1E-D34F40CEA140}"/>
    <cellStyle name="Style 87 3 2 2 4 3 2" xfId="35125" xr:uid="{E94E7258-8795-4C3A-9FFF-D010D84FCA79}"/>
    <cellStyle name="Style 87 3 2 2 5" xfId="16536" xr:uid="{A2C024B6-80A0-4534-9D4B-2F04DF8F4CDD}"/>
    <cellStyle name="Style 87 3 2 2 5 2" xfId="16537" xr:uid="{B535B352-171C-4CC1-8042-31971777D461}"/>
    <cellStyle name="Style 87 3 2 2 5 2 2" xfId="35126" xr:uid="{2FB36CB9-32A9-4ABD-B8BE-D72425813D1F}"/>
    <cellStyle name="Style 87 3 2 2 6" xfId="16538" xr:uid="{2849737C-10FD-4815-874E-F1AA3BE89C4B}"/>
    <cellStyle name="Style 87 3 2 2 6 2" xfId="35127" xr:uid="{413E6C65-F3E9-4025-8FC1-782DA0D423C4}"/>
    <cellStyle name="Style 87 3 2 2 7" xfId="16539" xr:uid="{FCE67C2E-FF4F-4086-A44A-A258DE192B4E}"/>
    <cellStyle name="Style 87 3 2 2 7 2" xfId="35128" xr:uid="{7CB89D35-D6BC-498A-AFF1-2DFE9BF53EBA}"/>
    <cellStyle name="Style 87 3 2 2 8" xfId="16540" xr:uid="{A51305A6-49C8-4CEB-B882-506F668327F5}"/>
    <cellStyle name="Style 87 3 2 2 8 2" xfId="35129" xr:uid="{1A843B89-E861-443E-A4C9-C6EF967BBDFD}"/>
    <cellStyle name="Style 87 3 2 2 9" xfId="16541" xr:uid="{E3DCC11C-48DA-44BF-B675-4E06E88E8773}"/>
    <cellStyle name="Style 87 3 2 2 9 2" xfId="35130" xr:uid="{7A14622C-F947-41AB-844A-01FF13B08A2B}"/>
    <cellStyle name="Style 87 3 2 3" xfId="3657" xr:uid="{D807E5EC-B5B6-4A30-8564-8E7A628C1B37}"/>
    <cellStyle name="Style 87 3 2 3 10" xfId="16542" xr:uid="{261759CA-E407-4C17-98AE-29B1E7F939F0}"/>
    <cellStyle name="Style 87 3 2 3 10 2" xfId="35131" xr:uid="{EC6033F4-2C2F-45DB-B456-DB99AAE4BA37}"/>
    <cellStyle name="Style 87 3 2 3 11" xfId="16543" xr:uid="{EB340F0B-9229-4FD0-8C83-D095AC400A12}"/>
    <cellStyle name="Style 87 3 2 3 11 2" xfId="35132" xr:uid="{7C4292DD-3DD7-4511-9ACE-92F94F2295D7}"/>
    <cellStyle name="Style 87 3 2 3 12" xfId="16544" xr:uid="{0651413A-63E8-49C1-9C98-E191AED1C834}"/>
    <cellStyle name="Style 87 3 2 3 12 2" xfId="35133" xr:uid="{5D31D83C-2C06-42D5-8D0D-926EDDA282C8}"/>
    <cellStyle name="Style 87 3 2 3 13" xfId="16545" xr:uid="{EF7BE6E9-4E33-4CFE-98F9-578E905618BB}"/>
    <cellStyle name="Style 87 3 2 3 13 2" xfId="35134" xr:uid="{CEF4CCCA-F72B-432F-8789-651F5979C2F5}"/>
    <cellStyle name="Style 87 3 2 3 14" xfId="16546" xr:uid="{427EEBB6-B586-4AB3-B883-8E71A0F1E5EA}"/>
    <cellStyle name="Style 87 3 2 3 14 2" xfId="35135" xr:uid="{02F00477-0D9C-4A4F-A3A6-3A9E6FF6DA9E}"/>
    <cellStyle name="Style 87 3 2 3 2" xfId="3658" xr:uid="{665BD362-FD82-4F89-B3B1-9D7DFFA83521}"/>
    <cellStyle name="Style 87 3 2 3 2 10" xfId="16547" xr:uid="{3476241F-DEB5-4210-84C0-DF4355698382}"/>
    <cellStyle name="Style 87 3 2 3 2 10 2" xfId="35136" xr:uid="{2B3758A6-3369-461C-9008-1FEAB739AAD9}"/>
    <cellStyle name="Style 87 3 2 3 2 11" xfId="16548" xr:uid="{7492C282-809B-4239-AA5A-1E398B514D8E}"/>
    <cellStyle name="Style 87 3 2 3 2 11 2" xfId="35137" xr:uid="{55ED590A-96B5-4DF6-80AA-352F4C3B208B}"/>
    <cellStyle name="Style 87 3 2 3 2 12" xfId="16549" xr:uid="{2D8AD67D-88A6-43C9-B984-1A4A56C70286}"/>
    <cellStyle name="Style 87 3 2 3 2 12 2" xfId="35138" xr:uid="{D16351E3-48FC-48F8-B06B-BB5CBDCEF5B6}"/>
    <cellStyle name="Style 87 3 2 3 2 2" xfId="7396" xr:uid="{E8BFD1B3-DB52-4B6D-A473-1CE154A48C25}"/>
    <cellStyle name="Style 87 3 2 3 2 2 2" xfId="16550" xr:uid="{00F25826-7FE8-4695-974A-99CE22B2D461}"/>
    <cellStyle name="Style 87 3 2 3 2 2 2 2" xfId="35139" xr:uid="{1AB71AF9-8D76-411B-AA21-A20FB88D0A3A}"/>
    <cellStyle name="Style 87 3 2 3 2 2 3" xfId="16551" xr:uid="{E7C8F13D-90F0-4A31-8D52-8EF7E2DD8BA7}"/>
    <cellStyle name="Style 87 3 2 3 2 2 3 2" xfId="35140" xr:uid="{399AABE7-063E-4384-B477-CC793E1313D1}"/>
    <cellStyle name="Style 87 3 2 3 2 3" xfId="16552" xr:uid="{6BFBD030-6D0D-457D-B7DD-384BB54F4CDA}"/>
    <cellStyle name="Style 87 3 2 3 2 3 2" xfId="16553" xr:uid="{9A3C910D-17A1-443F-BD8C-509459DB6A1B}"/>
    <cellStyle name="Style 87 3 2 3 2 3 2 2" xfId="35141" xr:uid="{20C93928-B3F9-431D-A776-21F7A27C28B9}"/>
    <cellStyle name="Style 87 3 2 3 2 4" xfId="16554" xr:uid="{84913741-DB4E-4C6B-9887-CFBD74CF7DB6}"/>
    <cellStyle name="Style 87 3 2 3 2 4 2" xfId="35142" xr:uid="{EAC73599-91A9-4A32-B027-5921DB651E88}"/>
    <cellStyle name="Style 87 3 2 3 2 5" xfId="16555" xr:uid="{BA8607ED-8BD2-49D8-849E-6A2C28A79080}"/>
    <cellStyle name="Style 87 3 2 3 2 5 2" xfId="35143" xr:uid="{669B6B83-AF59-45B6-B8D8-8B2A9E09993A}"/>
    <cellStyle name="Style 87 3 2 3 2 6" xfId="16556" xr:uid="{6BB33867-D291-4720-AB4A-9220CAA1659E}"/>
    <cellStyle name="Style 87 3 2 3 2 6 2" xfId="35144" xr:uid="{34C928E6-2FB1-4737-BB36-369B07C53CDF}"/>
    <cellStyle name="Style 87 3 2 3 2 7" xfId="16557" xr:uid="{16AAFC8E-7AA1-42E2-8422-F029EBD0B1EA}"/>
    <cellStyle name="Style 87 3 2 3 2 7 2" xfId="35145" xr:uid="{CD4F05BD-C7CA-4869-B938-54A33F5A75C8}"/>
    <cellStyle name="Style 87 3 2 3 2 8" xfId="16558" xr:uid="{A55D2580-C492-4C06-9BD9-C57280B06E5B}"/>
    <cellStyle name="Style 87 3 2 3 2 8 2" xfId="35146" xr:uid="{E618F8D4-A2A7-4CCB-A424-B386A24EFB56}"/>
    <cellStyle name="Style 87 3 2 3 2 9" xfId="16559" xr:uid="{EC6DC437-3506-45B8-842B-A0B4DACF51DE}"/>
    <cellStyle name="Style 87 3 2 3 2 9 2" xfId="35147" xr:uid="{FD17EFC8-E570-4416-BA83-59A8071406A0}"/>
    <cellStyle name="Style 87 3 2 3 3" xfId="7395" xr:uid="{4A361889-800C-4280-A0F0-685753BCB767}"/>
    <cellStyle name="Style 87 3 2 3 3 2" xfId="16560" xr:uid="{659080A5-8EFA-4914-9128-057FDC265435}"/>
    <cellStyle name="Style 87 3 2 3 3 2 2" xfId="35148" xr:uid="{369423B4-0ADE-40E0-989C-F91129B80EA0}"/>
    <cellStyle name="Style 87 3 2 3 3 3" xfId="16561" xr:uid="{6008D2D3-132D-4278-833E-2A9C76279977}"/>
    <cellStyle name="Style 87 3 2 3 3 3 2" xfId="35149" xr:uid="{625BBC2C-C178-4B63-BFD5-72DBD87C6A54}"/>
    <cellStyle name="Style 87 3 2 3 4" xfId="16562" xr:uid="{D8C9F5DA-BA82-4B65-8B9A-24BBF234B504}"/>
    <cellStyle name="Style 87 3 2 3 4 2" xfId="16563" xr:uid="{BA6010AC-DEF5-40D6-9899-27ACFDE53DFC}"/>
    <cellStyle name="Style 87 3 2 3 4 2 2" xfId="35150" xr:uid="{43FFA172-0372-4D38-B7F5-13BE9BC0336C}"/>
    <cellStyle name="Style 87 3 2 3 5" xfId="16564" xr:uid="{BFE9197E-E60C-44B6-BDEF-5ADE85C38338}"/>
    <cellStyle name="Style 87 3 2 3 5 2" xfId="35151" xr:uid="{52436041-8EF2-45FF-BFF3-AFC4C9BEF54F}"/>
    <cellStyle name="Style 87 3 2 3 6" xfId="16565" xr:uid="{3263E64C-E573-48B9-93BC-4EDAA1148250}"/>
    <cellStyle name="Style 87 3 2 3 6 2" xfId="35152" xr:uid="{485205A6-BBC2-4C20-AB53-B6FAA46B7FF9}"/>
    <cellStyle name="Style 87 3 2 3 7" xfId="16566" xr:uid="{1E163044-3263-4F02-B412-A71B97C9033D}"/>
    <cellStyle name="Style 87 3 2 3 7 2" xfId="35153" xr:uid="{2C1A0B9E-D84E-4E2C-9F46-3FBAC0370478}"/>
    <cellStyle name="Style 87 3 2 3 8" xfId="16567" xr:uid="{03B76DAD-2B86-4BB1-8009-A94A2F2BE4EA}"/>
    <cellStyle name="Style 87 3 2 3 8 2" xfId="35154" xr:uid="{C34F262F-95A4-459B-A78A-39D0C8717C25}"/>
    <cellStyle name="Style 87 3 2 3 9" xfId="16568" xr:uid="{51D2AD5A-26C1-4F3D-9E2A-787D098248D5}"/>
    <cellStyle name="Style 87 3 2 3 9 2" xfId="35155" xr:uid="{26233163-69DA-49A5-908C-0CB2B1CB88BB}"/>
    <cellStyle name="Style 87 3 2 4" xfId="3659" xr:uid="{24A01974-1E38-4ED4-AEE9-6D64582E3E40}"/>
    <cellStyle name="Style 87 3 2 4 10" xfId="16569" xr:uid="{46865CA4-B2A0-402E-B906-820EDEB12AFC}"/>
    <cellStyle name="Style 87 3 2 4 10 2" xfId="35156" xr:uid="{CA855426-889A-458F-9E22-9077D4105727}"/>
    <cellStyle name="Style 87 3 2 4 11" xfId="16570" xr:uid="{82D63840-7F1B-4F1E-BD26-C9EFA884EBDC}"/>
    <cellStyle name="Style 87 3 2 4 11 2" xfId="35157" xr:uid="{D2483A23-6E13-49A6-8F8A-56A71CE7D01F}"/>
    <cellStyle name="Style 87 3 2 4 12" xfId="16571" xr:uid="{0F4C40FD-FE68-42C3-AE00-D3FBA016586C}"/>
    <cellStyle name="Style 87 3 2 4 12 2" xfId="35158" xr:uid="{8E893466-1DC7-4497-AEE8-6F5D1444C762}"/>
    <cellStyle name="Style 87 3 2 4 2" xfId="7397" xr:uid="{CEC16AF8-EA29-4A04-A810-27DE34B2DF86}"/>
    <cellStyle name="Style 87 3 2 4 2 2" xfId="16572" xr:uid="{601059B5-55AB-4840-AAAD-F993E3F2CF2F}"/>
    <cellStyle name="Style 87 3 2 4 2 2 2" xfId="35159" xr:uid="{6FDA3E2D-3A38-4D8D-BA21-CE506A21084A}"/>
    <cellStyle name="Style 87 3 2 4 2 3" xfId="16573" xr:uid="{C435EC80-E494-4DFE-9835-7C736DA4C953}"/>
    <cellStyle name="Style 87 3 2 4 2 3 2" xfId="35160" xr:uid="{EFC4FEBE-F957-4756-8B1D-021A7C239176}"/>
    <cellStyle name="Style 87 3 2 4 3" xfId="16574" xr:uid="{952CF480-DCAA-418C-8E97-F7EF9CFAB687}"/>
    <cellStyle name="Style 87 3 2 4 3 2" xfId="16575" xr:uid="{B97B83D8-E263-4F4B-B52B-9D65E070EBD6}"/>
    <cellStyle name="Style 87 3 2 4 3 2 2" xfId="35161" xr:uid="{FE3A69C0-C2FE-4276-AE1D-7C6ECE33D47B}"/>
    <cellStyle name="Style 87 3 2 4 4" xfId="16576" xr:uid="{0AF3940F-A9E5-4DE9-81D1-01B09BBFDE8B}"/>
    <cellStyle name="Style 87 3 2 4 4 2" xfId="35162" xr:uid="{8727D384-D5AC-456C-ACC4-13728B94E736}"/>
    <cellStyle name="Style 87 3 2 4 5" xfId="16577" xr:uid="{14C53606-43EC-480E-9B21-D58D47955B06}"/>
    <cellStyle name="Style 87 3 2 4 5 2" xfId="35163" xr:uid="{BB9AAC7F-A48A-401F-A0A9-40961A56F756}"/>
    <cellStyle name="Style 87 3 2 4 6" xfId="16578" xr:uid="{E370AA30-BDC0-47D5-8CE7-35086C66BDE5}"/>
    <cellStyle name="Style 87 3 2 4 6 2" xfId="35164" xr:uid="{ABBA2215-0D79-41E1-9638-5DFC10C28AA4}"/>
    <cellStyle name="Style 87 3 2 4 7" xfId="16579" xr:uid="{C7CA67AA-7F31-4891-85EA-43B1C6CD0FC4}"/>
    <cellStyle name="Style 87 3 2 4 7 2" xfId="35165" xr:uid="{8110BAF1-0D08-4222-9D5B-58DB5A61837C}"/>
    <cellStyle name="Style 87 3 2 4 8" xfId="16580" xr:uid="{F65FE884-F910-4540-8B08-0BD42451F040}"/>
    <cellStyle name="Style 87 3 2 4 8 2" xfId="35166" xr:uid="{C833DCF3-F05D-4025-8F56-5F9094EB462D}"/>
    <cellStyle name="Style 87 3 2 4 9" xfId="16581" xr:uid="{2916C0DC-77A1-486D-8A4A-2BEE32AB8503}"/>
    <cellStyle name="Style 87 3 2 4 9 2" xfId="35167" xr:uid="{EF91D75F-5C90-4092-BC00-0960842593D6}"/>
    <cellStyle name="Style 87 3 2 5" xfId="7390" xr:uid="{309FEFF4-A620-4CDC-B307-7E0005C1DA4D}"/>
    <cellStyle name="Style 87 3 2 5 2" xfId="16582" xr:uid="{32B6D558-67CC-481C-B314-76C42419022C}"/>
    <cellStyle name="Style 87 3 2 5 2 2" xfId="35168" xr:uid="{A9104CF1-F398-43AF-9062-70C54276B558}"/>
    <cellStyle name="Style 87 3 2 5 3" xfId="16583" xr:uid="{7E21936F-6BB8-4AB6-B4D8-57631BF77FDE}"/>
    <cellStyle name="Style 87 3 2 5 3 2" xfId="35169" xr:uid="{F24E5B46-F81E-46B6-9430-CF113A3FB5DB}"/>
    <cellStyle name="Style 87 3 2 6" xfId="16584" xr:uid="{CC495572-A49A-49BE-9704-88F9F5BF7BCF}"/>
    <cellStyle name="Style 87 3 2 6 2" xfId="16585" xr:uid="{4C3D7037-DAAB-47C5-8F7F-B0DBF7E8D59D}"/>
    <cellStyle name="Style 87 3 2 6 2 2" xfId="35170" xr:uid="{96842DE4-292F-44BA-B60F-602592099675}"/>
    <cellStyle name="Style 87 3 2 7" xfId="16586" xr:uid="{5579A519-834A-43A6-98FF-2B9D0E5F704F}"/>
    <cellStyle name="Style 87 3 2 7 2" xfId="35171" xr:uid="{C2C91EBF-B5F6-4A8B-B6B4-ADCAE549E43A}"/>
    <cellStyle name="Style 87 3 2 8" xfId="16587" xr:uid="{5F2B4EBB-5CAA-46FE-9BBA-6D49390FEF02}"/>
    <cellStyle name="Style 87 3 2 8 2" xfId="35172" xr:uid="{C799AA2E-4782-4D48-9A18-2C27E6008C8C}"/>
    <cellStyle name="Style 87 3 2 9" xfId="16588" xr:uid="{2C96ED25-3FAD-45F3-A515-3367FBB9A3DB}"/>
    <cellStyle name="Style 87 3 2 9 2" xfId="35173" xr:uid="{0B6C2F7A-0DED-472B-84BB-C652345B843F}"/>
    <cellStyle name="Style 87 3 3" xfId="3660" xr:uid="{E7BA0395-AB4C-4A8F-AA27-60D0CBA75F47}"/>
    <cellStyle name="Style 87 3 3 10" xfId="16589" xr:uid="{99472E0A-7415-4F6D-9DD3-32061CD1A7E5}"/>
    <cellStyle name="Style 87 3 3 10 2" xfId="35174" xr:uid="{5061F54D-16B3-450B-8B00-C410000C00E5}"/>
    <cellStyle name="Style 87 3 3 11" xfId="16590" xr:uid="{37470A2C-C1F3-4871-9BD1-BC425FF6354E}"/>
    <cellStyle name="Style 87 3 3 11 2" xfId="35175" xr:uid="{1F21550A-BF48-4B7D-871B-B78D3FA161E4}"/>
    <cellStyle name="Style 87 3 3 12" xfId="16591" xr:uid="{59C28791-5EF1-48AA-9D51-03B3BB0DF56C}"/>
    <cellStyle name="Style 87 3 3 12 2" xfId="35176" xr:uid="{75486548-24CC-40C0-91A3-F3AFA5CCC93C}"/>
    <cellStyle name="Style 87 3 3 13" xfId="16592" xr:uid="{388A6D9F-E644-44CD-BDAF-14207A9DDADF}"/>
    <cellStyle name="Style 87 3 3 13 2" xfId="35177" xr:uid="{036A047B-F803-4906-89B6-3598170C0074}"/>
    <cellStyle name="Style 87 3 3 14" xfId="16593" xr:uid="{21C348B8-2E17-4430-8D8F-FCA4490628F7}"/>
    <cellStyle name="Style 87 3 3 14 2" xfId="35178" xr:uid="{84923A56-4D0A-4206-BF88-52E39B2325E3}"/>
    <cellStyle name="Style 87 3 3 15" xfId="16594" xr:uid="{2FD2CF75-7058-4FAB-8FFD-D8B10B0CED28}"/>
    <cellStyle name="Style 87 3 3 15 2" xfId="35179" xr:uid="{0BDA09B0-888D-4DB7-9F3A-4E4900FCCC70}"/>
    <cellStyle name="Style 87 3 3 2" xfId="3661" xr:uid="{318DB681-A7FE-48F8-832D-8F688FE3F80B}"/>
    <cellStyle name="Style 87 3 3 2 10" xfId="16595" xr:uid="{6F0C78AA-70BA-453D-8A1B-388C4892E098}"/>
    <cellStyle name="Style 87 3 3 2 10 2" xfId="35180" xr:uid="{34EC155F-D963-4BE7-AC64-F0420A140419}"/>
    <cellStyle name="Style 87 3 3 2 11" xfId="16596" xr:uid="{4A1AD6F8-802D-4D53-93DB-7A98E2A51547}"/>
    <cellStyle name="Style 87 3 3 2 11 2" xfId="35181" xr:uid="{97820A53-A962-4C52-A3F8-9A2139A3A10E}"/>
    <cellStyle name="Style 87 3 3 2 12" xfId="16597" xr:uid="{49A781DA-B2C2-4166-AE40-080E33E5F124}"/>
    <cellStyle name="Style 87 3 3 2 12 2" xfId="35182" xr:uid="{F6C4A690-DFC8-4963-B4EC-482B90EF3E75}"/>
    <cellStyle name="Style 87 3 3 2 13" xfId="16598" xr:uid="{C206FB0D-4A15-4637-B46A-B493FC6F3BA0}"/>
    <cellStyle name="Style 87 3 3 2 13 2" xfId="35183" xr:uid="{50B7F2FF-E503-439B-8B55-01A59EFE9026}"/>
    <cellStyle name="Style 87 3 3 2 14" xfId="16599" xr:uid="{3F190FFB-24F6-494A-BB1C-CD802D0FDD04}"/>
    <cellStyle name="Style 87 3 3 2 14 2" xfId="35184" xr:uid="{AEDC40A6-0AE6-41CE-9588-0A4A5A8604F8}"/>
    <cellStyle name="Style 87 3 3 2 15" xfId="16600" xr:uid="{3915F5C2-E7E1-4285-8696-D8C2D20A59E6}"/>
    <cellStyle name="Style 87 3 3 2 15 2" xfId="35185" xr:uid="{4F3AA33D-D6AA-497B-A2AB-000557885936}"/>
    <cellStyle name="Style 87 3 3 2 2" xfId="3662" xr:uid="{B273FD0C-2A41-421D-9AD3-E79DC819521F}"/>
    <cellStyle name="Style 87 3 3 2 2 10" xfId="16601" xr:uid="{92CBA6F5-CD56-4B66-A773-946AC2C70A8A}"/>
    <cellStyle name="Style 87 3 3 2 2 10 2" xfId="35186" xr:uid="{45A687B0-E2C4-4807-9D74-D8633FC1C1BB}"/>
    <cellStyle name="Style 87 3 3 2 2 11" xfId="16602" xr:uid="{45FEE5D7-7552-4DF1-AD9C-8346CE590B51}"/>
    <cellStyle name="Style 87 3 3 2 2 11 2" xfId="35187" xr:uid="{B90413C9-0363-4F91-A8DE-B5DC07B90979}"/>
    <cellStyle name="Style 87 3 3 2 2 12" xfId="16603" xr:uid="{F5CE4138-9A35-44C8-9010-0D6451229585}"/>
    <cellStyle name="Style 87 3 3 2 2 12 2" xfId="35188" xr:uid="{A388DB94-D24B-4DA9-BB2A-E10F7448E814}"/>
    <cellStyle name="Style 87 3 3 2 2 13" xfId="16604" xr:uid="{D5D84008-8292-4DD5-984C-B4DB1DAF2C0B}"/>
    <cellStyle name="Style 87 3 3 2 2 13 2" xfId="35189" xr:uid="{0F4491A0-29CF-46EB-AFD7-A31E8FB62403}"/>
    <cellStyle name="Style 87 3 3 2 2 14" xfId="16605" xr:uid="{2DC9ED4A-F453-4632-8441-E1C86C297825}"/>
    <cellStyle name="Style 87 3 3 2 2 14 2" xfId="35190" xr:uid="{9D9E04D9-4FE8-42F3-A7ED-FFD9DC0682EF}"/>
    <cellStyle name="Style 87 3 3 2 2 2" xfId="3663" xr:uid="{DAA1DE76-96B4-41ED-84A1-1253F090CD21}"/>
    <cellStyle name="Style 87 3 3 2 2 2 10" xfId="16606" xr:uid="{204D220A-514C-40A2-80D5-59B93ABACB7E}"/>
    <cellStyle name="Style 87 3 3 2 2 2 10 2" xfId="35191" xr:uid="{D9AAFCF5-F27B-4D42-8539-02AC0BCE121D}"/>
    <cellStyle name="Style 87 3 3 2 2 2 11" xfId="16607" xr:uid="{983186D2-E96C-4D46-85E5-B4BDD074BE3A}"/>
    <cellStyle name="Style 87 3 3 2 2 2 11 2" xfId="35192" xr:uid="{BB961FAB-BC2A-466A-A0E6-D470DCE91A90}"/>
    <cellStyle name="Style 87 3 3 2 2 2 12" xfId="16608" xr:uid="{B4407D63-4320-46F9-85CE-CFF7BD6F88CA}"/>
    <cellStyle name="Style 87 3 3 2 2 2 12 2" xfId="35193" xr:uid="{8034C70C-55E4-4A57-B23F-2F5890868146}"/>
    <cellStyle name="Style 87 3 3 2 2 2 2" xfId="7401" xr:uid="{C6C75153-9307-461D-A8F9-32EB457D645A}"/>
    <cellStyle name="Style 87 3 3 2 2 2 2 2" xfId="16609" xr:uid="{A9AB289D-244C-400D-9962-52CA4658BDF7}"/>
    <cellStyle name="Style 87 3 3 2 2 2 2 2 2" xfId="35194" xr:uid="{875708A9-3DFF-4A01-95AB-15845BE37D84}"/>
    <cellStyle name="Style 87 3 3 2 2 2 2 3" xfId="16610" xr:uid="{0D3D2DE8-D5BA-485C-B62E-7F38B4ECE94F}"/>
    <cellStyle name="Style 87 3 3 2 2 2 2 3 2" xfId="35195" xr:uid="{F3E4A188-19A5-455F-8EC0-985A111FD48B}"/>
    <cellStyle name="Style 87 3 3 2 2 2 3" xfId="16611" xr:uid="{803DAC16-B460-4C4D-AE03-5159AB452B54}"/>
    <cellStyle name="Style 87 3 3 2 2 2 3 2" xfId="16612" xr:uid="{D0C0FAF8-F805-492B-AB1F-BC3128A63F8F}"/>
    <cellStyle name="Style 87 3 3 2 2 2 3 2 2" xfId="35196" xr:uid="{2FA898C0-ED08-4EE7-A010-625D0588A4FB}"/>
    <cellStyle name="Style 87 3 3 2 2 2 4" xfId="16613" xr:uid="{B6D74CA0-591A-4388-8165-C99A76B17FB7}"/>
    <cellStyle name="Style 87 3 3 2 2 2 4 2" xfId="35197" xr:uid="{0656835C-2154-4547-951C-C17B42393147}"/>
    <cellStyle name="Style 87 3 3 2 2 2 5" xfId="16614" xr:uid="{4DE1F4DD-8E0C-43DE-9C4D-055AD8A5B545}"/>
    <cellStyle name="Style 87 3 3 2 2 2 5 2" xfId="35198" xr:uid="{1B26F8C7-29D5-4353-A749-A6175F5A37CE}"/>
    <cellStyle name="Style 87 3 3 2 2 2 6" xfId="16615" xr:uid="{77557957-DEDE-4513-80BB-B4AEF5E3D40F}"/>
    <cellStyle name="Style 87 3 3 2 2 2 6 2" xfId="35199" xr:uid="{590B8733-3AEF-4454-AB58-2956D798470B}"/>
    <cellStyle name="Style 87 3 3 2 2 2 7" xfId="16616" xr:uid="{1A7FA660-0349-4F77-95FC-AA46279EFA9D}"/>
    <cellStyle name="Style 87 3 3 2 2 2 7 2" xfId="35200" xr:uid="{3E253FAE-A1CF-4C6D-B039-A19FC8B7E864}"/>
    <cellStyle name="Style 87 3 3 2 2 2 8" xfId="16617" xr:uid="{E184A064-BAE6-4221-9910-5ABE4DCFC35F}"/>
    <cellStyle name="Style 87 3 3 2 2 2 8 2" xfId="35201" xr:uid="{19598641-F303-49ED-88E3-81AF21E9C3AD}"/>
    <cellStyle name="Style 87 3 3 2 2 2 9" xfId="16618" xr:uid="{13AD2B27-9893-4CA7-9A00-4B0898114265}"/>
    <cellStyle name="Style 87 3 3 2 2 2 9 2" xfId="35202" xr:uid="{45CBC102-01A7-4E58-9CB9-3BEE6CB55BB4}"/>
    <cellStyle name="Style 87 3 3 2 2 3" xfId="7400" xr:uid="{FF6091D7-037C-4535-9E8A-0C97E45FF6B6}"/>
    <cellStyle name="Style 87 3 3 2 2 3 2" xfId="16619" xr:uid="{9608E7B2-3D44-4A99-9F0D-3016843FA4D4}"/>
    <cellStyle name="Style 87 3 3 2 2 3 2 2" xfId="35203" xr:uid="{8AF8B7A3-5883-4AD2-9EC2-EEC7D5ADE1D8}"/>
    <cellStyle name="Style 87 3 3 2 2 3 3" xfId="16620" xr:uid="{38AD77D1-2FE1-41D7-A945-B53860743221}"/>
    <cellStyle name="Style 87 3 3 2 2 3 3 2" xfId="35204" xr:uid="{F15B36F8-67F5-4B13-BC5B-0392182A47DF}"/>
    <cellStyle name="Style 87 3 3 2 2 4" xfId="16621" xr:uid="{47ECCC39-3ABF-44EC-BCF4-58F66A7E6DFA}"/>
    <cellStyle name="Style 87 3 3 2 2 4 2" xfId="16622" xr:uid="{9FAE3D1D-8992-484F-AD01-90AF02256774}"/>
    <cellStyle name="Style 87 3 3 2 2 4 2 2" xfId="35205" xr:uid="{69EF2E81-A816-4DE7-A052-54E8982023A8}"/>
    <cellStyle name="Style 87 3 3 2 2 5" xfId="16623" xr:uid="{A16761EC-7BB8-42F7-B311-F1372EC07AA2}"/>
    <cellStyle name="Style 87 3 3 2 2 5 2" xfId="35206" xr:uid="{C69C7222-552D-46BC-AACC-760478FA49AE}"/>
    <cellStyle name="Style 87 3 3 2 2 6" xfId="16624" xr:uid="{B1EC6B5A-A086-48FC-84CF-94B665FC64AE}"/>
    <cellStyle name="Style 87 3 3 2 2 6 2" xfId="35207" xr:uid="{572E09B4-AD0C-47C2-AA99-91C8523415B3}"/>
    <cellStyle name="Style 87 3 3 2 2 7" xfId="16625" xr:uid="{102A6689-8D76-4A47-A716-78851CAAF1A0}"/>
    <cellStyle name="Style 87 3 3 2 2 7 2" xfId="35208" xr:uid="{83561145-19B2-4772-B34C-FDC1B860B609}"/>
    <cellStyle name="Style 87 3 3 2 2 8" xfId="16626" xr:uid="{4A3EB99F-A8B6-460E-8D97-8AE7347CE823}"/>
    <cellStyle name="Style 87 3 3 2 2 8 2" xfId="35209" xr:uid="{882AE09C-8C3A-47C0-8E6C-EC086D9B3B45}"/>
    <cellStyle name="Style 87 3 3 2 2 9" xfId="16627" xr:uid="{A6537200-9C0B-48C6-9CBE-F53B9ED5EA04}"/>
    <cellStyle name="Style 87 3 3 2 2 9 2" xfId="35210" xr:uid="{8C5E06CF-D05E-47B5-8003-2CD249DD919A}"/>
    <cellStyle name="Style 87 3 3 2 3" xfId="3664" xr:uid="{1E397C3D-B4E6-47D5-840A-2AFA446E8B90}"/>
    <cellStyle name="Style 87 3 3 2 3 10" xfId="16628" xr:uid="{99950730-4779-4B78-B932-A78907F9B9B4}"/>
    <cellStyle name="Style 87 3 3 2 3 10 2" xfId="35211" xr:uid="{94E60C86-5896-46BA-B8D8-36EAF03B8E6A}"/>
    <cellStyle name="Style 87 3 3 2 3 11" xfId="16629" xr:uid="{F48041EA-185B-43BA-94FE-8FFB05D17056}"/>
    <cellStyle name="Style 87 3 3 2 3 11 2" xfId="35212" xr:uid="{3F231046-83AB-4F6A-BD79-3E4B2478586C}"/>
    <cellStyle name="Style 87 3 3 2 3 12" xfId="16630" xr:uid="{CA3105D6-61E4-49F1-B396-D7111C5ADC00}"/>
    <cellStyle name="Style 87 3 3 2 3 12 2" xfId="35213" xr:uid="{E85445A0-109B-42D3-A0B7-29030BC436EB}"/>
    <cellStyle name="Style 87 3 3 2 3 2" xfId="7402" xr:uid="{4E97001F-B8CE-496C-AB29-8EBDDB40D36D}"/>
    <cellStyle name="Style 87 3 3 2 3 2 2" xfId="16631" xr:uid="{BC5BD518-2DE9-405F-9788-BCB48DE64C65}"/>
    <cellStyle name="Style 87 3 3 2 3 2 2 2" xfId="35214" xr:uid="{C1BB3FD5-C425-4B59-B154-85319F9446F8}"/>
    <cellStyle name="Style 87 3 3 2 3 2 3" xfId="16632" xr:uid="{ED8D268B-4C4A-442E-8E81-9F90F0B8FFB1}"/>
    <cellStyle name="Style 87 3 3 2 3 2 3 2" xfId="35215" xr:uid="{19A8D681-3EAE-454A-8F5F-6A9A8EACFC03}"/>
    <cellStyle name="Style 87 3 3 2 3 3" xfId="16633" xr:uid="{4C3E7ABF-DE8C-4FEA-99A5-9AE27EE52D23}"/>
    <cellStyle name="Style 87 3 3 2 3 3 2" xfId="16634" xr:uid="{E2C288CD-1D1B-471F-845D-611B2044E349}"/>
    <cellStyle name="Style 87 3 3 2 3 3 2 2" xfId="35216" xr:uid="{D752F491-5823-4B87-99BC-F506A1F7F285}"/>
    <cellStyle name="Style 87 3 3 2 3 4" xfId="16635" xr:uid="{012BC559-3021-4F3A-BEF6-1337592D73AD}"/>
    <cellStyle name="Style 87 3 3 2 3 4 2" xfId="35217" xr:uid="{D7B7F9BD-D609-4494-A2FB-45942A7A3888}"/>
    <cellStyle name="Style 87 3 3 2 3 5" xfId="16636" xr:uid="{568245D6-802E-4DBD-BF5A-1A4EEB07BA7B}"/>
    <cellStyle name="Style 87 3 3 2 3 5 2" xfId="35218" xr:uid="{6D5E7C0F-99AD-4517-9CAF-D6707FFD74EA}"/>
    <cellStyle name="Style 87 3 3 2 3 6" xfId="16637" xr:uid="{9B03A50F-830E-4077-B18B-473DE04EF8B2}"/>
    <cellStyle name="Style 87 3 3 2 3 6 2" xfId="35219" xr:uid="{476F4337-D146-4C1C-84F4-AC934CDA10E9}"/>
    <cellStyle name="Style 87 3 3 2 3 7" xfId="16638" xr:uid="{FAF8ECC1-9E42-45A5-B785-8B539334DA18}"/>
    <cellStyle name="Style 87 3 3 2 3 7 2" xfId="35220" xr:uid="{CFB85E14-421E-4374-9EA0-8872D36CB362}"/>
    <cellStyle name="Style 87 3 3 2 3 8" xfId="16639" xr:uid="{72E60C21-3243-4947-9674-C3E6F5450007}"/>
    <cellStyle name="Style 87 3 3 2 3 8 2" xfId="35221" xr:uid="{66B6B421-7BFD-4FCD-B980-846966E8786E}"/>
    <cellStyle name="Style 87 3 3 2 3 9" xfId="16640" xr:uid="{6EDCE0EF-AAB7-4880-987A-86C64C9E23D0}"/>
    <cellStyle name="Style 87 3 3 2 3 9 2" xfId="35222" xr:uid="{1824B659-64E1-4DC9-9CC1-2B2E58EF7C00}"/>
    <cellStyle name="Style 87 3 3 2 4" xfId="7399" xr:uid="{3C16F1E3-6F68-4460-91E2-A8E62FF1F505}"/>
    <cellStyle name="Style 87 3 3 2 4 2" xfId="16641" xr:uid="{68ABA33C-63F3-4FD4-9752-7B800E626AA7}"/>
    <cellStyle name="Style 87 3 3 2 4 2 2" xfId="35223" xr:uid="{D5B96EEF-B740-4BD4-B8E1-7208BA060909}"/>
    <cellStyle name="Style 87 3 3 2 4 3" xfId="16642" xr:uid="{F701BCDF-2BE9-4F65-A21A-EF840D49A54A}"/>
    <cellStyle name="Style 87 3 3 2 4 3 2" xfId="35224" xr:uid="{861F9B5E-60C5-49C8-A845-EC8C723D7BC0}"/>
    <cellStyle name="Style 87 3 3 2 5" xfId="16643" xr:uid="{CF1D506A-85D3-4A19-9472-842E16447230}"/>
    <cellStyle name="Style 87 3 3 2 5 2" xfId="16644" xr:uid="{71957BAF-EDC6-41E8-B2EF-047459AA4464}"/>
    <cellStyle name="Style 87 3 3 2 5 2 2" xfId="35225" xr:uid="{2C88676A-8F8C-479C-B7D5-AF5546E99DD8}"/>
    <cellStyle name="Style 87 3 3 2 6" xfId="16645" xr:uid="{4D020398-510B-4A68-BA5B-F437A9779E2C}"/>
    <cellStyle name="Style 87 3 3 2 6 2" xfId="35226" xr:uid="{9089B059-60A9-47C2-A47C-EE3A77FA01A2}"/>
    <cellStyle name="Style 87 3 3 2 7" xfId="16646" xr:uid="{8B6C33CF-25D9-4692-88FB-A3AC2907E287}"/>
    <cellStyle name="Style 87 3 3 2 7 2" xfId="35227" xr:uid="{2B6877C4-237D-4FCE-96B6-FF8B6FE811EF}"/>
    <cellStyle name="Style 87 3 3 2 8" xfId="16647" xr:uid="{03DB895E-9803-4B7E-B063-6E6F59104356}"/>
    <cellStyle name="Style 87 3 3 2 8 2" xfId="35228" xr:uid="{487BE993-02F0-4D2F-B9D5-6CB1F3744A25}"/>
    <cellStyle name="Style 87 3 3 2 9" xfId="16648" xr:uid="{E8E7C078-E191-436C-A86D-68056827A99A}"/>
    <cellStyle name="Style 87 3 3 2 9 2" xfId="35229" xr:uid="{E03369EF-EACD-4575-9347-14CAF023873E}"/>
    <cellStyle name="Style 87 3 3 3" xfId="3665" xr:uid="{C1E703D2-3B14-4817-975D-2F3CD63970C7}"/>
    <cellStyle name="Style 87 3 3 3 10" xfId="16649" xr:uid="{16C3AD4C-FECA-403A-A136-E165DF063FE5}"/>
    <cellStyle name="Style 87 3 3 3 10 2" xfId="35230" xr:uid="{A1247889-FD8E-46DC-9C46-84AE01A7BEBF}"/>
    <cellStyle name="Style 87 3 3 3 11" xfId="16650" xr:uid="{7D22E9DB-15CB-4645-AB89-C560119D7D0B}"/>
    <cellStyle name="Style 87 3 3 3 11 2" xfId="35231" xr:uid="{411200CF-9872-4038-AB13-922F6B611654}"/>
    <cellStyle name="Style 87 3 3 3 12" xfId="16651" xr:uid="{1ADE122F-4735-4D19-B1BA-8FC703772866}"/>
    <cellStyle name="Style 87 3 3 3 12 2" xfId="35232" xr:uid="{CF178DEF-69EA-4E11-B5C4-B0214A6A5C19}"/>
    <cellStyle name="Style 87 3 3 3 13" xfId="16652" xr:uid="{65F0688E-0843-43B5-9489-AD95595F1BAF}"/>
    <cellStyle name="Style 87 3 3 3 13 2" xfId="35233" xr:uid="{D94CBDFA-49E7-49AD-8A7F-030B0A2F5DBC}"/>
    <cellStyle name="Style 87 3 3 3 2" xfId="7404" xr:uid="{AD49B5DA-4B41-4D1F-9E2B-93BDC7528756}"/>
    <cellStyle name="Style 87 3 3 3 2 2" xfId="16653" xr:uid="{8C15A538-9A9B-42D3-A970-48489230809B}"/>
    <cellStyle name="Style 87 3 3 3 2 2 2" xfId="35234" xr:uid="{2BBA14F6-2FC0-48A5-9C78-CF64A6FB3649}"/>
    <cellStyle name="Style 87 3 3 3 2 3" xfId="16654" xr:uid="{6ECD7109-CA2D-4CA2-9A3C-DE3146AB0B63}"/>
    <cellStyle name="Style 87 3 3 3 2 3 2" xfId="35235" xr:uid="{73CFBF74-B6D2-41AB-BEF6-F91070FD377F}"/>
    <cellStyle name="Style 87 3 3 3 3" xfId="7403" xr:uid="{B9F02CB4-9FE0-4E45-B9AF-61B48305394B}"/>
    <cellStyle name="Style 87 3 3 3 3 2" xfId="16655" xr:uid="{546A1FC7-5DB9-4CD1-A12D-8B7F6E360592}"/>
    <cellStyle name="Style 87 3 3 3 3 2 2" xfId="35236" xr:uid="{94D22112-EDE1-4560-BF24-F670AEECAB18}"/>
    <cellStyle name="Style 87 3 3 3 4" xfId="16656" xr:uid="{B3812509-7391-44C2-B014-78F3CEAD7C33}"/>
    <cellStyle name="Style 87 3 3 3 4 2" xfId="16657" xr:uid="{9237C60B-C08E-4B0C-BC93-3135C2322C66}"/>
    <cellStyle name="Style 87 3 3 3 4 2 2" xfId="35237" xr:uid="{704195D4-8BB4-406B-97A5-D21275F06956}"/>
    <cellStyle name="Style 87 3 3 3 5" xfId="16658" xr:uid="{898E56C8-6187-4F7E-940D-9A39F85520FC}"/>
    <cellStyle name="Style 87 3 3 3 5 2" xfId="35238" xr:uid="{A14D4FAB-0102-4F5C-85BF-AAB8797CF3B1}"/>
    <cellStyle name="Style 87 3 3 3 6" xfId="16659" xr:uid="{47242B1B-6EC7-4478-A1D6-A9C1D8906462}"/>
    <cellStyle name="Style 87 3 3 3 6 2" xfId="35239" xr:uid="{0D185E3F-2E93-46C5-B81A-A1E974C0D05C}"/>
    <cellStyle name="Style 87 3 3 3 7" xfId="16660" xr:uid="{2B046273-7D64-4808-AAF5-2FFCD9C3195C}"/>
    <cellStyle name="Style 87 3 3 3 7 2" xfId="35240" xr:uid="{ED5B1A35-BD4B-494A-99C1-A4A781714A53}"/>
    <cellStyle name="Style 87 3 3 3 8" xfId="16661" xr:uid="{3B660439-F778-4308-8FAB-E8AB72D04899}"/>
    <cellStyle name="Style 87 3 3 3 8 2" xfId="35241" xr:uid="{6FFC0445-8E2F-40CC-A541-B5EAB1D30ABE}"/>
    <cellStyle name="Style 87 3 3 3 9" xfId="16662" xr:uid="{FFD62D83-3BC6-4C1C-B236-2A36C777D960}"/>
    <cellStyle name="Style 87 3 3 3 9 2" xfId="35242" xr:uid="{5F8F4B2A-FC82-4C4D-9EB8-F8764FC16AF0}"/>
    <cellStyle name="Style 87 3 3 4" xfId="7405" xr:uid="{02C7B399-7C88-4C9F-B6E0-FBCDF271C6E3}"/>
    <cellStyle name="Style 87 3 3 4 2" xfId="16663" xr:uid="{F4975994-671F-4C3D-BFEA-5AFB4860B95E}"/>
    <cellStyle name="Style 87 3 3 4 2 2" xfId="35243" xr:uid="{B564CA7E-CABD-4BBB-94F4-D14AD6B6D14E}"/>
    <cellStyle name="Style 87 3 3 4 3" xfId="16664" xr:uid="{9D5D9540-C2A3-4032-AFAB-A6B1C5BB3196}"/>
    <cellStyle name="Style 87 3 3 4 3 2" xfId="35244" xr:uid="{EFEB1719-2060-4340-9AAE-38FC87E5CA79}"/>
    <cellStyle name="Style 87 3 3 5" xfId="7406" xr:uid="{373B17F2-D4E4-497B-81FC-8DDC39FAD32D}"/>
    <cellStyle name="Style 87 3 3 5 2" xfId="16665" xr:uid="{587FA9C8-ECE1-4AEB-A3B7-2AFD25B1AF10}"/>
    <cellStyle name="Style 87 3 3 5 2 2" xfId="35245" xr:uid="{5C4BE672-2ECC-48AA-BF87-0ABBCFAE2F90}"/>
    <cellStyle name="Style 87 3 3 6" xfId="7398" xr:uid="{EEB1FC4E-F2B5-40DE-A031-12B93DBA2867}"/>
    <cellStyle name="Style 87 3 3 6 2" xfId="16666" xr:uid="{39397390-C301-4101-AB9F-D8E4B41C8FC7}"/>
    <cellStyle name="Style 87 3 3 6 2 2" xfId="35246" xr:uid="{5C812B35-0DA1-4920-B668-331CD724E8B1}"/>
    <cellStyle name="Style 87 3 3 7" xfId="16667" xr:uid="{E5725155-1AA6-4524-842C-26CA064E6F98}"/>
    <cellStyle name="Style 87 3 3 7 2" xfId="16668" xr:uid="{67981C5A-E36E-46D6-8525-1563A2433F44}"/>
    <cellStyle name="Style 87 3 3 7 2 2" xfId="35247" xr:uid="{7139C791-1A2D-4929-8C8E-8D1DD2DEBC18}"/>
    <cellStyle name="Style 87 3 3 8" xfId="16669" xr:uid="{BD2CC411-27BB-4610-89DE-0CCF68295274}"/>
    <cellStyle name="Style 87 3 3 8 2" xfId="35248" xr:uid="{1B560EA1-F7C1-4776-BFF4-E96734230489}"/>
    <cellStyle name="Style 87 3 3 9" xfId="16670" xr:uid="{A50033EA-39BB-42B2-AE04-E87939519201}"/>
    <cellStyle name="Style 87 3 3 9 2" xfId="35249" xr:uid="{089518C0-26B9-4CB5-BAC6-14D6B5C1343F}"/>
    <cellStyle name="Style 87 3 4" xfId="3666" xr:uid="{6EF95D16-446A-45DE-A5A9-EEF5BEF2D03F}"/>
    <cellStyle name="Style 87 3 4 10" xfId="16671" xr:uid="{3CCCE7E2-5D64-4FBA-84EC-D568031C1DFF}"/>
    <cellStyle name="Style 87 3 4 10 2" xfId="35250" xr:uid="{4C8E4F0D-5597-4FD6-A41B-8791837FE918}"/>
    <cellStyle name="Style 87 3 4 11" xfId="16672" xr:uid="{64D6608A-A70E-4630-9490-6E9B4458698B}"/>
    <cellStyle name="Style 87 3 4 11 2" xfId="35251" xr:uid="{4704601A-56B6-4B5F-A8B6-266C2A31B1FE}"/>
    <cellStyle name="Style 87 3 4 12" xfId="16673" xr:uid="{BDA303C2-BD0B-4E16-A22B-67EE85B17E96}"/>
    <cellStyle name="Style 87 3 4 12 2" xfId="35252" xr:uid="{124F0E56-5554-463F-B232-FE5BA9CBEEAB}"/>
    <cellStyle name="Style 87 3 4 13" xfId="16674" xr:uid="{30AEFF91-9871-4370-AA89-ED490748AB9B}"/>
    <cellStyle name="Style 87 3 4 13 2" xfId="35253" xr:uid="{FBE84687-5F98-49AE-B084-D00677AFBCFB}"/>
    <cellStyle name="Style 87 3 4 14" xfId="16675" xr:uid="{A60C0D75-B052-4486-B92A-1CCF51C89014}"/>
    <cellStyle name="Style 87 3 4 14 2" xfId="35254" xr:uid="{24C1547B-A16A-4615-81DA-2D2860C22B42}"/>
    <cellStyle name="Style 87 3 4 2" xfId="3667" xr:uid="{02E23F37-6051-474E-89EB-4850634DD7F0}"/>
    <cellStyle name="Style 87 3 4 2 10" xfId="16676" xr:uid="{05720421-FC1D-4740-B5E0-82FADD52814C}"/>
    <cellStyle name="Style 87 3 4 2 10 2" xfId="35255" xr:uid="{25A76FA5-9092-49EC-AC6F-9BE28598F3CC}"/>
    <cellStyle name="Style 87 3 4 2 11" xfId="16677" xr:uid="{12BA414E-80F7-4870-A63D-D43C433D52C7}"/>
    <cellStyle name="Style 87 3 4 2 11 2" xfId="35256" xr:uid="{6E23A6E4-07BC-46D9-A13B-C7BB8B89CEC1}"/>
    <cellStyle name="Style 87 3 4 2 12" xfId="16678" xr:uid="{E22A1017-8169-4873-B6DB-D1F332CC1C42}"/>
    <cellStyle name="Style 87 3 4 2 12 2" xfId="35257" xr:uid="{BB859E52-EBEF-4C47-B130-DBB02ECF6FEC}"/>
    <cellStyle name="Style 87 3 4 2 2" xfId="7408" xr:uid="{E21EC092-E53B-4DC9-BC69-FD23E8697257}"/>
    <cellStyle name="Style 87 3 4 2 2 2" xfId="16679" xr:uid="{59143D93-129C-48D1-930D-CF329571B423}"/>
    <cellStyle name="Style 87 3 4 2 2 2 2" xfId="35258" xr:uid="{D0A81172-397A-490D-9033-1624B16C5F6D}"/>
    <cellStyle name="Style 87 3 4 2 2 3" xfId="16680" xr:uid="{D3674F07-13BC-46BC-8E23-90BDFACC2F27}"/>
    <cellStyle name="Style 87 3 4 2 2 3 2" xfId="35259" xr:uid="{F2E109C5-463C-4EEA-862D-8B2B2924ECDA}"/>
    <cellStyle name="Style 87 3 4 2 3" xfId="16681" xr:uid="{8D9FDFEC-7414-4D80-9259-5AB5825E1E14}"/>
    <cellStyle name="Style 87 3 4 2 3 2" xfId="16682" xr:uid="{36A96A1F-ABAD-4651-B153-85CD68D36601}"/>
    <cellStyle name="Style 87 3 4 2 3 2 2" xfId="35260" xr:uid="{3B16A59C-8A06-4335-AA0C-642BA40AAD9B}"/>
    <cellStyle name="Style 87 3 4 2 4" xfId="16683" xr:uid="{281267D5-7690-4797-A427-A998E69927C1}"/>
    <cellStyle name="Style 87 3 4 2 4 2" xfId="35261" xr:uid="{BC072D25-940B-465D-A507-19601440B41D}"/>
    <cellStyle name="Style 87 3 4 2 5" xfId="16684" xr:uid="{46B916FB-B318-4FF1-BB5D-9854D90DC2CE}"/>
    <cellStyle name="Style 87 3 4 2 5 2" xfId="35262" xr:uid="{8DC29ED3-84CA-44E4-82F4-0766CBF89839}"/>
    <cellStyle name="Style 87 3 4 2 6" xfId="16685" xr:uid="{2464A53F-2B75-4865-B777-FC4DCAAEB17F}"/>
    <cellStyle name="Style 87 3 4 2 6 2" xfId="35263" xr:uid="{2EC71D28-A1E1-4898-ADBA-F5A2E8B79CF4}"/>
    <cellStyle name="Style 87 3 4 2 7" xfId="16686" xr:uid="{5D0FB8F0-045F-4246-9D49-80E13F466CB1}"/>
    <cellStyle name="Style 87 3 4 2 7 2" xfId="35264" xr:uid="{A2928658-0AAE-4D75-8E24-F95CADEDC3D7}"/>
    <cellStyle name="Style 87 3 4 2 8" xfId="16687" xr:uid="{098DB50E-E688-47D0-93BC-593BA0FAF8D4}"/>
    <cellStyle name="Style 87 3 4 2 8 2" xfId="35265" xr:uid="{2C41AD5E-AF9D-4EFE-B46A-6665CA5BB9CC}"/>
    <cellStyle name="Style 87 3 4 2 9" xfId="16688" xr:uid="{252396C5-2B94-4B19-B9D4-42E6617294B8}"/>
    <cellStyle name="Style 87 3 4 2 9 2" xfId="35266" xr:uid="{02D5305E-C953-4C0C-91F6-7C29F86FFE54}"/>
    <cellStyle name="Style 87 3 4 3" xfId="7407" xr:uid="{A7EA992E-B6E8-49C8-8E63-7B5166894FB0}"/>
    <cellStyle name="Style 87 3 4 3 2" xfId="16689" xr:uid="{31BB5257-555F-45A3-8CEC-467B5FBB628F}"/>
    <cellStyle name="Style 87 3 4 3 2 2" xfId="35267" xr:uid="{6AA54BCE-F019-447F-B929-EC945B35A00D}"/>
    <cellStyle name="Style 87 3 4 3 3" xfId="16690" xr:uid="{96E4828B-F91F-490A-923C-443472596F2E}"/>
    <cellStyle name="Style 87 3 4 3 3 2" xfId="35268" xr:uid="{D870C386-9DB1-4CFB-BB78-F68F4CAC713B}"/>
    <cellStyle name="Style 87 3 4 4" xfId="16691" xr:uid="{7FC6243F-EB7D-4841-A22C-B73C2D9A8DE7}"/>
    <cellStyle name="Style 87 3 4 4 2" xfId="16692" xr:uid="{214BCD67-68B3-4090-BC07-6A7C21CB78BD}"/>
    <cellStyle name="Style 87 3 4 4 2 2" xfId="35269" xr:uid="{DDF52E65-A060-46CC-BEDD-57BA6AEABFAC}"/>
    <cellStyle name="Style 87 3 4 5" xfId="16693" xr:uid="{8450F272-48C5-4AF4-ACA4-0BCB039C6B42}"/>
    <cellStyle name="Style 87 3 4 5 2" xfId="35270" xr:uid="{85A0C299-87DF-4BEF-AF8E-A1F2921F4FCF}"/>
    <cellStyle name="Style 87 3 4 6" xfId="16694" xr:uid="{2BE045FE-2220-4D50-8B05-520218F47040}"/>
    <cellStyle name="Style 87 3 4 6 2" xfId="35271" xr:uid="{DF39EA6F-7A1E-493E-AFC2-46E6F71105C7}"/>
    <cellStyle name="Style 87 3 4 7" xfId="16695" xr:uid="{22108E11-5489-4135-A467-C3C6FE56CBF5}"/>
    <cellStyle name="Style 87 3 4 7 2" xfId="35272" xr:uid="{A520EB55-8F98-4306-A50A-D6C85C07AD2C}"/>
    <cellStyle name="Style 87 3 4 8" xfId="16696" xr:uid="{660E22A3-CA3B-4E5F-B7C6-64E9C44EC252}"/>
    <cellStyle name="Style 87 3 4 8 2" xfId="35273" xr:uid="{9D1EFF7D-14EB-4969-9266-272C33FAD526}"/>
    <cellStyle name="Style 87 3 4 9" xfId="16697" xr:uid="{91158C09-020D-40B6-AB69-91D9F9F8F402}"/>
    <cellStyle name="Style 87 3 4 9 2" xfId="35274" xr:uid="{1F72C698-B276-4503-B613-67CE54C99743}"/>
    <cellStyle name="Style 87 3 5" xfId="3668" xr:uid="{B75C2D0E-7ED5-44D8-998D-03E6B727B8BA}"/>
    <cellStyle name="Style 87 3 5 10" xfId="16698" xr:uid="{C6219953-9CB9-4535-ACDF-94D923BF72B6}"/>
    <cellStyle name="Style 87 3 5 10 2" xfId="35275" xr:uid="{F2B4B90D-B21F-45F3-81B0-518B2C946DAD}"/>
    <cellStyle name="Style 87 3 5 11" xfId="16699" xr:uid="{34628546-697A-405B-9D5C-BBF88C2F02DA}"/>
    <cellStyle name="Style 87 3 5 11 2" xfId="35276" xr:uid="{DF731D17-48E9-491D-AE1A-E309027CB6DF}"/>
    <cellStyle name="Style 87 3 5 12" xfId="16700" xr:uid="{1BB0F7A9-A811-4C8F-8B15-E6070C4E8050}"/>
    <cellStyle name="Style 87 3 5 12 2" xfId="35277" xr:uid="{83D73633-3347-435D-9147-233760615483}"/>
    <cellStyle name="Style 87 3 5 13" xfId="16701" xr:uid="{B854F83F-527E-4185-B9FC-DC69AD3AC74B}"/>
    <cellStyle name="Style 87 3 5 13 2" xfId="35278" xr:uid="{62DC582E-4BA6-4160-BB87-59B8473C414C}"/>
    <cellStyle name="Style 87 3 5 2" xfId="7409" xr:uid="{3A93860F-EB18-4B05-A48D-03DFE7CCA0BF}"/>
    <cellStyle name="Style 87 3 5 2 2" xfId="16702" xr:uid="{AD560E48-0367-4E98-88DB-1532E2B2F2CE}"/>
    <cellStyle name="Style 87 3 5 2 2 2" xfId="35279" xr:uid="{01098218-F442-4F2E-AE08-9B59AA824EEF}"/>
    <cellStyle name="Style 87 3 5 2 3" xfId="16703" xr:uid="{3C9645F8-B5E0-414F-94AE-45387D6A9056}"/>
    <cellStyle name="Style 87 3 5 2 3 2" xfId="35280" xr:uid="{F2F0CD9F-85CC-40D7-B9C5-0EAC79F6EDD2}"/>
    <cellStyle name="Style 87 3 5 3" xfId="16704" xr:uid="{A6CC9188-9765-45D7-8EF1-FC42BF9CEF9E}"/>
    <cellStyle name="Style 87 3 5 3 2" xfId="16705" xr:uid="{BCED6EB6-5DF6-44C0-840E-21257F532AE8}"/>
    <cellStyle name="Style 87 3 5 3 2 2" xfId="35281" xr:uid="{EE7A0778-41CB-4E95-8F2B-900A8A02C19B}"/>
    <cellStyle name="Style 87 3 5 4" xfId="16706" xr:uid="{60E7D8AC-CA71-4EE8-B180-729F57A3FCB2}"/>
    <cellStyle name="Style 87 3 5 4 2" xfId="35282" xr:uid="{8F377709-0AF4-47B0-86C2-21B3824635E7}"/>
    <cellStyle name="Style 87 3 5 5" xfId="16707" xr:uid="{B476AF00-BAE6-44A8-BFEE-70385653C2E3}"/>
    <cellStyle name="Style 87 3 5 5 2" xfId="35283" xr:uid="{74634954-55EB-4853-94BA-5E3DF3F6FCAB}"/>
    <cellStyle name="Style 87 3 5 6" xfId="16708" xr:uid="{44590E53-3327-4DC6-9098-A84467CE8EEC}"/>
    <cellStyle name="Style 87 3 5 6 2" xfId="35284" xr:uid="{BD20BF62-0715-4180-8EE7-5A4A507B5509}"/>
    <cellStyle name="Style 87 3 5 7" xfId="16709" xr:uid="{9073046A-3E0C-4F83-8744-327EE97D786F}"/>
    <cellStyle name="Style 87 3 5 7 2" xfId="35285" xr:uid="{E04984E3-8152-4844-BD1D-184BEE4B3B9C}"/>
    <cellStyle name="Style 87 3 5 8" xfId="16710" xr:uid="{2C45CF08-146C-4D90-B5CF-B0DD42FE952C}"/>
    <cellStyle name="Style 87 3 5 8 2" xfId="35286" xr:uid="{583BB45F-DB75-4BA0-8E02-5CFA686D66CB}"/>
    <cellStyle name="Style 87 3 5 9" xfId="16711" xr:uid="{5D9FCD1D-E0E5-47B7-A9AB-DCE38B3A90C3}"/>
    <cellStyle name="Style 87 3 5 9 2" xfId="35287" xr:uid="{EAE67E13-EE7A-4D0F-9370-D0218DDF93E9}"/>
    <cellStyle name="Style 87 3 6" xfId="7410" xr:uid="{E7719560-39EA-432A-ABC6-4CE9CAD4B2D8}"/>
    <cellStyle name="Style 87 3 6 2" xfId="16712" xr:uid="{12BA0E2F-2A5C-4A0F-A891-17A35E6721F4}"/>
    <cellStyle name="Style 87 3 6 2 2" xfId="35288" xr:uid="{E9B15578-B856-4DBF-ABA8-FEBCECBA4C3E}"/>
    <cellStyle name="Style 87 3 6 3" xfId="16713" xr:uid="{C4720C5E-4F14-4E8D-BFB8-F1E2833269AC}"/>
    <cellStyle name="Style 87 3 6 3 2" xfId="35289" xr:uid="{A8B70D90-FA0C-4B2A-B637-3A0541C72BC5}"/>
    <cellStyle name="Style 87 3 7" xfId="7389" xr:uid="{5D13EFAA-9527-4BE8-8384-8B8C1124BA8A}"/>
    <cellStyle name="Style 87 3 7 2" xfId="16714" xr:uid="{CA3A58C4-5DDF-48B4-8ABC-93BE2C590B42}"/>
    <cellStyle name="Style 87 3 7 2 2" xfId="35290" xr:uid="{4035D174-BC5D-4077-B181-DA27DD186603}"/>
    <cellStyle name="Style 87 3 8" xfId="16715" xr:uid="{92F8FC26-EFF9-43F4-96C0-7430323768A8}"/>
    <cellStyle name="Style 87 3 8 2" xfId="16716" xr:uid="{427A42E2-3EBE-4E0C-9C56-DBC00676BD55}"/>
    <cellStyle name="Style 87 3 8 2 2" xfId="35291" xr:uid="{AA014CC0-94AB-49B8-B1CD-BD6235CC96E5}"/>
    <cellStyle name="Style 87 3 9" xfId="16717" xr:uid="{01602DA7-2B4A-4227-9CC9-072A314B624F}"/>
    <cellStyle name="Style 87 3 9 2" xfId="35292" xr:uid="{43FCD717-CF6A-4881-A346-976F381170BF}"/>
    <cellStyle name="Style 87 4" xfId="3669" xr:uid="{73A7003C-943B-4DF9-9068-1825D2374069}"/>
    <cellStyle name="Style 87 4 10" xfId="16718" xr:uid="{CDAF0247-E395-42EA-AEE5-25F3484625C5}"/>
    <cellStyle name="Style 87 4 10 2" xfId="35293" xr:uid="{552FD606-EA28-42F9-B392-7F7601B41776}"/>
    <cellStyle name="Style 87 4 11" xfId="16719" xr:uid="{55F06FBB-797B-4B81-B7EE-D10DBDA996B9}"/>
    <cellStyle name="Style 87 4 11 2" xfId="35294" xr:uid="{8C852D7B-ACEB-4B3F-BB7C-2B9B421C69D5}"/>
    <cellStyle name="Style 87 4 12" xfId="16720" xr:uid="{AF3CB3C1-DDB9-440A-98FE-28CEC5055D20}"/>
    <cellStyle name="Style 87 4 12 2" xfId="35295" xr:uid="{4356B2E7-B746-4F06-9DE2-DB68F5E9E6A8}"/>
    <cellStyle name="Style 87 4 13" xfId="16721" xr:uid="{466942C2-CDD1-479C-9ED1-52C2E49EBAFB}"/>
    <cellStyle name="Style 87 4 13 2" xfId="35296" xr:uid="{44D9071C-809D-4B9C-8CA4-A019050246E5}"/>
    <cellStyle name="Style 87 4 14" xfId="16722" xr:uid="{C75EE2DE-6BA1-4523-824B-A7044CB37A15}"/>
    <cellStyle name="Style 87 4 14 2" xfId="35297" xr:uid="{8C61631E-05DC-4C78-9256-E119E42BB6AA}"/>
    <cellStyle name="Style 87 4 15" xfId="16723" xr:uid="{A68077D6-FF00-4593-9A41-6BD64B7B7C0D}"/>
    <cellStyle name="Style 87 4 15 2" xfId="35298" xr:uid="{75129E59-73A8-4E37-ADB0-87C57B475EE5}"/>
    <cellStyle name="Style 87 4 2" xfId="3670" xr:uid="{B0FACA27-2D93-457E-8271-A2228B6B233E}"/>
    <cellStyle name="Style 87 4 2 10" xfId="16724" xr:uid="{46E14FCD-6B06-4BC5-B4C9-354EE91BE757}"/>
    <cellStyle name="Style 87 4 2 10 2" xfId="35299" xr:uid="{DCB665B2-35F0-4845-8D77-A30DE4228CC7}"/>
    <cellStyle name="Style 87 4 2 11" xfId="16725" xr:uid="{68058913-C805-45DD-90B6-19C6E7D585E6}"/>
    <cellStyle name="Style 87 4 2 11 2" xfId="35300" xr:uid="{2BBC3449-405B-4FDC-AE73-E3EF715A86D4}"/>
    <cellStyle name="Style 87 4 2 12" xfId="16726" xr:uid="{C1FB2DDA-A1CD-40A5-B59F-7EAB70C754ED}"/>
    <cellStyle name="Style 87 4 2 12 2" xfId="35301" xr:uid="{595EF3C3-BFE4-421B-BC5C-4678D008E7AA}"/>
    <cellStyle name="Style 87 4 2 13" xfId="16727" xr:uid="{D5A1373B-1323-4584-85AF-035E843C8A60}"/>
    <cellStyle name="Style 87 4 2 13 2" xfId="35302" xr:uid="{9B7FE650-3AA3-424B-8AD4-D0FB4C148E6D}"/>
    <cellStyle name="Style 87 4 2 14" xfId="16728" xr:uid="{26635BB1-79FF-4C62-A897-2C6BDCBBFBF7}"/>
    <cellStyle name="Style 87 4 2 14 2" xfId="35303" xr:uid="{BCF0ABF6-6E51-4CE9-BAA5-F0D18536815F}"/>
    <cellStyle name="Style 87 4 2 15" xfId="16729" xr:uid="{55FC723A-4EF5-46B6-A06F-BA34E03DFB7D}"/>
    <cellStyle name="Style 87 4 2 15 2" xfId="35304" xr:uid="{A0708127-8E11-457E-9E93-B06195BA517D}"/>
    <cellStyle name="Style 87 4 2 2" xfId="3671" xr:uid="{D20B8C0C-170A-4DB3-B1E5-CCFBE301D131}"/>
    <cellStyle name="Style 87 4 2 2 10" xfId="16730" xr:uid="{8D592C9F-FDAE-4E95-8B96-0ADFAE00F616}"/>
    <cellStyle name="Style 87 4 2 2 10 2" xfId="35305" xr:uid="{CA585D9A-CA9E-4F88-AF07-31AB80009330}"/>
    <cellStyle name="Style 87 4 2 2 11" xfId="16731" xr:uid="{493D5CFE-B52B-4409-814C-BCF54B9E95BE}"/>
    <cellStyle name="Style 87 4 2 2 11 2" xfId="35306" xr:uid="{1EBB24D9-ED06-42DA-8277-22D5CD1A4DB2}"/>
    <cellStyle name="Style 87 4 2 2 12" xfId="16732" xr:uid="{73FE48F0-F87B-4427-8BB3-F93374ABBF49}"/>
    <cellStyle name="Style 87 4 2 2 12 2" xfId="35307" xr:uid="{B9C692CA-8532-4387-A374-8602EF802F41}"/>
    <cellStyle name="Style 87 4 2 2 13" xfId="16733" xr:uid="{026B3E78-A046-4FA5-997B-429354B940D9}"/>
    <cellStyle name="Style 87 4 2 2 13 2" xfId="35308" xr:uid="{CBE9466A-A577-4C25-8D02-C8DE454545C1}"/>
    <cellStyle name="Style 87 4 2 2 14" xfId="16734" xr:uid="{CBC8B917-C310-4034-94F9-0B62044601D1}"/>
    <cellStyle name="Style 87 4 2 2 14 2" xfId="35309" xr:uid="{754A2248-5836-434A-8813-A04C3495E66C}"/>
    <cellStyle name="Style 87 4 2 2 2" xfId="3672" xr:uid="{0818CE09-387F-4971-A18C-52E95322DF2B}"/>
    <cellStyle name="Style 87 4 2 2 2 10" xfId="16735" xr:uid="{29535896-879F-4332-8809-958002AFDCB6}"/>
    <cellStyle name="Style 87 4 2 2 2 10 2" xfId="35310" xr:uid="{08B0A5A4-5D54-4E0A-88C7-7C255DA45A96}"/>
    <cellStyle name="Style 87 4 2 2 2 11" xfId="16736" xr:uid="{C45B13DF-CC46-46DB-B8D0-648C1FBB5560}"/>
    <cellStyle name="Style 87 4 2 2 2 11 2" xfId="35311" xr:uid="{653BC655-69AD-47EE-8E01-C35A1D93C6A2}"/>
    <cellStyle name="Style 87 4 2 2 2 12" xfId="16737" xr:uid="{A104AC29-F8C0-4BA6-9EBF-4B84BC45B334}"/>
    <cellStyle name="Style 87 4 2 2 2 12 2" xfId="35312" xr:uid="{08A0E009-B527-478E-A6C7-9AF869498421}"/>
    <cellStyle name="Style 87 4 2 2 2 2" xfId="7414" xr:uid="{F37B84F9-ED41-4461-9906-ED84AD565CFA}"/>
    <cellStyle name="Style 87 4 2 2 2 2 2" xfId="16738" xr:uid="{504FE411-939F-4428-A8DA-7E1C3F0395A1}"/>
    <cellStyle name="Style 87 4 2 2 2 2 2 2" xfId="35313" xr:uid="{69EC7D8C-6FFE-4FCF-AF4A-288317BAC164}"/>
    <cellStyle name="Style 87 4 2 2 2 2 3" xfId="16739" xr:uid="{D5882978-B380-426A-B998-406771A75260}"/>
    <cellStyle name="Style 87 4 2 2 2 2 3 2" xfId="35314" xr:uid="{8FD4E907-D25F-4FE0-A5DA-569DE920B6EE}"/>
    <cellStyle name="Style 87 4 2 2 2 3" xfId="16740" xr:uid="{60E4B9A8-826E-44F6-B680-FEA8669567BD}"/>
    <cellStyle name="Style 87 4 2 2 2 3 2" xfId="16741" xr:uid="{04B58E28-08E6-4071-8C2C-399B794D19D2}"/>
    <cellStyle name="Style 87 4 2 2 2 3 2 2" xfId="35315" xr:uid="{E064BE68-77E7-4D5B-ACF4-0D0E8436D0A5}"/>
    <cellStyle name="Style 87 4 2 2 2 4" xfId="16742" xr:uid="{3549D1C8-E28B-4AB5-8927-F7CCD11C3CCD}"/>
    <cellStyle name="Style 87 4 2 2 2 4 2" xfId="35316" xr:uid="{7EE4B994-B26B-4375-8B23-5A8916E15F46}"/>
    <cellStyle name="Style 87 4 2 2 2 5" xfId="16743" xr:uid="{6C8E8FDF-EC00-423C-94A5-A7ABCFD777BB}"/>
    <cellStyle name="Style 87 4 2 2 2 5 2" xfId="35317" xr:uid="{C87D59C0-832C-47BB-8530-35FD8CD77798}"/>
    <cellStyle name="Style 87 4 2 2 2 6" xfId="16744" xr:uid="{1C63FC3D-C883-4F98-96BC-F3A6CC1BC734}"/>
    <cellStyle name="Style 87 4 2 2 2 6 2" xfId="35318" xr:uid="{B8053B2D-9E97-4BF2-AB08-CB9C8AB6287A}"/>
    <cellStyle name="Style 87 4 2 2 2 7" xfId="16745" xr:uid="{46B8CD29-1CB5-44A4-A5FA-8E0DF715110C}"/>
    <cellStyle name="Style 87 4 2 2 2 7 2" xfId="35319" xr:uid="{D1380C61-5766-4F24-9789-31B2C97C2CA6}"/>
    <cellStyle name="Style 87 4 2 2 2 8" xfId="16746" xr:uid="{5D56762B-70B9-4FEB-9294-21EFA8E01DBE}"/>
    <cellStyle name="Style 87 4 2 2 2 8 2" xfId="35320" xr:uid="{4A1CFA26-EA64-48DC-BA4E-9CB8A5DB0D3E}"/>
    <cellStyle name="Style 87 4 2 2 2 9" xfId="16747" xr:uid="{1AF852E8-2897-4FDB-9E69-BD3FB1701E94}"/>
    <cellStyle name="Style 87 4 2 2 2 9 2" xfId="35321" xr:uid="{2210CD43-26F4-4132-8B6D-3265DB4B2B7F}"/>
    <cellStyle name="Style 87 4 2 2 3" xfId="7413" xr:uid="{81F1EDFD-ED36-4F06-9CA2-BAF53D4C6E7D}"/>
    <cellStyle name="Style 87 4 2 2 3 2" xfId="16748" xr:uid="{8EA94DBB-AD61-4C25-B66E-25AA75FDF190}"/>
    <cellStyle name="Style 87 4 2 2 3 2 2" xfId="35322" xr:uid="{2E603716-EFAA-4CDA-BAEB-12FFCE87E705}"/>
    <cellStyle name="Style 87 4 2 2 3 3" xfId="16749" xr:uid="{F64AB7C2-4854-4EA5-A042-86F2BD0AFCDE}"/>
    <cellStyle name="Style 87 4 2 2 3 3 2" xfId="35323" xr:uid="{4477B898-6C0F-40F2-BF30-F041EF0612D3}"/>
    <cellStyle name="Style 87 4 2 2 4" xfId="16750" xr:uid="{D827D48B-BF9A-4220-A918-45FF91F19189}"/>
    <cellStyle name="Style 87 4 2 2 4 2" xfId="16751" xr:uid="{7E66F6CE-6D90-4E68-BC1D-5D7743DBB219}"/>
    <cellStyle name="Style 87 4 2 2 4 2 2" xfId="35324" xr:uid="{3D71BE7A-268A-4A8C-A15B-93407182DC46}"/>
    <cellStyle name="Style 87 4 2 2 5" xfId="16752" xr:uid="{D6149B64-5E35-4050-AC7E-20C7C10F54D9}"/>
    <cellStyle name="Style 87 4 2 2 5 2" xfId="35325" xr:uid="{81C3CB75-91EE-456A-A3AF-F0051AFF0299}"/>
    <cellStyle name="Style 87 4 2 2 6" xfId="16753" xr:uid="{D8A15C7F-940F-4426-9EC5-0E8306B9FC09}"/>
    <cellStyle name="Style 87 4 2 2 6 2" xfId="35326" xr:uid="{C396A717-2370-46BD-B3FB-B3358DE08DCF}"/>
    <cellStyle name="Style 87 4 2 2 7" xfId="16754" xr:uid="{008C0F1F-8AE4-44F4-A326-804616A386CB}"/>
    <cellStyle name="Style 87 4 2 2 7 2" xfId="35327" xr:uid="{704A6A58-79EF-4117-BCC3-B84E53CFD463}"/>
    <cellStyle name="Style 87 4 2 2 8" xfId="16755" xr:uid="{23F49863-105A-422B-8000-5C871460D6CB}"/>
    <cellStyle name="Style 87 4 2 2 8 2" xfId="35328" xr:uid="{2E19BDC9-F9BC-47EA-8CF1-8E5AFCA45347}"/>
    <cellStyle name="Style 87 4 2 2 9" xfId="16756" xr:uid="{AC2DA983-521A-4EF9-88EB-A93BB394157F}"/>
    <cellStyle name="Style 87 4 2 2 9 2" xfId="35329" xr:uid="{7ECE6861-6823-4748-A4B8-B40535949111}"/>
    <cellStyle name="Style 87 4 2 3" xfId="3673" xr:uid="{A5F944CE-AE01-4802-AF96-45AA34967ABF}"/>
    <cellStyle name="Style 87 4 2 3 10" xfId="16757" xr:uid="{AD329D9C-8F8F-4DB9-AE38-DF5E73544AC2}"/>
    <cellStyle name="Style 87 4 2 3 10 2" xfId="35330" xr:uid="{243A49CC-F309-4748-BA2D-9415A32EE9F8}"/>
    <cellStyle name="Style 87 4 2 3 11" xfId="16758" xr:uid="{0D331C23-4B0C-441B-97B7-27171F5DD5CB}"/>
    <cellStyle name="Style 87 4 2 3 11 2" xfId="35331" xr:uid="{A240953F-A839-411C-A762-BFDB16A19C50}"/>
    <cellStyle name="Style 87 4 2 3 12" xfId="16759" xr:uid="{C01ABEA0-D9B4-4C1E-8E69-CBF72C69679D}"/>
    <cellStyle name="Style 87 4 2 3 12 2" xfId="35332" xr:uid="{F3F63919-7698-42FD-ADC4-3F6894A86012}"/>
    <cellStyle name="Style 87 4 2 3 2" xfId="7415" xr:uid="{7FDE2AF6-E8D8-456B-B968-80D767D18999}"/>
    <cellStyle name="Style 87 4 2 3 2 2" xfId="16760" xr:uid="{C5E3E146-47B1-4E3B-B99C-712011BF268F}"/>
    <cellStyle name="Style 87 4 2 3 2 2 2" xfId="35333" xr:uid="{BCB64F35-C710-44AC-8805-4789DBB64288}"/>
    <cellStyle name="Style 87 4 2 3 2 3" xfId="16761" xr:uid="{121E6964-E959-47B3-B914-187109B7ED1D}"/>
    <cellStyle name="Style 87 4 2 3 2 3 2" xfId="35334" xr:uid="{2438859C-7110-48D9-BBC9-7AADB6CD39A4}"/>
    <cellStyle name="Style 87 4 2 3 3" xfId="16762" xr:uid="{41E85DF2-BD6C-4299-A5BC-56E22DF381B3}"/>
    <cellStyle name="Style 87 4 2 3 3 2" xfId="16763" xr:uid="{15A69488-AE03-46D1-9D2A-627CD6F6DFEC}"/>
    <cellStyle name="Style 87 4 2 3 3 2 2" xfId="35335" xr:uid="{5B567268-24E1-4CB1-8490-5BAF4EA2C4AD}"/>
    <cellStyle name="Style 87 4 2 3 4" xfId="16764" xr:uid="{B457A3E9-74A4-4048-BBAA-636F66654511}"/>
    <cellStyle name="Style 87 4 2 3 4 2" xfId="35336" xr:uid="{13318AE2-2B3B-4921-9E87-279FE05E5658}"/>
    <cellStyle name="Style 87 4 2 3 5" xfId="16765" xr:uid="{01713945-E6B2-4E49-B7C6-50767E5E24E1}"/>
    <cellStyle name="Style 87 4 2 3 5 2" xfId="35337" xr:uid="{BB6D5CA5-2EF7-4B66-BC56-22353CFDF0AB}"/>
    <cellStyle name="Style 87 4 2 3 6" xfId="16766" xr:uid="{A36A14C4-470C-4079-BBDF-5375618F1EA0}"/>
    <cellStyle name="Style 87 4 2 3 6 2" xfId="35338" xr:uid="{7BFFDF21-CAD7-452D-ACF3-56A864A8DBC1}"/>
    <cellStyle name="Style 87 4 2 3 7" xfId="16767" xr:uid="{C91A2DFA-78AE-4827-A9DF-7A39E8E603C1}"/>
    <cellStyle name="Style 87 4 2 3 7 2" xfId="35339" xr:uid="{8215DA1F-A783-4DDB-9B47-1B4226F896DC}"/>
    <cellStyle name="Style 87 4 2 3 8" xfId="16768" xr:uid="{6AC2B738-EE77-4188-8456-49F643A55803}"/>
    <cellStyle name="Style 87 4 2 3 8 2" xfId="35340" xr:uid="{869D9524-49D5-41CF-9A11-5757024EDC2F}"/>
    <cellStyle name="Style 87 4 2 3 9" xfId="16769" xr:uid="{27C2B366-E82E-487F-81DB-4E82DA261719}"/>
    <cellStyle name="Style 87 4 2 3 9 2" xfId="35341" xr:uid="{C4AFFFA6-3C36-4CDA-A162-C0851B119191}"/>
    <cellStyle name="Style 87 4 2 4" xfId="7412" xr:uid="{5B62D74E-B494-4EC3-8806-FB33167E22A2}"/>
    <cellStyle name="Style 87 4 2 4 2" xfId="16770" xr:uid="{96F7CB12-EECC-46D7-9AD2-338055D116AC}"/>
    <cellStyle name="Style 87 4 2 4 2 2" xfId="35342" xr:uid="{47DE18BA-B149-4EFD-9886-9F47C31F8B12}"/>
    <cellStyle name="Style 87 4 2 4 3" xfId="16771" xr:uid="{ACAFB86C-DD05-49BE-B6B1-631B9ACA6803}"/>
    <cellStyle name="Style 87 4 2 4 3 2" xfId="35343" xr:uid="{82DD59CB-FCB5-4702-A657-04F88871634F}"/>
    <cellStyle name="Style 87 4 2 5" xfId="16772" xr:uid="{1C0639A5-7E45-48C6-80DE-08E0A98D853F}"/>
    <cellStyle name="Style 87 4 2 5 2" xfId="16773" xr:uid="{C68D1DAF-CAF0-493F-9B05-541409355EAD}"/>
    <cellStyle name="Style 87 4 2 5 2 2" xfId="35344" xr:uid="{12B5E4DF-3E0E-4F04-8038-16D4FCB8F255}"/>
    <cellStyle name="Style 87 4 2 6" xfId="16774" xr:uid="{99A79D5E-5E94-418E-A070-EA09E80E3ACB}"/>
    <cellStyle name="Style 87 4 2 6 2" xfId="35345" xr:uid="{08369B58-7D95-4FEA-B6E1-CF5645ED6CDC}"/>
    <cellStyle name="Style 87 4 2 7" xfId="16775" xr:uid="{EEEDE2C4-6281-4825-907C-65CA166772AD}"/>
    <cellStyle name="Style 87 4 2 7 2" xfId="35346" xr:uid="{94E0CC48-AAC6-4C0C-A11F-821403177339}"/>
    <cellStyle name="Style 87 4 2 8" xfId="16776" xr:uid="{8EA2E871-9820-4AF9-A7D1-D8D717827DEE}"/>
    <cellStyle name="Style 87 4 2 8 2" xfId="35347" xr:uid="{34946A14-CE25-4AC7-BFFA-C7DE68FB4796}"/>
    <cellStyle name="Style 87 4 2 9" xfId="16777" xr:uid="{BB11D3A6-41E7-4BBE-8E98-DADC79D697B0}"/>
    <cellStyle name="Style 87 4 2 9 2" xfId="35348" xr:uid="{6B27DCE1-5B48-4A0A-B539-6E4398CAAB99}"/>
    <cellStyle name="Style 87 4 3" xfId="3674" xr:uid="{6B26DEAE-9908-46E3-BC07-231FA7BE83E5}"/>
    <cellStyle name="Style 87 4 3 2" xfId="7417" xr:uid="{BE02C990-1199-40EE-956A-A8ECA6E933C5}"/>
    <cellStyle name="Style 87 4 3 2 2" xfId="16778" xr:uid="{F77B1713-EBF0-4F15-A742-78A1ECD6A9D6}"/>
    <cellStyle name="Style 87 4 3 2 2 2" xfId="35349" xr:uid="{28943493-BA69-412F-9466-966D708D94D5}"/>
    <cellStyle name="Style 87 4 3 2 3" xfId="16779" xr:uid="{29E2295F-7488-474D-8472-C2638F2FE9CC}"/>
    <cellStyle name="Style 87 4 3 2 3 2" xfId="35350" xr:uid="{EB9CC8C2-CBD7-4BB5-A17C-683F02E3B052}"/>
    <cellStyle name="Style 87 4 3 2 4" xfId="16780" xr:uid="{26A49424-F2D1-4642-92BA-D293CE23DE69}"/>
    <cellStyle name="Style 87 4 3 2 4 2" xfId="35351" xr:uid="{C2D3A8E1-81C0-400B-8680-D3C378DBFD05}"/>
    <cellStyle name="Style 87 4 3 3" xfId="7416" xr:uid="{ECA61FEC-F601-489B-9F3A-74CA77640D80}"/>
    <cellStyle name="Style 87 4 3 3 2" xfId="16781" xr:uid="{5F9DD218-9E2B-43DB-8039-CEB7C77F20A5}"/>
    <cellStyle name="Style 87 4 3 3 2 2" xfId="35352" xr:uid="{E7D7ED19-FD24-4A16-BA6E-B6FA40FFE839}"/>
    <cellStyle name="Style 87 4 3 3 3" xfId="16782" xr:uid="{10623B54-0A9D-4E66-8016-F556AEBDA52D}"/>
    <cellStyle name="Style 87 4 3 3 3 2" xfId="35353" xr:uid="{A5DA2D85-C862-48CE-9B7F-0EA4C5FE19AF}"/>
    <cellStyle name="Style 87 4 3 4" xfId="16783" xr:uid="{103EC948-F8DD-4C07-B240-7C228D28B0BB}"/>
    <cellStyle name="Style 87 4 3 4 2" xfId="16784" xr:uid="{7B29663B-F80A-468C-8D64-7B2D0E7E2D2D}"/>
    <cellStyle name="Style 87 4 3 4 2 2" xfId="35354" xr:uid="{809D777E-FE34-437A-A8D5-816B22C2224C}"/>
    <cellStyle name="Style 87 4 3 4 3" xfId="16785" xr:uid="{F234529C-8885-48FB-A5DB-C06620B44D03}"/>
    <cellStyle name="Style 87 4 3 4 3 2" xfId="35355" xr:uid="{C047E0DF-6013-4501-BBD7-C9162A96FAFD}"/>
    <cellStyle name="Style 87 4 3 5" xfId="16786" xr:uid="{6A8B262B-631D-4316-A030-101CDA0F09F5}"/>
    <cellStyle name="Style 87 4 3 5 2" xfId="35356" xr:uid="{86FDD193-E0EB-4620-838B-3BBFA6EF8C59}"/>
    <cellStyle name="Style 87 4 3 6" xfId="16787" xr:uid="{CAEC2DFA-66EC-4FD9-AE7B-12FBF8CCC1E7}"/>
    <cellStyle name="Style 87 4 3 6 2" xfId="35357" xr:uid="{7113E46F-6646-4268-BA7C-69B714AE1A9D}"/>
    <cellStyle name="Style 87 4 3 7" xfId="16788" xr:uid="{21E7A923-C03F-4C11-A8A4-B5E433476545}"/>
    <cellStyle name="Style 87 4 3 7 2" xfId="35358" xr:uid="{8C10AD23-78D8-485F-B958-DDAB0A18AB24}"/>
    <cellStyle name="Style 87 4 3 8" xfId="16789" xr:uid="{55354488-697E-4DFA-AA6E-05C7A66A2C7C}"/>
    <cellStyle name="Style 87 4 3 8 2" xfId="35359" xr:uid="{CD3BBAE5-5EAA-463F-B0C1-57A9077902D2}"/>
    <cellStyle name="Style 87 4 3 9" xfId="16790" xr:uid="{74482CDB-E976-440C-B0BD-211BF00CE29B}"/>
    <cellStyle name="Style 87 4 3 9 2" xfId="35360" xr:uid="{E8B98D14-902A-4E5B-805E-C47C4CFF195C}"/>
    <cellStyle name="Style 87 4 4" xfId="7418" xr:uid="{C07E766E-5C8C-4A22-95EE-C3E16AEB63CD}"/>
    <cellStyle name="Style 87 4 4 2" xfId="16791" xr:uid="{055F5D46-AD38-49B9-8223-F8B6660BBBD6}"/>
    <cellStyle name="Style 87 4 4 2 2" xfId="35361" xr:uid="{381C8C0C-BF05-421D-A69F-C0F863C0D9C3}"/>
    <cellStyle name="Style 87 4 4 3" xfId="16792" xr:uid="{2238E3C2-1CE6-46D4-A41A-78C7178FA36F}"/>
    <cellStyle name="Style 87 4 4 3 2" xfId="35362" xr:uid="{3EF601EC-8239-4464-918F-3488C1A59FFD}"/>
    <cellStyle name="Style 87 4 5" xfId="7419" xr:uid="{F353827A-494E-44CA-B47C-98D32039DBD7}"/>
    <cellStyle name="Style 87 4 5 2" xfId="16793" xr:uid="{4F886D20-B2FC-41D0-9E14-652C8E0B2FDD}"/>
    <cellStyle name="Style 87 4 5 2 2" xfId="35363" xr:uid="{2E9779BD-D70C-4FCE-ACC8-0DDA3518CF86}"/>
    <cellStyle name="Style 87 4 6" xfId="7411" xr:uid="{CE0B57C2-5371-4407-8A03-05CE450865F6}"/>
    <cellStyle name="Style 87 4 6 2" xfId="16794" xr:uid="{5272CA1D-EE9C-45D3-AEE8-DA7AD4C41A5F}"/>
    <cellStyle name="Style 87 4 6 2 2" xfId="35364" xr:uid="{8DCE5DCA-96D6-4D29-B706-AAD8BB545155}"/>
    <cellStyle name="Style 87 4 7" xfId="16795" xr:uid="{62553193-7305-4040-8BDB-248AE872512E}"/>
    <cellStyle name="Style 87 4 7 2" xfId="16796" xr:uid="{FE43AE02-C337-4F57-9590-67426CD5CCA9}"/>
    <cellStyle name="Style 87 4 7 2 2" xfId="35365" xr:uid="{EAB20F69-6930-4C3B-9C11-245FF87B7A4D}"/>
    <cellStyle name="Style 87 4 8" xfId="16797" xr:uid="{78EF1D17-A877-4BE2-8055-A68FAE6A35E1}"/>
    <cellStyle name="Style 87 4 8 2" xfId="35366" xr:uid="{A69D7FA6-4F11-4945-80E5-53776F4000B3}"/>
    <cellStyle name="Style 87 4 9" xfId="16798" xr:uid="{F5866972-14C0-4B3C-BCAD-407F81D3FD05}"/>
    <cellStyle name="Style 87 4 9 2" xfId="35367" xr:uid="{BCF765CE-0DC5-489C-AD81-700D57C8450B}"/>
    <cellStyle name="Style 87 5" xfId="3675" xr:uid="{510AE15A-EF7F-4C7B-9B24-C4E7CE8B43F8}"/>
    <cellStyle name="Style 87 5 10" xfId="16799" xr:uid="{9A5C25DA-E181-4645-B6EE-241B621751FA}"/>
    <cellStyle name="Style 87 5 10 2" xfId="35368" xr:uid="{F4955985-9564-4D90-86D5-032120EF72C1}"/>
    <cellStyle name="Style 87 5 2" xfId="3676" xr:uid="{F4B3AF25-0577-43A6-B8F6-A3AEF47D088E}"/>
    <cellStyle name="Style 87 5 2 2" xfId="7421" xr:uid="{2D3B0CD9-4951-4EE9-BD83-46F8751FF5DC}"/>
    <cellStyle name="Style 87 5 2 2 2" xfId="16800" xr:uid="{A264C0E5-42AD-4FE6-BA82-31A8C2E5D936}"/>
    <cellStyle name="Style 87 5 2 2 2 2" xfId="35369" xr:uid="{DF335B74-1393-4305-AEAC-AEA7FBE960B2}"/>
    <cellStyle name="Style 87 5 2 2 3" xfId="16801" xr:uid="{5E3A63EA-4C55-4C6D-BF34-B713431B7BF4}"/>
    <cellStyle name="Style 87 5 2 2 3 2" xfId="35370" xr:uid="{D77F7E0F-0BEB-454D-A0A9-87A9B1201AD4}"/>
    <cellStyle name="Style 87 5 2 2 4" xfId="16802" xr:uid="{DD90CD99-9622-4DC1-B2E8-5CA911B58B0B}"/>
    <cellStyle name="Style 87 5 2 2 4 2" xfId="35371" xr:uid="{FED9A308-565C-42B3-A55E-756E1BCAD0AD}"/>
    <cellStyle name="Style 87 5 2 3" xfId="16803" xr:uid="{AA4B318D-DA85-4F80-9F53-E91C41F9169D}"/>
    <cellStyle name="Style 87 5 2 3 2" xfId="16804" xr:uid="{B7962D09-61C1-4152-819A-6CB5E2FC9A31}"/>
    <cellStyle name="Style 87 5 2 3 2 2" xfId="35372" xr:uid="{8833559C-DBE1-4A00-AAC1-D4E467820B9C}"/>
    <cellStyle name="Style 87 5 2 3 3" xfId="16805" xr:uid="{B7A5F080-7F1F-447F-BF7B-56C242360C59}"/>
    <cellStyle name="Style 87 5 2 3 3 2" xfId="35373" xr:uid="{928DC36E-3520-4C45-80C0-40D1AEED91C0}"/>
    <cellStyle name="Style 87 5 2 4" xfId="16806" xr:uid="{E896BC13-571E-42DE-A533-A654234F5E86}"/>
    <cellStyle name="Style 87 5 2 4 2" xfId="16807" xr:uid="{C7A40614-8263-4FBE-98AC-6A57E429FC19}"/>
    <cellStyle name="Style 87 5 2 4 2 2" xfId="35375" xr:uid="{1D9D71B0-DFF4-467C-8D06-E01BCF1C7C31}"/>
    <cellStyle name="Style 87 5 2 4 3" xfId="35374" xr:uid="{E012039B-6DB5-4E10-9F0A-6E555094417D}"/>
    <cellStyle name="Style 87 5 2 5" xfId="16808" xr:uid="{973D15AA-3F3A-4FA7-977A-006ECDACC330}"/>
    <cellStyle name="Style 87 5 2 5 2" xfId="16809" xr:uid="{A3FDC41D-EEBC-459B-8CBC-6F4ED2241533}"/>
    <cellStyle name="Style 87 5 2 5 2 2" xfId="35377" xr:uid="{20DC760F-E40A-43D8-82C6-12D4B383829A}"/>
    <cellStyle name="Style 87 5 2 5 3" xfId="35376" xr:uid="{4CA5F5C4-43F7-476E-B196-4E9681AD85E3}"/>
    <cellStyle name="Style 87 5 2 6" xfId="16810" xr:uid="{3B5C49AB-6321-483B-9E61-3A6435A6818E}"/>
    <cellStyle name="Style 87 5 2 6 2" xfId="35378" xr:uid="{F69111E6-6376-4BDB-A5A1-3443B7D561E0}"/>
    <cellStyle name="Style 87 5 2 7" xfId="16811" xr:uid="{AB3AB628-EABC-4D2A-992F-9B8542120D5F}"/>
    <cellStyle name="Style 87 5 2 7 2" xfId="35379" xr:uid="{D533B938-660F-46AE-A6DF-76933DBFA64C}"/>
    <cellStyle name="Style 87 5 2 8" xfId="16812" xr:uid="{E9773EAF-C738-4D23-9AE4-FC018E1BC39A}"/>
    <cellStyle name="Style 87 5 2 8 2" xfId="35380" xr:uid="{0A8C60AB-0DA8-4006-965D-273595238F28}"/>
    <cellStyle name="Style 87 5 3" xfId="7420" xr:uid="{F89E59A5-4689-4D22-A5D5-0FE7C67B2F23}"/>
    <cellStyle name="Style 87 5 3 2" xfId="16813" xr:uid="{0E902344-2BAD-4F2F-B002-56E3E5C073F8}"/>
    <cellStyle name="Style 87 5 3 2 2" xfId="35381" xr:uid="{98583DF4-4A9D-4926-86CB-7610CFBB0A00}"/>
    <cellStyle name="Style 87 5 3 3" xfId="16814" xr:uid="{8A1BE532-CF28-4091-ADC2-8C432D2AF07D}"/>
    <cellStyle name="Style 87 5 3 3 2" xfId="35382" xr:uid="{3E64E769-BCFE-44DC-9085-20C48A22D6EF}"/>
    <cellStyle name="Style 87 5 3 4" xfId="16815" xr:uid="{2730CDB2-9393-4039-B0AF-021BC5BD20B8}"/>
    <cellStyle name="Style 87 5 3 4 2" xfId="35383" xr:uid="{259D5445-6100-49B2-8ED7-CD542B97E167}"/>
    <cellStyle name="Style 87 5 4" xfId="16816" xr:uid="{0FF24FD8-E3D4-4C62-BD15-509A2D80A70B}"/>
    <cellStyle name="Style 87 5 4 2" xfId="16817" xr:uid="{CF024F0E-67F8-47F5-8920-2FD2DF54C7A9}"/>
    <cellStyle name="Style 87 5 4 2 2" xfId="35384" xr:uid="{5D7E7C90-66BD-44BF-B555-669FE9512C91}"/>
    <cellStyle name="Style 87 5 4 3" xfId="16818" xr:uid="{A20C761E-F423-4526-AFA2-353623898D17}"/>
    <cellStyle name="Style 87 5 4 3 2" xfId="35385" xr:uid="{C7CF0254-56DC-463F-97BD-16B1220ABF7C}"/>
    <cellStyle name="Style 87 5 5" xfId="16819" xr:uid="{CA76395F-1158-45A4-80B9-43910EF3C1A1}"/>
    <cellStyle name="Style 87 5 5 2" xfId="16820" xr:uid="{FD0B5FD5-6236-4162-BC87-7F6673D843DD}"/>
    <cellStyle name="Style 87 5 5 2 2" xfId="35387" xr:uid="{908999BD-424E-4A84-9E7B-848881472AA7}"/>
    <cellStyle name="Style 87 5 5 3" xfId="35386" xr:uid="{38205818-D950-4F85-B042-2E385F34F307}"/>
    <cellStyle name="Style 87 5 6" xfId="16821" xr:uid="{0DDD7E30-2FDE-477C-977A-A7B5ABCC5542}"/>
    <cellStyle name="Style 87 5 6 2" xfId="16822" xr:uid="{A73A1F98-96AE-4225-9F91-7246E84F0355}"/>
    <cellStyle name="Style 87 5 6 2 2" xfId="35389" xr:uid="{0BDB9C92-94B8-4F27-ACDE-4937A6B9166A}"/>
    <cellStyle name="Style 87 5 6 3" xfId="35388" xr:uid="{3BF187B0-C309-4178-A7B9-59741C9CAC2D}"/>
    <cellStyle name="Style 87 5 7" xfId="16823" xr:uid="{1B1CD824-DE76-485B-AC73-2B55447A0A3E}"/>
    <cellStyle name="Style 87 5 7 2" xfId="16824" xr:uid="{1D4FBD9A-5485-4814-8F32-DBDAB6CCC696}"/>
    <cellStyle name="Style 87 5 7 2 2" xfId="35391" xr:uid="{BD324412-5ABE-40AE-81E2-BF76078BAFEF}"/>
    <cellStyle name="Style 87 5 7 3" xfId="35390" xr:uid="{962CE76F-9891-473D-8E73-4CF4BF864446}"/>
    <cellStyle name="Style 87 5 8" xfId="16825" xr:uid="{B3DD2CA6-FD3D-4E83-B48D-AD0D7A7A81E8}"/>
    <cellStyle name="Style 87 5 8 2" xfId="35392" xr:uid="{7D242824-2231-420A-B368-03042E5CFDE1}"/>
    <cellStyle name="Style 87 5 9" xfId="16826" xr:uid="{B565957E-DBCC-4C0E-92B8-5C49BB433994}"/>
    <cellStyle name="Style 87 5 9 2" xfId="35393" xr:uid="{9E387CF9-30D1-466B-8271-9C13ED4502C4}"/>
    <cellStyle name="Style 87 6" xfId="3677" xr:uid="{7F54B589-4C7C-4D7D-87D9-8D6E9C01F876}"/>
    <cellStyle name="Style 87 6 2" xfId="4219" xr:uid="{A25216D5-8832-4C16-991B-9534AFDC922B}"/>
    <cellStyle name="Style 87 6 2 2" xfId="7423" xr:uid="{BB5B3A1B-A026-4055-83E3-6DF6A0B37FBD}"/>
    <cellStyle name="Style 87 6 2 2 2" xfId="16827" xr:uid="{5C8E04F5-F821-4BD5-A938-CC95BA9F1927}"/>
    <cellStyle name="Style 87 6 2 2 2 2" xfId="35394" xr:uid="{AFC31821-35FC-46D7-B8E3-1C93455F29A8}"/>
    <cellStyle name="Style 87 6 2 2 3" xfId="28352" xr:uid="{B6631530-CF7A-48DF-83AC-3859AE894272}"/>
    <cellStyle name="Style 87 6 2 3" xfId="16828" xr:uid="{3D2B3E2F-2859-4EAA-A27B-4A4FD04BBB44}"/>
    <cellStyle name="Style 87 6 2 3 2" xfId="35395" xr:uid="{D0443002-FFC6-444F-8AFC-0F52BA75F757}"/>
    <cellStyle name="Style 87 6 2 4" xfId="16829" xr:uid="{E8F5AB2F-8C81-4645-A6A3-C5E35660632A}"/>
    <cellStyle name="Style 87 6 2 4 2" xfId="35396" xr:uid="{1D8D852B-1433-472A-9C20-243D11D06C96}"/>
    <cellStyle name="Style 87 6 3" xfId="7424" xr:uid="{7F0B68FA-E9FC-4627-9418-D910CD0A28CE}"/>
    <cellStyle name="Style 87 6 3 2" xfId="16830" xr:uid="{7AFE2C5B-BDBF-4CDB-B202-B670C9EF4891}"/>
    <cellStyle name="Style 87 6 3 2 2" xfId="35397" xr:uid="{BEEF0453-A2FD-4A2E-BA74-F1B4C8EE0170}"/>
    <cellStyle name="Style 87 6 3 3" xfId="16831" xr:uid="{45C92B08-7383-473A-9A6F-34B0E500CAA4}"/>
    <cellStyle name="Style 87 6 3 3 2" xfId="35398" xr:uid="{0D414712-32EF-4BCC-89D6-3348539D597A}"/>
    <cellStyle name="Style 87 6 4" xfId="7422" xr:uid="{29F6CFE6-389E-4DE9-BB69-601D835628AF}"/>
    <cellStyle name="Style 87 6 4 2" xfId="16832" xr:uid="{CE65CAAB-D041-4F00-8E3B-F744D871B797}"/>
    <cellStyle name="Style 87 6 4 2 2" xfId="35399" xr:uid="{6F49E88D-7AE4-4C8E-B4CE-2A4C802BB9D2}"/>
    <cellStyle name="Style 87 6 4 3" xfId="16833" xr:uid="{960D18EE-4B53-4BB0-8E26-7328C8813892}"/>
    <cellStyle name="Style 87 6 4 3 2" xfId="35400" xr:uid="{67F16813-838F-4197-BEB5-7734E751D4D2}"/>
    <cellStyle name="Style 87 6 5" xfId="16834" xr:uid="{0D5D1FC1-6ABF-4860-B631-80329F5A2F4B}"/>
    <cellStyle name="Style 87 6 5 2" xfId="16835" xr:uid="{5842D129-0624-4CA1-8963-1D6114706CEB}"/>
    <cellStyle name="Style 87 6 5 2 2" xfId="35401" xr:uid="{D78BABB7-A132-435D-AB85-A4E32D43A346}"/>
    <cellStyle name="Style 87 6 5 3" xfId="16836" xr:uid="{E6EAEABE-CDB9-4BBE-8CC9-993DA9998262}"/>
    <cellStyle name="Style 87 6 5 3 2" xfId="35402" xr:uid="{19FF7FC4-8501-4559-A6B1-2DA11C3DD4F6}"/>
    <cellStyle name="Style 87 6 6" xfId="16837" xr:uid="{6EF86E1C-E57F-40CC-A012-6D9DC2A1CCE6}"/>
    <cellStyle name="Style 87 6 6 2" xfId="16838" xr:uid="{E0F81193-BAEC-4D72-A21A-A421EBDA668E}"/>
    <cellStyle name="Style 87 6 6 2 2" xfId="35404" xr:uid="{77312624-8695-4719-8348-B28BC9993687}"/>
    <cellStyle name="Style 87 6 6 3" xfId="35403" xr:uid="{B7E7863D-AB29-4523-8ED0-3573E7826745}"/>
    <cellStyle name="Style 87 6 7" xfId="16839" xr:uid="{B3EB8DC8-48EE-411B-B0B5-6C1BCAA8BAA5}"/>
    <cellStyle name="Style 87 6 7 2" xfId="35405" xr:uid="{9564ACA6-2417-47A5-A0B5-53C7BBF9567D}"/>
    <cellStyle name="Style 87 6 8" xfId="16840" xr:uid="{8C7A2A72-3DAA-4935-9746-F3F5FFBA2261}"/>
    <cellStyle name="Style 87 6 8 2" xfId="35406" xr:uid="{2E88E659-0AE4-4DAE-97BD-F9ED9C3D4F36}"/>
    <cellStyle name="Style 87 6 9" xfId="16841" xr:uid="{42B34738-D527-4A5E-A926-3FE93BF99748}"/>
    <cellStyle name="Style 87 6 9 2" xfId="35407" xr:uid="{09166F43-F7EA-4D71-AFA1-BE178D8DC538}"/>
    <cellStyle name="Style 87 7" xfId="4218" xr:uid="{4BE0234C-8AFE-44EF-A795-E7718142927B}"/>
    <cellStyle name="Style 87 7 2" xfId="7426" xr:uid="{5B787E89-7E01-454A-BEB0-A3E59B4EDAAA}"/>
    <cellStyle name="Style 87 7 2 2" xfId="16842" xr:uid="{C6265C2E-E0C7-44D9-9551-5D08631BF0BC}"/>
    <cellStyle name="Style 87 7 2 2 2" xfId="35408" xr:uid="{2AA2FDB5-4879-4552-8848-34668025369C}"/>
    <cellStyle name="Style 87 7 3" xfId="7427" xr:uid="{66A634AB-1752-406B-A70C-4C2907E5DDE8}"/>
    <cellStyle name="Style 87 7 4" xfId="7425" xr:uid="{BB1BB44F-FB0E-4FFE-874E-2C9AE78CBB23}"/>
    <cellStyle name="Style 87 7 4 2" xfId="28351" xr:uid="{C59BB923-2217-464F-A8FC-251B9E49B5C3}"/>
    <cellStyle name="Style 87 7 5" xfId="16843" xr:uid="{928899DE-87E9-49F6-A471-D7CEB90BBB0A}"/>
    <cellStyle name="Style 87 7 5 2" xfId="35409" xr:uid="{3D4E11C4-D774-4C0E-A219-50E8DEBC2491}"/>
    <cellStyle name="Style 87 7 6" xfId="24162" xr:uid="{FB6B3F24-E4AA-4CC3-94E6-4C28C5C0DDDB}"/>
    <cellStyle name="Style 87 8" xfId="7428" xr:uid="{7E3F4A72-FE08-4D23-AFE2-C14B81999C4F}"/>
    <cellStyle name="Style 87 8 2" xfId="16844" xr:uid="{800B5251-811F-4B89-A3DF-73080BF6BF37}"/>
    <cellStyle name="Style 87 8 2 2" xfId="35410" xr:uid="{AD69AC3F-69FC-49EF-8749-2AC1BCB09638}"/>
    <cellStyle name="Style 87 9" xfId="7429" xr:uid="{7690D623-417F-419D-B714-335C880EDA66}"/>
    <cellStyle name="Style 87 9 2" xfId="16845" xr:uid="{9D3F3D50-6994-40C6-9736-1042B98948C9}"/>
    <cellStyle name="Style 87 9 2 2" xfId="35411" xr:uid="{DD0E0E62-436E-4E3B-BA0C-6567CBFA3663}"/>
    <cellStyle name="Style 87_ADDON" xfId="25814" xr:uid="{AC04111F-5B5C-4C63-9492-34CC91915A00}"/>
    <cellStyle name="Style 93" xfId="3678" xr:uid="{AEF81C18-1B4F-43D0-A9DD-6726E075FEE4}"/>
    <cellStyle name="Style 93 10" xfId="3679" xr:uid="{D431B2E3-4668-417E-A8E3-833044DABBFE}"/>
    <cellStyle name="Style 93 10 10" xfId="16846" xr:uid="{6C6457A5-EE16-4A1E-82FF-49F2B70CCC11}"/>
    <cellStyle name="Style 93 10 10 2" xfId="35412" xr:uid="{CC230DF9-6C7D-4B02-BB6C-14451D8C6749}"/>
    <cellStyle name="Style 93 10 11" xfId="24164" xr:uid="{0D2C619C-0684-45DA-A8F7-F0C90CC21BE5}"/>
    <cellStyle name="Style 93 10 2" xfId="3680" xr:uid="{8831630E-7DD4-407F-8161-015FE46B437E}"/>
    <cellStyle name="Style 93 10 2 2" xfId="7432" xr:uid="{F9AB8823-0DBE-4C87-8667-3C8C83AA85B1}"/>
    <cellStyle name="Style 93 10 2 2 2" xfId="16847" xr:uid="{158F7B4B-9122-4F69-8BCA-CD84AF7389E7}"/>
    <cellStyle name="Style 93 10 2 2 2 2" xfId="35413" xr:uid="{638FB609-84E4-45C0-BC0C-CCDAF6171DD2}"/>
    <cellStyle name="Style 93 10 2 2 3" xfId="16848" xr:uid="{74C77773-6280-43B5-B03C-B1ACC9334198}"/>
    <cellStyle name="Style 93 10 2 2 3 2" xfId="35414" xr:uid="{326547CE-4072-485C-A273-0D8D650C0E00}"/>
    <cellStyle name="Style 93 10 2 2 4" xfId="16849" xr:uid="{BB0E1F6E-88C0-4046-B068-952E678BF864}"/>
    <cellStyle name="Style 93 10 2 2 4 2" xfId="35415" xr:uid="{F8D44400-8338-494F-8F52-B0110E9307AA}"/>
    <cellStyle name="Style 93 10 2 3" xfId="16850" xr:uid="{79A3FEA0-12DF-44DA-AC30-CAF76B5C4D1F}"/>
    <cellStyle name="Style 93 10 2 3 2" xfId="16851" xr:uid="{F5148EC8-A7AE-463F-AF2E-6F8D204AF37F}"/>
    <cellStyle name="Style 93 10 2 3 2 2" xfId="35416" xr:uid="{2D81D7A2-69F5-4843-A5E0-0CB40CDCCC75}"/>
    <cellStyle name="Style 93 10 2 3 3" xfId="16852" xr:uid="{DF33801E-7AA6-4E7D-A275-A5BD168A07FD}"/>
    <cellStyle name="Style 93 10 2 3 3 2" xfId="35417" xr:uid="{AB322C53-D0B1-48AC-B7E8-D4837A209BF3}"/>
    <cellStyle name="Style 93 10 2 3 4" xfId="28138" xr:uid="{17F30A62-FBAD-49B5-8DF6-5D82C30984B8}"/>
    <cellStyle name="Style 93 10 2 4" xfId="16853" xr:uid="{63E13696-F667-4624-A186-3997FCEF9563}"/>
    <cellStyle name="Style 93 10 2 4 2" xfId="16854" xr:uid="{941E6D1E-D75C-4A58-9B8F-F807F8696ED8}"/>
    <cellStyle name="Style 93 10 2 4 2 2" xfId="35419" xr:uid="{DA359F85-97D3-4DE9-AE79-E36D184D2383}"/>
    <cellStyle name="Style 93 10 2 4 3" xfId="35418" xr:uid="{EF289EC7-3D88-49B6-AC6B-1C5D890ADEAE}"/>
    <cellStyle name="Style 93 10 2 5" xfId="16855" xr:uid="{5879A912-B7EB-43D2-AEA9-5CDFCBD15B73}"/>
    <cellStyle name="Style 93 10 2 5 2" xfId="16856" xr:uid="{59BAFA59-EFF5-4DA3-93EC-35BFCF9A7E8C}"/>
    <cellStyle name="Style 93 10 2 5 2 2" xfId="35421" xr:uid="{3738CDA5-D809-4B27-B0EC-0505D1676989}"/>
    <cellStyle name="Style 93 10 2 5 3" xfId="35420" xr:uid="{38972502-8917-46BC-A602-4111CC1B9BB6}"/>
    <cellStyle name="Style 93 10 2 6" xfId="16857" xr:uid="{FBCA6342-7483-4978-B48C-0F0B87B9C046}"/>
    <cellStyle name="Style 93 10 2 6 2" xfId="35422" xr:uid="{EF4F336C-A54D-44CB-9E39-F9FE1F1AD31F}"/>
    <cellStyle name="Style 93 10 2 7" xfId="16858" xr:uid="{958928DC-87D4-428F-937E-D1C5AA967903}"/>
    <cellStyle name="Style 93 10 2 7 2" xfId="35423" xr:uid="{BCBDF49B-30E0-4C33-9A13-B9107BC6A509}"/>
    <cellStyle name="Style 93 10 2 8" xfId="16859" xr:uid="{4ED529FB-515D-490E-BDE8-5F9EF9E8E008}"/>
    <cellStyle name="Style 93 10 2 8 2" xfId="35424" xr:uid="{D7B25911-1A2A-4738-ADF3-FE27C0AD3A4F}"/>
    <cellStyle name="Style 93 10 3" xfId="4220" xr:uid="{74A088D1-E205-4C5D-A936-DE7A7C571B4F}"/>
    <cellStyle name="Style 93 10 3 2" xfId="7433" xr:uid="{02EBF723-CF6A-4E41-8830-D5A2E1FC8204}"/>
    <cellStyle name="Style 93 10 3 2 2" xfId="16860" xr:uid="{D80F0FBF-C675-494B-9DF7-23B75CBF0681}"/>
    <cellStyle name="Style 93 10 3 2 2 2" xfId="35425" xr:uid="{12FE67AA-6B93-4BEC-946A-33648D498163}"/>
    <cellStyle name="Style 93 10 3 2 3" xfId="28353" xr:uid="{7613DEC0-ECE5-4834-BA2D-8C4CEF187DAA}"/>
    <cellStyle name="Style 93 10 3 3" xfId="16861" xr:uid="{3C92FE0B-86A0-4895-BBEC-8CAAF731688A}"/>
    <cellStyle name="Style 93 10 3 3 2" xfId="35426" xr:uid="{A8A8D22E-622B-4388-8400-65C9CEC0BFBE}"/>
    <cellStyle name="Style 93 10 3 4" xfId="16862" xr:uid="{B99A2C10-1A65-4D3A-BF91-1608ED739B24}"/>
    <cellStyle name="Style 93 10 3 4 2" xfId="35427" xr:uid="{6AD0A8E2-13F7-4834-AEDE-55B741F6B444}"/>
    <cellStyle name="Style 93 10 4" xfId="7431" xr:uid="{394CA961-2220-481F-8962-A5F587CF0E29}"/>
    <cellStyle name="Style 93 10 4 2" xfId="16863" xr:uid="{033FB1CA-E7C6-4D12-BB96-B2C959FBB375}"/>
    <cellStyle name="Style 93 10 4 2 2" xfId="35428" xr:uid="{86E3D8AA-DEE6-440E-A708-C48371380F54}"/>
    <cellStyle name="Style 93 10 4 3" xfId="16864" xr:uid="{42D51B73-710A-49EA-9AC7-2428E9FFE8B8}"/>
    <cellStyle name="Style 93 10 4 3 2" xfId="35429" xr:uid="{EEE8CF73-F991-40EC-B581-35DB4B4F7525}"/>
    <cellStyle name="Style 93 10 5" xfId="16865" xr:uid="{14771E18-2384-43E2-AE8D-646E4041986B}"/>
    <cellStyle name="Style 93 10 5 2" xfId="16866" xr:uid="{3F46BCCD-3641-4323-B7A2-D08EFA248AD0}"/>
    <cellStyle name="Style 93 10 5 2 2" xfId="35430" xr:uid="{89F4FDC2-A29D-4C76-9D6D-B45D72F350CE}"/>
    <cellStyle name="Style 93 10 5 3" xfId="16867" xr:uid="{C522E1F9-2B77-4721-B8C4-1CAD11291F01}"/>
    <cellStyle name="Style 93 10 5 3 2" xfId="35431" xr:uid="{464E76D6-D44E-460B-85A2-9B35ED0EE04F}"/>
    <cellStyle name="Style 93 10 5 4" xfId="28137" xr:uid="{0D271A4A-ECA5-4C85-88BF-6AC0DB80C6F8}"/>
    <cellStyle name="Style 93 10 6" xfId="16868" xr:uid="{19011EAC-5D8E-432F-B44E-5979F1F2B1B6}"/>
    <cellStyle name="Style 93 10 6 2" xfId="16869" xr:uid="{10A99D14-BF13-45F8-983D-271B6202A2F1}"/>
    <cellStyle name="Style 93 10 6 2 2" xfId="35433" xr:uid="{AF097977-A693-4C94-A1AE-CC07732ED327}"/>
    <cellStyle name="Style 93 10 6 3" xfId="35432" xr:uid="{3BDECA41-C0BB-4CED-8A94-71F9A4756DCB}"/>
    <cellStyle name="Style 93 10 7" xfId="16870" xr:uid="{9EF0EA9F-316A-4C8C-ABFF-E4C14FB7A11D}"/>
    <cellStyle name="Style 93 10 7 2" xfId="16871" xr:uid="{4CBA7D43-8555-47B9-AF1D-4DFD26948FD6}"/>
    <cellStyle name="Style 93 10 7 2 2" xfId="35435" xr:uid="{4C70B9BD-CA56-44C6-977B-43AF1CBC34B7}"/>
    <cellStyle name="Style 93 10 7 3" xfId="35434" xr:uid="{2D169377-3B8C-4F5E-9AC6-355BE20A42C1}"/>
    <cellStyle name="Style 93 10 8" xfId="16872" xr:uid="{CC7526D1-3F24-4ADF-88DB-3559C62CA2FA}"/>
    <cellStyle name="Style 93 10 8 2" xfId="35436" xr:uid="{AA08B8EA-A784-495D-897D-6EE310B4C00F}"/>
    <cellStyle name="Style 93 10 9" xfId="16873" xr:uid="{BA1B4016-0C62-4946-A24B-C09736E0B7D2}"/>
    <cellStyle name="Style 93 10 9 2" xfId="35437" xr:uid="{1E2A25B5-3B36-429B-87B2-F24B51394198}"/>
    <cellStyle name="Style 93 11" xfId="3681" xr:uid="{5AF3BE9A-3FE0-4F95-81C7-00B4CA5E4C14}"/>
    <cellStyle name="Style 93 11 10" xfId="16874" xr:uid="{ECFEF10B-C034-4162-A433-7FE996B90B1E}"/>
    <cellStyle name="Style 93 11 10 2" xfId="35438" xr:uid="{7E01BAC0-E9D2-459C-ABA2-DA62033ED6A1}"/>
    <cellStyle name="Style 93 11 11" xfId="24165" xr:uid="{8E33861E-8B2C-4683-8E24-A9DA03D69B49}"/>
    <cellStyle name="Style 93 11 2" xfId="3682" xr:uid="{5CA64DB7-7053-402C-9067-2E37A0FB47D1}"/>
    <cellStyle name="Style 93 11 2 2" xfId="7435" xr:uid="{7DC9EE29-6F6B-453F-A3C1-F6E4CDC450C9}"/>
    <cellStyle name="Style 93 11 2 2 2" xfId="16875" xr:uid="{E7617333-395E-41DF-B856-FA3B3D84CE03}"/>
    <cellStyle name="Style 93 11 2 2 2 2" xfId="35439" xr:uid="{EC8D965A-8C57-4262-8C88-AFD2CA7FA355}"/>
    <cellStyle name="Style 93 11 2 2 3" xfId="16876" xr:uid="{CEEBEDD0-7C82-47F6-816F-009169E1DD99}"/>
    <cellStyle name="Style 93 11 2 2 3 2" xfId="35440" xr:uid="{E518A1D9-6229-4643-B431-FADC3362D9E9}"/>
    <cellStyle name="Style 93 11 2 2 4" xfId="16877" xr:uid="{E3A6E100-B7AF-4279-8836-946BC7C24DA9}"/>
    <cellStyle name="Style 93 11 2 2 4 2" xfId="35441" xr:uid="{112C18B7-1A5C-4D8F-BD9A-92FA723806F9}"/>
    <cellStyle name="Style 93 11 2 3" xfId="16878" xr:uid="{20B2CD54-D43D-430B-A37A-87BAACD770B8}"/>
    <cellStyle name="Style 93 11 2 3 2" xfId="16879" xr:uid="{EC31F85B-3FFB-4446-8DC8-001D2C87B30C}"/>
    <cellStyle name="Style 93 11 2 3 2 2" xfId="35442" xr:uid="{91B04216-8F11-4979-89A8-06DDC6F137F0}"/>
    <cellStyle name="Style 93 11 2 3 3" xfId="16880" xr:uid="{85C5FE41-E4CD-4DAA-9D9F-3D33E8C5B1EB}"/>
    <cellStyle name="Style 93 11 2 3 3 2" xfId="35443" xr:uid="{C159A0FE-1127-44EC-82D8-67EC3A4ACEE3}"/>
    <cellStyle name="Style 93 11 2 3 4" xfId="28140" xr:uid="{5A40F5CD-664B-4954-8EDA-5006C289A2E6}"/>
    <cellStyle name="Style 93 11 2 4" xfId="16881" xr:uid="{9F3165FE-25A2-4295-BA7E-2AB0CD31E569}"/>
    <cellStyle name="Style 93 11 2 4 2" xfId="16882" xr:uid="{4A562795-B668-4CDC-9540-123F7882B822}"/>
    <cellStyle name="Style 93 11 2 4 2 2" xfId="35445" xr:uid="{62008A37-C178-44CF-84FE-2A4B39F05A68}"/>
    <cellStyle name="Style 93 11 2 4 3" xfId="35444" xr:uid="{CD404B3C-E1A0-4A72-81B9-D07FE919B653}"/>
    <cellStyle name="Style 93 11 2 5" xfId="16883" xr:uid="{3A9CC651-154A-4FA5-A1A5-D781CDCE9830}"/>
    <cellStyle name="Style 93 11 2 5 2" xfId="16884" xr:uid="{7A0509A7-3D16-4527-90F3-80B74CB340C1}"/>
    <cellStyle name="Style 93 11 2 5 2 2" xfId="35447" xr:uid="{FA1334BC-6EF2-4AD3-992A-C4F0E5F5E82F}"/>
    <cellStyle name="Style 93 11 2 5 3" xfId="35446" xr:uid="{F8ABEFFC-1654-4F92-8F1E-F68CE6341FE9}"/>
    <cellStyle name="Style 93 11 2 6" xfId="16885" xr:uid="{CDC24A1F-71DA-42BA-8780-89798E9F466A}"/>
    <cellStyle name="Style 93 11 2 6 2" xfId="35448" xr:uid="{85A510BA-FBC8-4B4E-A2B1-02E45D703F55}"/>
    <cellStyle name="Style 93 11 2 7" xfId="16886" xr:uid="{F3835F21-FF51-4A15-B84F-B9D21F7D184F}"/>
    <cellStyle name="Style 93 11 2 7 2" xfId="35449" xr:uid="{45FE736B-B89A-4A98-8516-AAB527C4F077}"/>
    <cellStyle name="Style 93 11 2 8" xfId="16887" xr:uid="{F9F00F6E-83F7-4517-B8DD-ABE9EE9EFBE5}"/>
    <cellStyle name="Style 93 11 2 8 2" xfId="35450" xr:uid="{7D7E1A86-7615-403C-A813-72D8B7483219}"/>
    <cellStyle name="Style 93 11 3" xfId="7436" xr:uid="{7063A48E-F462-4DE9-A5CE-31479FFB0067}"/>
    <cellStyle name="Style 93 11 3 2" xfId="16888" xr:uid="{45A195BD-748B-405B-88C0-158E3ABE4341}"/>
    <cellStyle name="Style 93 11 3 2 2" xfId="35451" xr:uid="{9337D4BE-CEFF-45E8-ACAB-D4CB6E72B858}"/>
    <cellStyle name="Style 93 11 3 3" xfId="16889" xr:uid="{4BC5B964-880B-4EA9-AE03-BD90AF99A8F6}"/>
    <cellStyle name="Style 93 11 3 3 2" xfId="35452" xr:uid="{F42C92FC-D0F2-43A0-A988-66F40AE8C9FC}"/>
    <cellStyle name="Style 93 11 3 4" xfId="16890" xr:uid="{FDD12838-6FE1-4A80-989E-74359B35AE1F}"/>
    <cellStyle name="Style 93 11 3 4 2" xfId="35453" xr:uid="{E78D2E3B-8FB9-443E-AA7A-0692E98B61C0}"/>
    <cellStyle name="Style 93 11 4" xfId="7434" xr:uid="{2869B7D8-D599-4F3D-837C-DDBAA20A7AFB}"/>
    <cellStyle name="Style 93 11 4 2" xfId="16891" xr:uid="{573B26AC-A696-4A3D-BCDC-1598F34328DC}"/>
    <cellStyle name="Style 93 11 4 2 2" xfId="35454" xr:uid="{B1BCF582-55F6-48A8-9169-D70341800510}"/>
    <cellStyle name="Style 93 11 4 3" xfId="16892" xr:uid="{EACCBD85-9DBF-40F8-AA81-ACEBF045F38D}"/>
    <cellStyle name="Style 93 11 4 3 2" xfId="35455" xr:uid="{AD4506F0-FA77-4C91-B6D5-1FA64BDFC7EC}"/>
    <cellStyle name="Style 93 11 5" xfId="16893" xr:uid="{A9C78A5F-D01F-4D12-AC97-493CF832D244}"/>
    <cellStyle name="Style 93 11 5 2" xfId="16894" xr:uid="{9D6E76E0-EA2A-408F-A475-C67DBFBFA6B4}"/>
    <cellStyle name="Style 93 11 5 2 2" xfId="35456" xr:uid="{DC70D6BD-52DC-4754-93C3-CF56EE27DB92}"/>
    <cellStyle name="Style 93 11 5 3" xfId="16895" xr:uid="{0687C4B9-3CC9-4DC5-B6A4-E6AA7C40AB18}"/>
    <cellStyle name="Style 93 11 5 3 2" xfId="35457" xr:uid="{F020B3D4-EF95-4904-BFC8-A420920849C7}"/>
    <cellStyle name="Style 93 11 5 4" xfId="28139" xr:uid="{1EA800BE-BCF8-4F9D-B355-434F669C55DE}"/>
    <cellStyle name="Style 93 11 6" xfId="16896" xr:uid="{27C606B1-285D-4B79-B432-ED76E6C6AF75}"/>
    <cellStyle name="Style 93 11 6 2" xfId="16897" xr:uid="{0D997F04-F35E-4725-8D6A-4787A7C30028}"/>
    <cellStyle name="Style 93 11 6 2 2" xfId="35459" xr:uid="{7CFFCFE9-7607-44E4-BE3B-080E0EC51C85}"/>
    <cellStyle name="Style 93 11 6 3" xfId="35458" xr:uid="{C47EF708-AEEC-4A8E-9345-E576AD125DC7}"/>
    <cellStyle name="Style 93 11 7" xfId="16898" xr:uid="{1F305AA2-3FD9-4005-A88B-1AACBF446E1F}"/>
    <cellStyle name="Style 93 11 7 2" xfId="16899" xr:uid="{143AD14E-E720-4D8A-9692-2C6948590DA4}"/>
    <cellStyle name="Style 93 11 7 2 2" xfId="35461" xr:uid="{821C6245-DEEE-4946-862D-8B9EEEE58869}"/>
    <cellStyle name="Style 93 11 7 3" xfId="35460" xr:uid="{520B50B4-C815-46A6-8D74-F3A45548663B}"/>
    <cellStyle name="Style 93 11 8" xfId="16900" xr:uid="{8E7DC2E8-7499-4854-9819-09D80CFB424B}"/>
    <cellStyle name="Style 93 11 8 2" xfId="35462" xr:uid="{783974AD-01D9-4B54-A5B0-4994C84AEFB9}"/>
    <cellStyle name="Style 93 11 9" xfId="16901" xr:uid="{523661F7-47E3-4DCA-8A0B-74F0283F5913}"/>
    <cellStyle name="Style 93 11 9 2" xfId="35463" xr:uid="{D073DE0B-CF52-4186-816D-F361636051C7}"/>
    <cellStyle name="Style 93 12" xfId="3683" xr:uid="{8F5332C9-66C6-4C5B-8101-A19453B9C5A4}"/>
    <cellStyle name="Style 93 12 10" xfId="16902" xr:uid="{94A2F485-32A3-4D54-9C2C-095E44ADB88E}"/>
    <cellStyle name="Style 93 12 10 2" xfId="35464" xr:uid="{55B97B0C-449F-4D68-98E6-2B4E0B5D13D8}"/>
    <cellStyle name="Style 93 12 2" xfId="7437" xr:uid="{1102AD11-1F9B-4C1C-AA66-45B422DC1CAB}"/>
    <cellStyle name="Style 93 12 2 2" xfId="16903" xr:uid="{EE4D0815-1252-46EF-B541-9C7F87CDC9AB}"/>
    <cellStyle name="Style 93 12 2 2 2" xfId="16904" xr:uid="{98434057-42BE-435B-B5CA-17B4DFFC0540}"/>
    <cellStyle name="Style 93 12 2 2 2 2" xfId="35466" xr:uid="{71B1F6C8-AFE9-4C16-A537-E4152F26F309}"/>
    <cellStyle name="Style 93 12 2 2 3" xfId="35465" xr:uid="{2CCB035A-7BB3-48B4-8D3B-9CCB22823311}"/>
    <cellStyle name="Style 93 12 2 3" xfId="16905" xr:uid="{8942D812-3EBD-4268-B392-F560AFA9D005}"/>
    <cellStyle name="Style 93 12 2 3 2" xfId="16906" xr:uid="{CE1B8BF3-8796-4E26-9B9D-3E03477455CF}"/>
    <cellStyle name="Style 93 12 2 3 2 2" xfId="35468" xr:uid="{01D62301-F053-4035-9C26-AFA041BCC297}"/>
    <cellStyle name="Style 93 12 2 3 3" xfId="35467" xr:uid="{623749D4-0402-4DF5-A59D-AD544E172715}"/>
    <cellStyle name="Style 93 12 2 4" xfId="16907" xr:uid="{8B817903-ADC0-4671-9F70-2B185B75A97E}"/>
    <cellStyle name="Style 93 12 2 4 2" xfId="16908" xr:uid="{2EC5C4BB-6A66-423A-9927-9D4A5D9620CA}"/>
    <cellStyle name="Style 93 12 2 4 2 2" xfId="35470" xr:uid="{0551EF5E-142B-488C-B070-EFF0B3F1B689}"/>
    <cellStyle name="Style 93 12 2 4 3" xfId="35469" xr:uid="{87B04536-79CC-47B0-A353-D0620B1E4DDD}"/>
    <cellStyle name="Style 93 12 2 5" xfId="16909" xr:uid="{22E7CC03-54E5-43E7-A327-2463D12FC729}"/>
    <cellStyle name="Style 93 12 2 5 2" xfId="16910" xr:uid="{9E9A8933-A587-442D-AE2B-FC2972B46864}"/>
    <cellStyle name="Style 93 12 2 5 2 2" xfId="35472" xr:uid="{9095C9E7-BD8A-4DCA-8912-1CF0469E4C8C}"/>
    <cellStyle name="Style 93 12 2 5 3" xfId="35471" xr:uid="{FA4F9031-6237-4AA4-97FC-F56617830953}"/>
    <cellStyle name="Style 93 12 2 6" xfId="16911" xr:uid="{6D954EA5-1968-4131-A358-E0899D0C9C93}"/>
    <cellStyle name="Style 93 12 2 6 2" xfId="35473" xr:uid="{F575604D-6187-4B09-8024-5BAE1663FC11}"/>
    <cellStyle name="Style 93 12 2 7" xfId="16912" xr:uid="{728D4BD1-3395-4EA5-AF88-10C2067C51CB}"/>
    <cellStyle name="Style 93 12 2 7 2" xfId="35474" xr:uid="{321174EF-7719-41FF-B96E-6A2CA4EB8206}"/>
    <cellStyle name="Style 93 12 3" xfId="16913" xr:uid="{2605D9C0-BA22-47FB-94D8-A858D7383402}"/>
    <cellStyle name="Style 93 12 3 2" xfId="16914" xr:uid="{A4861251-2FC8-468A-A0A5-D9A0E4F21243}"/>
    <cellStyle name="Style 93 12 3 2 2" xfId="16915" xr:uid="{8C5C178D-7794-4BF4-9DBC-6464655ED596}"/>
    <cellStyle name="Style 93 12 3 2 2 2" xfId="35476" xr:uid="{0BBA3D65-6256-4C63-9C59-E2D265300070}"/>
    <cellStyle name="Style 93 12 3 2 3" xfId="35475" xr:uid="{6E7CED5B-E101-4E8F-BDB8-697A824FE25D}"/>
    <cellStyle name="Style 93 12 3 3" xfId="16916" xr:uid="{1277AD14-5DC0-4B8A-8ACB-960492552697}"/>
    <cellStyle name="Style 93 12 3 3 2" xfId="16917" xr:uid="{932E3B9B-0BEC-4FBA-A226-8ACE032B989A}"/>
    <cellStyle name="Style 93 12 3 3 2 2" xfId="35478" xr:uid="{44B8F3D6-210B-4F8A-8CE1-2A92C9A10FFD}"/>
    <cellStyle name="Style 93 12 3 3 3" xfId="35477" xr:uid="{B0C29073-DD03-4242-B21A-23AF61B696F7}"/>
    <cellStyle name="Style 93 12 3 4" xfId="16918" xr:uid="{A7D2A3A2-7725-4D72-9A7C-DCFF6A2E082B}"/>
    <cellStyle name="Style 93 12 3 4 2" xfId="16919" xr:uid="{EFC454F2-887A-4183-8DCB-3362C3F479AE}"/>
    <cellStyle name="Style 93 12 3 4 2 2" xfId="35480" xr:uid="{D1741938-87B3-4CF0-9DBD-88590A7FAA0D}"/>
    <cellStyle name="Style 93 12 3 4 3" xfId="35479" xr:uid="{BBB61B83-BAAA-4913-9973-56421D494B4B}"/>
    <cellStyle name="Style 93 12 3 5" xfId="16920" xr:uid="{9074FFD1-1F87-430E-8808-1D4C5DCE60DA}"/>
    <cellStyle name="Style 93 12 3 5 2" xfId="16921" xr:uid="{0326A3C2-86AF-44BD-B45A-72D9D353AEBE}"/>
    <cellStyle name="Style 93 12 3 5 2 2" xfId="35482" xr:uid="{E8214D98-B618-49F5-8FD6-B156DCB05868}"/>
    <cellStyle name="Style 93 12 3 5 3" xfId="35481" xr:uid="{D3DA1016-93F8-4494-B3FA-1577D8FC649C}"/>
    <cellStyle name="Style 93 12 3 6" xfId="16922" xr:uid="{F9E14981-E877-423F-B1F3-B1D601E65F14}"/>
    <cellStyle name="Style 93 12 3 6 2" xfId="35483" xr:uid="{20DC2AB7-38A2-4EB0-910F-0C7FB08A30B7}"/>
    <cellStyle name="Style 93 12 3 7" xfId="16923" xr:uid="{1F307C6D-1641-4419-A433-3BAC5486D907}"/>
    <cellStyle name="Style 93 12 3 7 2" xfId="35484" xr:uid="{AEE7E58D-CDBB-46F0-9CDB-09704D00F50A}"/>
    <cellStyle name="Style 93 12 3 8" xfId="28141" xr:uid="{890A85BE-9495-4B9D-BB13-3B4B095A9E7E}"/>
    <cellStyle name="Style 93 12 4" xfId="16924" xr:uid="{BA7098B8-F6E7-418A-860A-FE4BBEE48EEB}"/>
    <cellStyle name="Style 93 12 4 2" xfId="16925" xr:uid="{A1A998C7-FDC7-427A-9402-6BB4AFFD141C}"/>
    <cellStyle name="Style 93 12 4 2 2" xfId="35486" xr:uid="{89E37781-A005-4FDD-A007-952E2824891E}"/>
    <cellStyle name="Style 93 12 4 3" xfId="35485" xr:uid="{483D157A-2FFB-42C0-9C08-4431DC8001F1}"/>
    <cellStyle name="Style 93 12 5" xfId="16926" xr:uid="{0DD82366-EBB8-4282-85FB-C7857D3B6667}"/>
    <cellStyle name="Style 93 12 5 2" xfId="16927" xr:uid="{4C774015-AC67-4B52-AA70-47BDC9E2A4CC}"/>
    <cellStyle name="Style 93 12 5 2 2" xfId="35488" xr:uid="{E7897504-46BA-4338-A25A-2ED9B68BB7A2}"/>
    <cellStyle name="Style 93 12 5 3" xfId="35487" xr:uid="{1077AA43-24F0-46AA-9572-0A8C0516A725}"/>
    <cellStyle name="Style 93 12 6" xfId="16928" xr:uid="{1F8A5816-981E-489F-BF59-D1BDD01997A4}"/>
    <cellStyle name="Style 93 12 6 2" xfId="16929" xr:uid="{080786F0-EDCD-476B-BC7F-9C140DC6720A}"/>
    <cellStyle name="Style 93 12 6 2 2" xfId="35490" xr:uid="{7684B9D7-6891-4C81-8214-2ECE092A640F}"/>
    <cellStyle name="Style 93 12 6 3" xfId="35489" xr:uid="{66281F26-88CE-424F-893C-04EA6EADCFB2}"/>
    <cellStyle name="Style 93 12 7" xfId="16930" xr:uid="{4AF0D439-3980-4E4F-B768-7E6F5552AB7F}"/>
    <cellStyle name="Style 93 12 7 2" xfId="16931" xr:uid="{A399BE94-FEDC-4C28-A591-E33310A7A2A3}"/>
    <cellStyle name="Style 93 12 7 2 2" xfId="35492" xr:uid="{9ACE050A-A557-4F95-AA17-EF08CF26B64B}"/>
    <cellStyle name="Style 93 12 7 3" xfId="35491" xr:uid="{A7211901-B2F6-4BE2-BACA-58A8473893E9}"/>
    <cellStyle name="Style 93 12 8" xfId="16932" xr:uid="{F92CCB5E-3125-457F-85B9-25450E4719F6}"/>
    <cellStyle name="Style 93 12 8 2" xfId="16933" xr:uid="{667B49A8-4227-440A-8BF8-9E82D51B145A}"/>
    <cellStyle name="Style 93 12 8 2 2" xfId="35494" xr:uid="{80B848FB-90BA-4DCA-BDB9-2865B32F55E2}"/>
    <cellStyle name="Style 93 12 8 3" xfId="35493" xr:uid="{A387CED5-9F1A-46A7-AF85-AD7C91FA8DB2}"/>
    <cellStyle name="Style 93 12 9" xfId="16934" xr:uid="{808D51A9-A1F3-45EB-AE8C-C6BB0AE7C247}"/>
    <cellStyle name="Style 93 12 9 2" xfId="35495" xr:uid="{8416737E-A57C-4365-B86E-1EBF84052C31}"/>
    <cellStyle name="Style 93 13" xfId="7438" xr:uid="{9D997BAF-7987-4D93-88A2-7CA35B1BC5DB}"/>
    <cellStyle name="Style 93 13 2" xfId="16935" xr:uid="{12BBDFB7-DE56-409D-A406-E198398FDE0B}"/>
    <cellStyle name="Style 93 13 2 2" xfId="16936" xr:uid="{E17F9FC7-AEDB-4911-9DC6-EBE70C9886FF}"/>
    <cellStyle name="Style 93 13 2 2 2" xfId="35497" xr:uid="{210667BB-DEA2-4260-AB7B-B4CAF2379FFD}"/>
    <cellStyle name="Style 93 13 2 3" xfId="35496" xr:uid="{EE5BAB34-C946-4CB4-A24B-C9AD3F80AD20}"/>
    <cellStyle name="Style 93 13 3" xfId="16937" xr:uid="{D4698881-8102-435B-A54E-7B5514B8C01C}"/>
    <cellStyle name="Style 93 13 3 2" xfId="16938" xr:uid="{B295D307-B8D7-4D9D-83CB-211464F0BBFC}"/>
    <cellStyle name="Style 93 13 3 2 2" xfId="35499" xr:uid="{49A2F976-9617-47DD-A9C9-C2282187E656}"/>
    <cellStyle name="Style 93 13 3 3" xfId="35498" xr:uid="{DCADE5B4-20A2-4DE2-9B4E-F358A0F9398D}"/>
    <cellStyle name="Style 93 13 4" xfId="16939" xr:uid="{B2768305-CCF6-4311-8E06-E7C992C66148}"/>
    <cellStyle name="Style 93 13 4 2" xfId="16940" xr:uid="{2B27D46D-C451-40BD-9A05-D1667A149D21}"/>
    <cellStyle name="Style 93 13 4 2 2" xfId="35501" xr:uid="{03CD0E01-BE3B-43B5-9C75-C4BA77E457CA}"/>
    <cellStyle name="Style 93 13 4 3" xfId="35500" xr:uid="{38BEFA3D-C73B-449C-A06B-AE212C53C769}"/>
    <cellStyle name="Style 93 13 5" xfId="16941" xr:uid="{DA4E4F8A-EB68-4B31-8F56-47937948CC59}"/>
    <cellStyle name="Style 93 13 5 2" xfId="16942" xr:uid="{77B9895E-1847-4E39-9078-1EF8B46FB9F6}"/>
    <cellStyle name="Style 93 13 5 2 2" xfId="35503" xr:uid="{10FCEE90-B9D7-4F5E-AC90-D8653E73470F}"/>
    <cellStyle name="Style 93 13 5 3" xfId="35502" xr:uid="{9806F79B-061B-4B5B-88A1-EE0DD0264204}"/>
    <cellStyle name="Style 93 13 6" xfId="16943" xr:uid="{A36D20AD-53B4-4817-B639-9950893B808A}"/>
    <cellStyle name="Style 93 13 6 2" xfId="35504" xr:uid="{66C1556B-18B5-4A79-B070-CFFE1EB688CF}"/>
    <cellStyle name="Style 93 13 7" xfId="16944" xr:uid="{4F32D133-412B-4E69-8F4D-76409F0BB600}"/>
    <cellStyle name="Style 93 13 7 2" xfId="35505" xr:uid="{08810092-D328-4EB3-8E40-8EC75305DA87}"/>
    <cellStyle name="Style 93 14" xfId="7430" xr:uid="{C44DB38F-CDA8-41FA-A89F-868449E2CB1C}"/>
    <cellStyle name="Style 93 14 2" xfId="16945" xr:uid="{0751EC1D-EBE8-4C8F-A9DB-33BF3C9E4F7D}"/>
    <cellStyle name="Style 93 14 2 2" xfId="16946" xr:uid="{2967B301-EBED-455D-923E-0495BC8E899A}"/>
    <cellStyle name="Style 93 14 2 2 2" xfId="35507" xr:uid="{97948566-D51E-4FDE-8625-8BACCA642A96}"/>
    <cellStyle name="Style 93 14 2 3" xfId="35506" xr:uid="{C3BB9342-744B-49B1-A653-7124239C550D}"/>
    <cellStyle name="Style 93 14 3" xfId="16947" xr:uid="{C46E06C8-E812-49E5-809F-D67DCDEDD04B}"/>
    <cellStyle name="Style 93 14 3 2" xfId="16948" xr:uid="{90239EE8-CD14-4424-967D-494543A1F80C}"/>
    <cellStyle name="Style 93 14 3 2 2" xfId="35509" xr:uid="{AEBD2A8C-A00B-4BBE-9DAC-978EBCF680C7}"/>
    <cellStyle name="Style 93 14 3 3" xfId="35508" xr:uid="{7C2FEE4F-010D-42F5-84CF-BB1E0331BD0F}"/>
    <cellStyle name="Style 93 14 4" xfId="16949" xr:uid="{7C5593E8-DCF6-41D0-8882-AADDE1F134C9}"/>
    <cellStyle name="Style 93 14 4 2" xfId="16950" xr:uid="{B9ECE32B-F7A2-4107-9BCB-D184FBF97C09}"/>
    <cellStyle name="Style 93 14 4 2 2" xfId="35511" xr:uid="{959E9787-D128-4825-971D-2012D0DFE6C1}"/>
    <cellStyle name="Style 93 14 4 3" xfId="35510" xr:uid="{CCE05155-9B25-4D26-9830-EF4AE0985080}"/>
    <cellStyle name="Style 93 14 5" xfId="16951" xr:uid="{514F6B61-8D8D-49FC-A600-97EEBC0525F5}"/>
    <cellStyle name="Style 93 14 5 2" xfId="16952" xr:uid="{0EB02E7E-194F-4962-8FA1-39FBCD67A897}"/>
    <cellStyle name="Style 93 14 5 2 2" xfId="35513" xr:uid="{4EBF56A1-F9F5-4E66-B9CB-820A10536C18}"/>
    <cellStyle name="Style 93 14 5 3" xfId="35512" xr:uid="{A091D2C1-D8BD-4B65-AC3A-812A8E9F5262}"/>
    <cellStyle name="Style 93 14 6" xfId="16953" xr:uid="{50182FA8-DAA5-4649-9DA0-DFA12456C1CA}"/>
    <cellStyle name="Style 93 14 6 2" xfId="35514" xr:uid="{8BF86020-7F1A-4559-8C14-F51677E8F7A9}"/>
    <cellStyle name="Style 93 14 7" xfId="16954" xr:uid="{6C311124-A0E0-444F-BD58-5ECC81F2F3A3}"/>
    <cellStyle name="Style 93 14 7 2" xfId="35515" xr:uid="{34FBB0DA-CF1B-4CD9-A567-DA7D009B47CD}"/>
    <cellStyle name="Style 93 15" xfId="16955" xr:uid="{02DA981D-C51A-4C18-9A51-8C689633DC0A}"/>
    <cellStyle name="Style 93 15 2" xfId="16956" xr:uid="{3493718E-906F-4D1C-B9E4-0D03241AADA6}"/>
    <cellStyle name="Style 93 15 2 2" xfId="35516" xr:uid="{3A6AE338-FC81-479C-AE1E-EE0FB4E5D1F7}"/>
    <cellStyle name="Style 93 15 3" xfId="16957" xr:uid="{A8E141DD-212D-4406-AA9F-FEBCA9EA7BDB}"/>
    <cellStyle name="Style 93 15 3 2" xfId="35517" xr:uid="{FBA80A00-5A3B-4CA9-ACB5-7654D313BA4A}"/>
    <cellStyle name="Style 93 15 4" xfId="26718" xr:uid="{EA18EE7D-679A-4B9B-B8A4-2410DA82FD14}"/>
    <cellStyle name="Style 93 16" xfId="16958" xr:uid="{2E267FF6-5D37-4E2D-A7DD-676D875FF638}"/>
    <cellStyle name="Style 93 16 2" xfId="16959" xr:uid="{6ED06747-A3AD-4AE8-AA9C-69245E82E8FE}"/>
    <cellStyle name="Style 93 16 2 2" xfId="35519" xr:uid="{2B5AA2A3-8C4D-4B66-A525-BA13C3513743}"/>
    <cellStyle name="Style 93 16 3" xfId="35518" xr:uid="{5D83E45D-2AB7-47E1-BB78-FF47C51BCDD3}"/>
    <cellStyle name="Style 93 17" xfId="16960" xr:uid="{EE1CB21A-7928-4767-9166-C89227C453A2}"/>
    <cellStyle name="Style 93 17 2" xfId="16961" xr:uid="{8811096F-F8C2-4042-8336-7D2171E7E972}"/>
    <cellStyle name="Style 93 17 2 2" xfId="35521" xr:uid="{0E8775C7-3884-4CA4-B2C0-91F11C047221}"/>
    <cellStyle name="Style 93 17 3" xfId="35520" xr:uid="{CC65F4ED-5900-47A4-9E54-9579ACCD9F8E}"/>
    <cellStyle name="Style 93 18" xfId="16962" xr:uid="{E79899A5-3375-4AFF-9621-315EE8173FD7}"/>
    <cellStyle name="Style 93 18 2" xfId="16963" xr:uid="{84F31DC7-819A-4F03-B642-EA6A1E866354}"/>
    <cellStyle name="Style 93 18 2 2" xfId="35523" xr:uid="{67DBFC9E-6D62-4EFD-9E92-EADF70ED2151}"/>
    <cellStyle name="Style 93 18 3" xfId="35522" xr:uid="{10D64033-14FB-4EFE-A0C0-720E2A91DB3B}"/>
    <cellStyle name="Style 93 19" xfId="16964" xr:uid="{1DCDAE03-4A95-44C2-BA08-3063CF5577DD}"/>
    <cellStyle name="Style 93 19 2" xfId="16965" xr:uid="{964C9653-4FF2-4F43-A705-187B4BB1C3C4}"/>
    <cellStyle name="Style 93 19 2 2" xfId="35525" xr:uid="{7FE57F1D-A8D8-4FC9-9A85-68D6ED8F0860}"/>
    <cellStyle name="Style 93 19 3" xfId="35524" xr:uid="{CD85B636-8AA4-4ACB-8E18-2F008D710B98}"/>
    <cellStyle name="Style 93 2" xfId="3684" xr:uid="{9E02181A-0176-45B6-AF7A-9E9D0E65683F}"/>
    <cellStyle name="Style 93 2 10" xfId="16966" xr:uid="{EC8D0863-5CE8-4804-9237-8FEF1952D21C}"/>
    <cellStyle name="Style 93 2 10 2" xfId="35526" xr:uid="{884BA728-44BD-45B4-8B43-62716155C40D}"/>
    <cellStyle name="Style 93 2 11" xfId="24166" xr:uid="{75E6A2B4-0A83-4CF6-A58D-1D25E601B9B6}"/>
    <cellStyle name="Style 93 2 2" xfId="7440" xr:uid="{60AD9B65-76B2-43EA-989C-C0DAF6369E7D}"/>
    <cellStyle name="Style 93 2 2 2" xfId="16967" xr:uid="{DABA0A0F-3973-4C95-94D2-8D272659A57D}"/>
    <cellStyle name="Style 93 2 2 2 2" xfId="35527" xr:uid="{82E7FD77-B17B-4F72-8BFB-881D57E6873A}"/>
    <cellStyle name="Style 93 2 2 3" xfId="16968" xr:uid="{E82504BE-FF44-49A4-9602-052ED97F07BA}"/>
    <cellStyle name="Style 93 2 2 3 2" xfId="35528" xr:uid="{C1487754-5B42-4C08-A06E-C823A9191161}"/>
    <cellStyle name="Style 93 2 2 4" xfId="16969" xr:uid="{E7E54872-AC33-42E9-90B7-1F6CB537740C}"/>
    <cellStyle name="Style 93 2 2 4 2" xfId="35529" xr:uid="{FC710C2E-ACA2-4508-802F-F0476506CCE5}"/>
    <cellStyle name="Style 93 2 3" xfId="7439" xr:uid="{5171F386-5254-4B1F-AA62-029A9DA27F6F}"/>
    <cellStyle name="Style 93 2 3 2" xfId="16970" xr:uid="{CDB6F89B-7B1C-4727-8376-3C7C48226F95}"/>
    <cellStyle name="Style 93 2 3 2 2" xfId="35530" xr:uid="{5AE24436-CA83-4421-9012-634277AC522C}"/>
    <cellStyle name="Style 93 2 3 3" xfId="16971" xr:uid="{494E3723-045E-42E8-92B7-7B740523EA32}"/>
    <cellStyle name="Style 93 2 3 3 2" xfId="35531" xr:uid="{A9E98A46-2C74-40FB-9953-0405B68C3E70}"/>
    <cellStyle name="Style 93 2 4" xfId="4450" xr:uid="{D837C39C-193C-4E95-8AF2-E7092B0C6543}"/>
    <cellStyle name="Style 93 2 4 2" xfId="16972" xr:uid="{043B981B-7ED1-4D8F-9960-84936F20DFA8}"/>
    <cellStyle name="Style 93 2 4 2 2" xfId="35532" xr:uid="{6A9C02D8-F117-49C9-BF52-E9D2AA23F1D6}"/>
    <cellStyle name="Style 93 2 4 3" xfId="16973" xr:uid="{E2F40920-00BC-4CDC-92D0-8DC0C542736F}"/>
    <cellStyle name="Style 93 2 4 3 2" xfId="35533" xr:uid="{5ED558A4-94E1-4BD0-86B4-9C83A4F371BD}"/>
    <cellStyle name="Style 93 2 4 4" xfId="26719" xr:uid="{7B028232-F467-423A-84E7-FD2DE0BB7942}"/>
    <cellStyle name="Style 93 2 5" xfId="16974" xr:uid="{7636AE8B-B736-496F-A282-EB0AE2572353}"/>
    <cellStyle name="Style 93 2 5 2" xfId="16975" xr:uid="{F64B13E4-44C7-44ED-9E2A-F186E2B5D22F}"/>
    <cellStyle name="Style 93 2 5 2 2" xfId="35535" xr:uid="{8D09AB1C-C436-4610-B0F7-79576A16033D}"/>
    <cellStyle name="Style 93 2 5 3" xfId="35534" xr:uid="{EEA70322-E8C7-4E31-B769-D2EDCBD56335}"/>
    <cellStyle name="Style 93 2 6" xfId="16976" xr:uid="{E79B7F06-17BA-42DC-B3B4-57FF8153FEDF}"/>
    <cellStyle name="Style 93 2 6 2" xfId="16977" xr:uid="{C1A3391B-3770-41C7-A605-CE8EEE91146C}"/>
    <cellStyle name="Style 93 2 6 2 2" xfId="35537" xr:uid="{F4B72C0A-A814-48B9-8875-552AD58C03F7}"/>
    <cellStyle name="Style 93 2 6 3" xfId="35536" xr:uid="{F9E35028-89B8-4488-8E38-B4D75019882B}"/>
    <cellStyle name="Style 93 2 7" xfId="16978" xr:uid="{7FA3B9BF-FCED-4FBB-8298-3416C1FAE50B}"/>
    <cellStyle name="Style 93 2 7 2" xfId="35538" xr:uid="{22866996-7D45-4D17-A134-812449034569}"/>
    <cellStyle name="Style 93 2 8" xfId="16979" xr:uid="{74DB9977-0D51-4C66-AF94-FA18A91A6849}"/>
    <cellStyle name="Style 93 2 8 2" xfId="35539" xr:uid="{50E8B089-732D-4247-9A13-B624DEDEA06E}"/>
    <cellStyle name="Style 93 2 9" xfId="16980" xr:uid="{3A0D4BE7-FAEB-4DD3-8C1F-B97532CA19BA}"/>
    <cellStyle name="Style 93 2 9 2" xfId="35540" xr:uid="{0A1C4F0B-A9B7-4DDC-8307-4AA7ED70F322}"/>
    <cellStyle name="Style 93 20" xfId="16981" xr:uid="{429C391F-39EB-4DD3-A979-219BDD260D62}"/>
    <cellStyle name="Style 93 20 2" xfId="16982" xr:uid="{ED1EE96F-0D57-4988-B35A-49D946E75DB2}"/>
    <cellStyle name="Style 93 20 2 2" xfId="35542" xr:uid="{73751A23-8978-4A20-AA07-C11EE3BC763B}"/>
    <cellStyle name="Style 93 20 3" xfId="35541" xr:uid="{A4167C60-8AF7-4A75-AB50-22A20C3655FB}"/>
    <cellStyle name="Style 93 21" xfId="16983" xr:uid="{E8A0006A-8FC1-4404-AC88-E41CF0389A4A}"/>
    <cellStyle name="Style 93 21 2" xfId="35543" xr:uid="{8AB80DA0-56CB-4B2A-95F2-86EDFF9AF913}"/>
    <cellStyle name="Style 93 22" xfId="16984" xr:uid="{7EA71FBE-D126-49A3-A07F-06114D6CE821}"/>
    <cellStyle name="Style 93 22 2" xfId="35544" xr:uid="{3D65630D-C4AC-4FA7-80DE-FDDBF052BC12}"/>
    <cellStyle name="Style 93 23" xfId="16985" xr:uid="{CD331F36-AEA6-464F-8ECE-44DCF502DB79}"/>
    <cellStyle name="Style 93 23 2" xfId="35545" xr:uid="{F971197A-537C-46D5-812A-0F87890027DF}"/>
    <cellStyle name="Style 93 24" xfId="24163" xr:uid="{C70D9756-EA5F-48FF-80BB-DB65B3401C66}"/>
    <cellStyle name="Style 93 3" xfId="3685" xr:uid="{EEAEEB71-6BA2-4056-9C8F-11B15A3EBDC4}"/>
    <cellStyle name="Style 93 3 10" xfId="16986" xr:uid="{402C7188-8013-4493-8F8A-2514378A71A3}"/>
    <cellStyle name="Style 93 3 10 2" xfId="35546" xr:uid="{67FA2929-94B3-480B-BBC6-5A5D6B6B7D56}"/>
    <cellStyle name="Style 93 3 11" xfId="16987" xr:uid="{B5A5115F-F6CB-4A14-BB40-E523B29E249C}"/>
    <cellStyle name="Style 93 3 11 2" xfId="35547" xr:uid="{0E7E2315-4D64-42E2-BE6B-FB7D6D80A764}"/>
    <cellStyle name="Style 93 3 12" xfId="16988" xr:uid="{7B32B060-CA97-45DD-AF5D-529FAAFA54FE}"/>
    <cellStyle name="Style 93 3 12 2" xfId="35548" xr:uid="{20BEA717-F3FA-4A59-A302-8E7ABB445049}"/>
    <cellStyle name="Style 93 3 13" xfId="16989" xr:uid="{7C3AFB6A-1C35-48FC-AA17-A960F7280CCF}"/>
    <cellStyle name="Style 93 3 13 2" xfId="35549" xr:uid="{3E7460B7-78D2-441D-8752-16DD15BB3B61}"/>
    <cellStyle name="Style 93 3 14" xfId="24167" xr:uid="{404C09FC-BEB6-4041-909B-FD29F6B49EE3}"/>
    <cellStyle name="Style 93 3 2" xfId="3686" xr:uid="{E42E9ED8-26C3-43F0-902F-2CFAC13AF84B}"/>
    <cellStyle name="Style 93 3 2 10" xfId="16990" xr:uid="{EE78F7B3-1715-444C-8C0B-F6D8EF0AA42E}"/>
    <cellStyle name="Style 93 3 2 10 2" xfId="35550" xr:uid="{12EFED96-1BE9-49AB-818A-D25735FF8757}"/>
    <cellStyle name="Style 93 3 2 11" xfId="24168" xr:uid="{FBA37DFB-4BB7-4F56-B467-5EC160DA35FE}"/>
    <cellStyle name="Style 93 3 2 2" xfId="3687" xr:uid="{21EBD462-F865-475B-AA82-70F88BF71268}"/>
    <cellStyle name="Style 93 3 2 2 10" xfId="24169" xr:uid="{03AFEAB0-5822-4010-9088-40B641640EA5}"/>
    <cellStyle name="Style 93 3 2 2 2" xfId="7444" xr:uid="{B9104B08-AC8A-4FA2-A37E-922A8CE28CAA}"/>
    <cellStyle name="Style 93 3 2 2 2 2" xfId="16991" xr:uid="{2E679BE9-2C7B-47DD-8789-BD7868EC1E76}"/>
    <cellStyle name="Style 93 3 2 2 2 2 2" xfId="35551" xr:uid="{8FF206C0-2098-459D-9963-C6F1AAC1CD45}"/>
    <cellStyle name="Style 93 3 2 2 2 3" xfId="16992" xr:uid="{A15D75B4-C434-4325-9B61-2857A4A4F4D9}"/>
    <cellStyle name="Style 93 3 2 2 2 3 2" xfId="35552" xr:uid="{06DA1ADC-16FD-4756-B3C9-DBCDA23A2EA5}"/>
    <cellStyle name="Style 93 3 2 2 2 4" xfId="16993" xr:uid="{5D98114B-F748-417B-961C-4F114DD6508E}"/>
    <cellStyle name="Style 93 3 2 2 2 4 2" xfId="35553" xr:uid="{9FD25DD3-F08A-4B38-94B7-61B0387F4401}"/>
    <cellStyle name="Style 93 3 2 2 3" xfId="7443" xr:uid="{D8E7FCE3-09D6-46D1-B573-6E884E81FE43}"/>
    <cellStyle name="Style 93 3 2 2 3 2" xfId="16994" xr:uid="{01483074-B499-4B80-B87D-22F9F015C0CD}"/>
    <cellStyle name="Style 93 3 2 2 3 2 2" xfId="35554" xr:uid="{CCB3D61F-A0EA-4964-9BCC-F6441127B869}"/>
    <cellStyle name="Style 93 3 2 2 3 3" xfId="16995" xr:uid="{663534EC-E474-4A5D-BD89-3D32EB6AE690}"/>
    <cellStyle name="Style 93 3 2 2 3 3 2" xfId="35555" xr:uid="{F8E05218-29DF-4B25-BA31-23683A909FD9}"/>
    <cellStyle name="Style 93 3 2 2 4" xfId="16996" xr:uid="{7CA65649-6E2E-4F1B-8036-265DE2C18FDC}"/>
    <cellStyle name="Style 93 3 2 2 4 2" xfId="16997" xr:uid="{F500CE84-0ED1-4A09-8C1A-65C73C7084A9}"/>
    <cellStyle name="Style 93 3 2 2 4 2 2" xfId="35556" xr:uid="{0752149F-E554-4C81-96B7-0E642E1F0A96}"/>
    <cellStyle name="Style 93 3 2 2 4 3" xfId="16998" xr:uid="{25599703-4B88-4F3E-945C-4D572EB039DC}"/>
    <cellStyle name="Style 93 3 2 2 4 3 2" xfId="35557" xr:uid="{491F1E35-E7B9-4531-A5FF-50E0B3B1C17A}"/>
    <cellStyle name="Style 93 3 2 2 4 4" xfId="28142" xr:uid="{982FCADB-F272-42BB-A9C9-E1851EEC76C1}"/>
    <cellStyle name="Style 93 3 2 2 5" xfId="16999" xr:uid="{58322243-91D9-481E-A1EE-06DAD2890403}"/>
    <cellStyle name="Style 93 3 2 2 5 2" xfId="17000" xr:uid="{B5D7F571-8442-4963-A76D-7C76E765C163}"/>
    <cellStyle name="Style 93 3 2 2 5 2 2" xfId="35559" xr:uid="{B026E734-41D5-4CBB-94ED-E1654752F3B9}"/>
    <cellStyle name="Style 93 3 2 2 5 3" xfId="35558" xr:uid="{5D041F40-3827-440D-8CFE-43AAC6CE584D}"/>
    <cellStyle name="Style 93 3 2 2 6" xfId="17001" xr:uid="{281FDF35-B678-4177-9A0E-D657095E5E81}"/>
    <cellStyle name="Style 93 3 2 2 6 2" xfId="17002" xr:uid="{6E1560B8-A775-4BB0-A3A9-D06A398CCECD}"/>
    <cellStyle name="Style 93 3 2 2 6 2 2" xfId="35561" xr:uid="{EC348A65-0202-4E95-8139-DD5C030BDD13}"/>
    <cellStyle name="Style 93 3 2 2 6 3" xfId="35560" xr:uid="{F0CCE284-66A4-433B-A725-A295065EF0E4}"/>
    <cellStyle name="Style 93 3 2 2 7" xfId="17003" xr:uid="{ED03A7EE-6231-4C78-8C5E-B3F20531BC58}"/>
    <cellStyle name="Style 93 3 2 2 7 2" xfId="35562" xr:uid="{59DC149C-953A-4302-A9AE-B4E9B23C939C}"/>
    <cellStyle name="Style 93 3 2 2 8" xfId="17004" xr:uid="{B064BE0C-3C03-4E9C-8486-0AA48F264BAD}"/>
    <cellStyle name="Style 93 3 2 2 8 2" xfId="35563" xr:uid="{7205FAC0-F145-4ECC-BA35-9C43E1671F6B}"/>
    <cellStyle name="Style 93 3 2 2 9" xfId="17005" xr:uid="{DBD42B59-AD5C-465E-AE88-2D824B2EB226}"/>
    <cellStyle name="Style 93 3 2 2 9 2" xfId="35564" xr:uid="{3DAD9984-D254-466F-A4EC-14266EB762E6}"/>
    <cellStyle name="Style 93 3 2 3" xfId="7445" xr:uid="{35A6A60C-3BBA-4B25-B446-AE9A2DF777A6}"/>
    <cellStyle name="Style 93 3 2 3 2" xfId="17006" xr:uid="{C3938762-8FC5-452C-B3C4-3CD40CEFDFD1}"/>
    <cellStyle name="Style 93 3 2 3 2 2" xfId="35565" xr:uid="{20E8119E-1C52-4F7B-88C3-9C11FA918806}"/>
    <cellStyle name="Style 93 3 2 3 3" xfId="17007" xr:uid="{F4AB058F-269B-4B7C-B53B-34D88EAC9E20}"/>
    <cellStyle name="Style 93 3 2 3 3 2" xfId="35566" xr:uid="{C3393ED6-F359-495B-95AF-0671BCC6AB0D}"/>
    <cellStyle name="Style 93 3 2 3 4" xfId="17008" xr:uid="{B6BB7309-C837-4503-A595-C3A92D11F251}"/>
    <cellStyle name="Style 93 3 2 3 4 2" xfId="35567" xr:uid="{419C2CDC-0B6A-4AD4-A938-275A3FC8DE55}"/>
    <cellStyle name="Style 93 3 2 4" xfId="7442" xr:uid="{51AA0045-7BFC-45A7-A73B-824BE3A198D1}"/>
    <cellStyle name="Style 93 3 2 4 2" xfId="17009" xr:uid="{5F124815-12B5-423D-9B59-39F6E6E2687F}"/>
    <cellStyle name="Style 93 3 2 4 2 2" xfId="35568" xr:uid="{53CB8B83-560F-4892-8BBA-737EDF79E840}"/>
    <cellStyle name="Style 93 3 2 4 3" xfId="17010" xr:uid="{434A9D46-1718-433A-BCF2-A20D135A0B5D}"/>
    <cellStyle name="Style 93 3 2 4 3 2" xfId="35569" xr:uid="{AE9C1630-112C-41DA-B944-AF42CB72D7F2}"/>
    <cellStyle name="Style 93 3 2 5" xfId="4452" xr:uid="{1469E0BF-364C-49CF-A6F2-7EB8428939B4}"/>
    <cellStyle name="Style 93 3 2 5 2" xfId="17011" xr:uid="{CAC4C29D-BD13-490B-A338-66F130DFA7E9}"/>
    <cellStyle name="Style 93 3 2 5 2 2" xfId="35570" xr:uid="{27F34D43-A15B-4005-BD0C-3F6DB94460DE}"/>
    <cellStyle name="Style 93 3 2 5 3" xfId="17012" xr:uid="{1C8BE1EE-24C9-4B6C-A1F1-3ACC7DAE9B73}"/>
    <cellStyle name="Style 93 3 2 5 3 2" xfId="35571" xr:uid="{1752E0BD-1CA4-4255-8FD5-326D5FB943AA}"/>
    <cellStyle name="Style 93 3 2 5 4" xfId="26721" xr:uid="{71593413-2FEA-4BF9-A297-208486032F69}"/>
    <cellStyle name="Style 93 3 2 6" xfId="17013" xr:uid="{A4E69EE8-B3FD-43A5-ADCC-F5BA5D3C77CA}"/>
    <cellStyle name="Style 93 3 2 6 2" xfId="17014" xr:uid="{83C2521B-07A7-4CA0-9209-97098ABF73DD}"/>
    <cellStyle name="Style 93 3 2 6 2 2" xfId="35573" xr:uid="{E676F10F-24B9-44FB-8B5F-BD4885A61BAA}"/>
    <cellStyle name="Style 93 3 2 6 3" xfId="35572" xr:uid="{0B7588B1-E6EF-4EFA-9660-592D7FBE880F}"/>
    <cellStyle name="Style 93 3 2 7" xfId="17015" xr:uid="{222AF053-8DCE-4D44-B670-116D7796A122}"/>
    <cellStyle name="Style 93 3 2 7 2" xfId="17016" xr:uid="{2B44363A-5F80-4181-977E-727F2ABFE9BA}"/>
    <cellStyle name="Style 93 3 2 7 2 2" xfId="35575" xr:uid="{8F2042B4-B227-416B-8923-C58FB76D9AB4}"/>
    <cellStyle name="Style 93 3 2 7 3" xfId="35574" xr:uid="{E96688A9-18BB-4A1C-8A39-9329BEDD43CC}"/>
    <cellStyle name="Style 93 3 2 8" xfId="17017" xr:uid="{5B7D75CA-B6CC-4E80-BC95-B7A7117270EF}"/>
    <cellStyle name="Style 93 3 2 8 2" xfId="35576" xr:uid="{671E86A5-7494-4E41-A657-AE8B6B86BAA0}"/>
    <cellStyle name="Style 93 3 2 9" xfId="17018" xr:uid="{1F523872-0B12-459C-95B5-2B6527036031}"/>
    <cellStyle name="Style 93 3 2 9 2" xfId="35577" xr:uid="{5A6C90B7-9252-4E4C-8A0E-5CC16E9D1EA1}"/>
    <cellStyle name="Style 93 3 3" xfId="3688" xr:uid="{A026D674-2493-4FDC-9917-73E1A2B2ADDF}"/>
    <cellStyle name="Style 93 3 3 10" xfId="17019" xr:uid="{93240E64-A50E-4806-9386-EBDC60BF35D8}"/>
    <cellStyle name="Style 93 3 3 10 2" xfId="35578" xr:uid="{010A3785-A4A3-450B-B46D-8F90E11CF227}"/>
    <cellStyle name="Style 93 3 3 11" xfId="17020" xr:uid="{F232D29A-ACDD-432E-830E-58EC290716F8}"/>
    <cellStyle name="Style 93 3 3 11 2" xfId="35579" xr:uid="{21505AC7-6900-49D6-83D2-77A60893FFC1}"/>
    <cellStyle name="Style 93 3 3 12" xfId="17021" xr:uid="{AEF58A83-95CB-4973-BD3C-E36F98058293}"/>
    <cellStyle name="Style 93 3 3 12 2" xfId="35580" xr:uid="{14CED014-B9FC-4C0E-BA79-0EB2844FF35F}"/>
    <cellStyle name="Style 93 3 3 13" xfId="17022" xr:uid="{86CF3571-E6B8-44EB-9BF0-8DC99C96EC88}"/>
    <cellStyle name="Style 93 3 3 13 2" xfId="35581" xr:uid="{D3BC7817-4E9B-47BC-B8F9-1850AB2974DD}"/>
    <cellStyle name="Style 93 3 3 14" xfId="24170" xr:uid="{9202812E-ED13-47A2-A7AD-3C30D97F80C9}"/>
    <cellStyle name="Style 93 3 3 2" xfId="3689" xr:uid="{C93DAA25-748E-4267-9470-8DE7B4523374}"/>
    <cellStyle name="Style 93 3 3 2 10" xfId="24171" xr:uid="{0031FC5D-20E1-4BAF-B50A-4F66D92060CA}"/>
    <cellStyle name="Style 93 3 3 2 2" xfId="7448" xr:uid="{C20DFEC8-EA20-435A-B7F5-F266FDE804AE}"/>
    <cellStyle name="Style 93 3 3 2 2 2" xfId="17023" xr:uid="{67A61830-BBBB-4E13-99D7-42EA1C0540FC}"/>
    <cellStyle name="Style 93 3 3 2 2 2 2" xfId="35582" xr:uid="{EC3C2F0B-EE11-4DFC-9842-755A6827AB5B}"/>
    <cellStyle name="Style 93 3 3 2 2 3" xfId="17024" xr:uid="{428DD1B4-06B2-44E1-BB38-B4EDF99E4534}"/>
    <cellStyle name="Style 93 3 3 2 2 3 2" xfId="35583" xr:uid="{42BFFBCD-D013-4431-B4D9-9CC661EA21BD}"/>
    <cellStyle name="Style 93 3 3 2 2 4" xfId="17025" xr:uid="{679438B1-DED0-4858-A458-B2D3872A2C8B}"/>
    <cellStyle name="Style 93 3 3 2 2 4 2" xfId="35584" xr:uid="{8FCB944E-026C-4AF0-AB8A-D1BEE83A751B}"/>
    <cellStyle name="Style 93 3 3 2 3" xfId="7447" xr:uid="{4A8E1ABF-48F5-41E5-B113-B80657A27CC0}"/>
    <cellStyle name="Style 93 3 3 2 3 2" xfId="17026" xr:uid="{9913806F-42D3-4345-8F13-D121B3F5A285}"/>
    <cellStyle name="Style 93 3 3 2 3 2 2" xfId="35585" xr:uid="{3FB4E023-A723-4317-B982-F22A87FC7AEE}"/>
    <cellStyle name="Style 93 3 3 2 3 3" xfId="17027" xr:uid="{674939B4-22D8-4C8B-8DFB-688A1C9B0841}"/>
    <cellStyle name="Style 93 3 3 2 3 3 2" xfId="35586" xr:uid="{8436F69B-4C41-4D25-9743-37C0925493BC}"/>
    <cellStyle name="Style 93 3 3 2 4" xfId="17028" xr:uid="{50AAAA43-9D0E-4D58-B86D-A217F002F486}"/>
    <cellStyle name="Style 93 3 3 2 4 2" xfId="17029" xr:uid="{171589DF-F9A3-4118-918F-CDC6BB5FE2A7}"/>
    <cellStyle name="Style 93 3 3 2 4 2 2" xfId="35587" xr:uid="{023E6274-D0F4-40B2-8EAE-FC74465163EC}"/>
    <cellStyle name="Style 93 3 3 2 4 3" xfId="17030" xr:uid="{3F9D9CC2-7943-4DC7-8A4C-FEB8DA441428}"/>
    <cellStyle name="Style 93 3 3 2 4 3 2" xfId="35588" xr:uid="{C8BD4ACA-050B-43EA-9F24-9FE8D8F9CAA3}"/>
    <cellStyle name="Style 93 3 3 2 4 4" xfId="28144" xr:uid="{9EC015D7-DB38-4FCF-8DB7-12D1F28CA66C}"/>
    <cellStyle name="Style 93 3 3 2 5" xfId="17031" xr:uid="{F604070D-4DB7-48B5-858F-9E27611A89F2}"/>
    <cellStyle name="Style 93 3 3 2 5 2" xfId="17032" xr:uid="{89188099-3BCA-4426-899E-C9C5D1FB646B}"/>
    <cellStyle name="Style 93 3 3 2 5 2 2" xfId="35590" xr:uid="{73B6B5F2-B829-4BB5-B9E1-095C4F27C615}"/>
    <cellStyle name="Style 93 3 3 2 5 3" xfId="35589" xr:uid="{C895D6B7-1ED8-46C2-8E69-3981A64B5FA5}"/>
    <cellStyle name="Style 93 3 3 2 6" xfId="17033" xr:uid="{FEF94601-67F9-4F99-819E-06DA2AA1275D}"/>
    <cellStyle name="Style 93 3 3 2 6 2" xfId="17034" xr:uid="{FAAFF057-A91D-4FB2-B937-6EB168AA0CF1}"/>
    <cellStyle name="Style 93 3 3 2 6 2 2" xfId="35592" xr:uid="{84488192-926B-46FF-A8E2-1D38649A7316}"/>
    <cellStyle name="Style 93 3 3 2 6 3" xfId="35591" xr:uid="{C16C2D19-AD22-4CF1-ADE6-4CDB3E4B71D4}"/>
    <cellStyle name="Style 93 3 3 2 7" xfId="17035" xr:uid="{A73B6D55-65E7-43E1-BE94-0F5041A6B53D}"/>
    <cellStyle name="Style 93 3 3 2 7 2" xfId="35593" xr:uid="{9BB307EC-5B82-4E53-9724-F7B0C348E5A6}"/>
    <cellStyle name="Style 93 3 3 2 8" xfId="17036" xr:uid="{BB8366CB-65BA-4674-8A2C-1342ECCCFEDC}"/>
    <cellStyle name="Style 93 3 3 2 8 2" xfId="35594" xr:uid="{7DB7DBDB-B003-4A3E-B941-E2DE1C1AB6DA}"/>
    <cellStyle name="Style 93 3 3 2 9" xfId="17037" xr:uid="{0542272F-7D5F-43D8-85E9-F886F0BAB323}"/>
    <cellStyle name="Style 93 3 3 2 9 2" xfId="35595" xr:uid="{234E437B-328D-445B-972E-964F0CF98C03}"/>
    <cellStyle name="Style 93 3 3 3" xfId="3690" xr:uid="{3188AC84-8FA9-4170-B7E9-AB6CBFD8CB2A}"/>
    <cellStyle name="Style 93 3 3 3 10" xfId="17038" xr:uid="{8DC60EDF-3F18-46C6-9DFD-FA9C310B8318}"/>
    <cellStyle name="Style 93 3 3 3 10 2" xfId="35596" xr:uid="{0C2459E0-C504-41B2-ABB3-F9D9CF5C2561}"/>
    <cellStyle name="Style 93 3 3 3 11" xfId="17039" xr:uid="{05A9474E-A75E-4F5D-8F24-DB7925D5E9FE}"/>
    <cellStyle name="Style 93 3 3 3 11 2" xfId="35597" xr:uid="{2BDB9635-5592-4B7C-987A-1F684914C581}"/>
    <cellStyle name="Style 93 3 3 3 12" xfId="24172" xr:uid="{78E3A587-A961-4409-BBD7-870F0AEAB7B5}"/>
    <cellStyle name="Style 93 3 3 3 2" xfId="3691" xr:uid="{4FB067ED-83EE-40EC-BD27-4441AF0EEA81}"/>
    <cellStyle name="Style 93 3 3 3 2 10" xfId="24173" xr:uid="{43C621E8-A2E5-41EA-9286-A45D7DB0ABF5}"/>
    <cellStyle name="Style 93 3 3 3 2 2" xfId="7451" xr:uid="{522576BB-9FC6-48F0-B3F0-FAE3C6EB4926}"/>
    <cellStyle name="Style 93 3 3 3 2 2 2" xfId="17040" xr:uid="{2DCE2094-6282-4892-95D2-B8BB86C9918F}"/>
    <cellStyle name="Style 93 3 3 3 2 2 2 2" xfId="35598" xr:uid="{A97A4D9F-F41A-453F-A1EB-55AEA5DACEF8}"/>
    <cellStyle name="Style 93 3 3 3 2 2 3" xfId="17041" xr:uid="{A4C5C0DC-DFB2-4692-A05B-31CB5ED3FFDC}"/>
    <cellStyle name="Style 93 3 3 3 2 2 3 2" xfId="35599" xr:uid="{824BDE43-2AAA-4C99-8D0D-983DBCDAF020}"/>
    <cellStyle name="Style 93 3 3 3 2 2 4" xfId="17042" xr:uid="{55DAEEDC-B284-4DD9-9CE1-79241896CDF8}"/>
    <cellStyle name="Style 93 3 3 3 2 2 4 2" xfId="35600" xr:uid="{98C449D9-E88E-4F85-B5DB-B8E4313E96A5}"/>
    <cellStyle name="Style 93 3 3 3 2 3" xfId="7450" xr:uid="{1A24E923-1AE7-4F21-A25C-3A572A7594B2}"/>
    <cellStyle name="Style 93 3 3 3 2 3 2" xfId="17043" xr:uid="{417EFF51-8EC7-4670-8595-17C15FDE207C}"/>
    <cellStyle name="Style 93 3 3 3 2 3 2 2" xfId="35601" xr:uid="{D7BB0EE6-2752-445E-A9B3-E9B3056E9691}"/>
    <cellStyle name="Style 93 3 3 3 2 3 3" xfId="17044" xr:uid="{4447B4F9-EAB1-451A-888C-53497A930A8A}"/>
    <cellStyle name="Style 93 3 3 3 2 3 3 2" xfId="35602" xr:uid="{69B5309D-6FCD-4441-8F87-041F89E5470B}"/>
    <cellStyle name="Style 93 3 3 3 2 4" xfId="17045" xr:uid="{99F654E9-EAAD-4A00-8194-6A7A23362DBC}"/>
    <cellStyle name="Style 93 3 3 3 2 4 2" xfId="17046" xr:uid="{921D0F00-CA7C-4D94-8842-005FE43076D4}"/>
    <cellStyle name="Style 93 3 3 3 2 4 2 2" xfId="35603" xr:uid="{9E50FA8C-9145-48D5-A10B-8CCC8853BF90}"/>
    <cellStyle name="Style 93 3 3 3 2 4 3" xfId="17047" xr:uid="{23B43989-9DBC-46E7-91DB-576703480F84}"/>
    <cellStyle name="Style 93 3 3 3 2 4 3 2" xfId="35604" xr:uid="{A2F198C6-8512-4FC7-8D09-1ACE385001B4}"/>
    <cellStyle name="Style 93 3 3 3 2 4 4" xfId="28146" xr:uid="{36A6A7D4-7887-4826-A65C-0221804CF7C6}"/>
    <cellStyle name="Style 93 3 3 3 2 5" xfId="17048" xr:uid="{707C52DF-3240-48E3-BEDB-60C4AB2566E5}"/>
    <cellStyle name="Style 93 3 3 3 2 5 2" xfId="17049" xr:uid="{EE78D8DD-A581-4317-85D2-53A5ADA3DFE0}"/>
    <cellStyle name="Style 93 3 3 3 2 5 2 2" xfId="35606" xr:uid="{6989CA43-8726-42B2-974F-263734C4ACFF}"/>
    <cellStyle name="Style 93 3 3 3 2 5 3" xfId="35605" xr:uid="{E25F4305-0D5B-4FB3-A6DA-75924F50A261}"/>
    <cellStyle name="Style 93 3 3 3 2 6" xfId="17050" xr:uid="{F2EB6A38-E06E-4FCC-8A43-4B5657D1F891}"/>
    <cellStyle name="Style 93 3 3 3 2 6 2" xfId="17051" xr:uid="{B443CE85-E410-4BBA-8801-DEC0AF9ECAE4}"/>
    <cellStyle name="Style 93 3 3 3 2 6 2 2" xfId="35608" xr:uid="{A81C7436-99A0-4AE9-90E1-4C81AE85D8C4}"/>
    <cellStyle name="Style 93 3 3 3 2 6 3" xfId="35607" xr:uid="{08D8AB64-370A-4392-867E-AC837B68CA1F}"/>
    <cellStyle name="Style 93 3 3 3 2 7" xfId="17052" xr:uid="{DD36F244-316C-4AF0-A5BB-374A12B08259}"/>
    <cellStyle name="Style 93 3 3 3 2 7 2" xfId="35609" xr:uid="{286807B0-0BB2-4DA6-86BB-2AEB299D1CCB}"/>
    <cellStyle name="Style 93 3 3 3 2 8" xfId="17053" xr:uid="{47C71155-6A3B-4726-8D7C-BFAACA39371C}"/>
    <cellStyle name="Style 93 3 3 3 2 8 2" xfId="35610" xr:uid="{CEC94C87-CF50-40EB-A70A-2EB9D014A554}"/>
    <cellStyle name="Style 93 3 3 3 2 9" xfId="17054" xr:uid="{A13C3704-7D1F-4812-85C7-55C89B029BB2}"/>
    <cellStyle name="Style 93 3 3 3 2 9 2" xfId="35611" xr:uid="{58720070-6172-490D-AF41-D26AA8E5B6AE}"/>
    <cellStyle name="Style 93 3 3 3 3" xfId="7452" xr:uid="{98E11AEA-24BF-4ECB-AAFB-C31D9D42A2EB}"/>
    <cellStyle name="Style 93 3 3 3 3 2" xfId="7453" xr:uid="{91DCB1A2-B036-4251-8E72-E062BFBD0373}"/>
    <cellStyle name="Style 93 3 3 3 3 2 2" xfId="17055" xr:uid="{2250DF23-ACB5-4BA7-8DE7-5B3A3CCDF360}"/>
    <cellStyle name="Style 93 3 3 3 3 2 2 2" xfId="35612" xr:uid="{439CC3AE-2431-49EB-B984-96A5DB03DBF4}"/>
    <cellStyle name="Style 93 3 3 3 3 2 3" xfId="17056" xr:uid="{76285D49-6F58-4C41-81E1-6440AB384462}"/>
    <cellStyle name="Style 93 3 3 3 3 2 3 2" xfId="35613" xr:uid="{2D37A280-5F3D-4557-9632-8462F57DBF84}"/>
    <cellStyle name="Style 93 3 3 3 3 3" xfId="17057" xr:uid="{F539BEDE-B6D4-4061-B09F-CD4474075B9C}"/>
    <cellStyle name="Style 93 3 3 3 3 3 2" xfId="35614" xr:uid="{8EBC7058-0D54-4FDA-A546-4D92B214BD1B}"/>
    <cellStyle name="Style 93 3 3 3 3 4" xfId="17058" xr:uid="{0CA6BDC3-06EB-4927-9BF3-F75149526357}"/>
    <cellStyle name="Style 93 3 3 3 3 4 2" xfId="35615" xr:uid="{07A96134-959A-4839-9C40-5566317CEDBD}"/>
    <cellStyle name="Style 93 3 3 3 3 5" xfId="17059" xr:uid="{95C33944-B6AB-4E88-BB07-BED332E80CD8}"/>
    <cellStyle name="Style 93 3 3 3 3 5 2" xfId="35616" xr:uid="{38534DF1-F0E0-4572-A0F5-3F8866EA263D}"/>
    <cellStyle name="Style 93 3 3 3 3 6" xfId="17060" xr:uid="{F1F0E174-3C19-4E3E-8D66-43BFEC8CAC9B}"/>
    <cellStyle name="Style 93 3 3 3 3 6 2" xfId="35617" xr:uid="{F1A9DA4D-E5CB-4F1D-B131-12C9DC66C658}"/>
    <cellStyle name="Style 93 3 3 3 3 7" xfId="24174" xr:uid="{81D112DD-FAB3-4AA0-81A8-82324D960107}"/>
    <cellStyle name="Style 93 3 3 3 4" xfId="7454" xr:uid="{B66F57AE-5506-403D-984F-698E60E20F48}"/>
    <cellStyle name="Style 93 3 3 3 4 2" xfId="17061" xr:uid="{196B59B0-0EFD-47E5-99E3-35776E7B3D52}"/>
    <cellStyle name="Style 93 3 3 3 4 2 2" xfId="35618" xr:uid="{B53E67D2-8E41-4AB5-B6A8-BFC1560B8303}"/>
    <cellStyle name="Style 93 3 3 3 4 3" xfId="17062" xr:uid="{A5643C48-9512-4D92-A472-FABDC39C95F2}"/>
    <cellStyle name="Style 93 3 3 3 4 3 2" xfId="35619" xr:uid="{5BD88D15-FD27-4539-B2DC-18881894FCB3}"/>
    <cellStyle name="Style 93 3 3 3 4 4" xfId="17063" xr:uid="{1D4E65FC-EAC7-4882-923F-704445A59E36}"/>
    <cellStyle name="Style 93 3 3 3 4 4 2" xfId="35620" xr:uid="{B3A7F6EE-4175-4987-B336-631FA7B5A620}"/>
    <cellStyle name="Style 93 3 3 3 5" xfId="7455" xr:uid="{D7BD17F6-8D7C-4E86-80FA-31EC1454CF27}"/>
    <cellStyle name="Style 93 3 3 3 5 2" xfId="17064" xr:uid="{038CEC96-1178-4F14-8FB6-4E50DE3E93D3}"/>
    <cellStyle name="Style 93 3 3 3 5 2 2" xfId="35621" xr:uid="{3E5E556C-2DBD-4FAF-A493-6252CD702567}"/>
    <cellStyle name="Style 93 3 3 3 5 3" xfId="17065" xr:uid="{70E778E2-5867-4102-8092-2F16BCBC82CD}"/>
    <cellStyle name="Style 93 3 3 3 5 3 2" xfId="35622" xr:uid="{24C517FF-D53A-4151-988A-2627BBD9512A}"/>
    <cellStyle name="Style 93 3 3 3 6" xfId="7449" xr:uid="{9C7CEAC7-38A4-4522-B907-E043E65054C7}"/>
    <cellStyle name="Style 93 3 3 3 6 2" xfId="17066" xr:uid="{CC8E669E-012A-4D2A-9158-A7BD87F9C20B}"/>
    <cellStyle name="Style 93 3 3 3 6 2 2" xfId="35623" xr:uid="{842985BE-4067-4309-BE5D-5515DCEAD59E}"/>
    <cellStyle name="Style 93 3 3 3 6 3" xfId="17067" xr:uid="{7229C31C-A2B2-4D8A-88B5-B7EBEA973768}"/>
    <cellStyle name="Style 93 3 3 3 6 3 2" xfId="35624" xr:uid="{F5AE19DE-39A8-4D75-905F-3C469310DEF5}"/>
    <cellStyle name="Style 93 3 3 3 7" xfId="17068" xr:uid="{54212C66-871E-40B8-A8DD-7D0B3AAA9BDA}"/>
    <cellStyle name="Style 93 3 3 3 7 2" xfId="17069" xr:uid="{EA7E3A55-A6E5-4A81-94A1-2E45B9F4F91B}"/>
    <cellStyle name="Style 93 3 3 3 7 2 2" xfId="35625" xr:uid="{0B0BED5E-B930-4A5B-BAF9-5F6E4A77C83B}"/>
    <cellStyle name="Style 93 3 3 3 7 3" xfId="17070" xr:uid="{A4BACE68-0016-45E9-AE21-A89C4AD4C7A5}"/>
    <cellStyle name="Style 93 3 3 3 7 3 2" xfId="35626" xr:uid="{8E3A43EE-F11E-4BE9-9852-71DCE5953D59}"/>
    <cellStyle name="Style 93 3 3 3 7 4" xfId="28145" xr:uid="{6C116C0B-FB00-4A34-893E-88865F9013FD}"/>
    <cellStyle name="Style 93 3 3 3 8" xfId="17071" xr:uid="{0BA5D096-3EA5-4B0F-B19D-5DE742176F65}"/>
    <cellStyle name="Style 93 3 3 3 8 2" xfId="35627" xr:uid="{0CD42AC5-0556-4F08-85E5-615A3FED7150}"/>
    <cellStyle name="Style 93 3 3 3 9" xfId="17072" xr:uid="{B6321721-F9A2-4F70-B10F-23CADCFE3E04}"/>
    <cellStyle name="Style 93 3 3 3 9 2" xfId="35628" xr:uid="{9AECA209-E3FF-456D-8AB5-39CC96C24B39}"/>
    <cellStyle name="Style 93 3 3 4" xfId="3692" xr:uid="{D04190C9-ED41-4FAB-9098-8DEB39CFE2CD}"/>
    <cellStyle name="Style 93 3 3 4 10" xfId="17073" xr:uid="{B9DB2AB1-8CD1-4DAB-A0E9-7F3AD2CFC83B}"/>
    <cellStyle name="Style 93 3 3 4 10 2" xfId="35629" xr:uid="{4F72894C-1CCF-4254-AB2A-7391C497D998}"/>
    <cellStyle name="Style 93 3 3 4 11" xfId="24175" xr:uid="{49EB52FC-15FE-48AF-A504-EB6FCB212F11}"/>
    <cellStyle name="Style 93 3 3 4 2" xfId="3693" xr:uid="{F9240797-CDE8-43F9-A6C8-54001C9401ED}"/>
    <cellStyle name="Style 93 3 3 4 2 10" xfId="24176" xr:uid="{A7FB8504-6C4E-42D3-9517-107D6AC7E386}"/>
    <cellStyle name="Style 93 3 3 4 2 2" xfId="7458" xr:uid="{0C1F67E2-5FD7-4FCE-ABEC-1B23C9DFC033}"/>
    <cellStyle name="Style 93 3 3 4 2 2 2" xfId="17074" xr:uid="{A2D87027-8D90-4790-B0E0-BBA06C010995}"/>
    <cellStyle name="Style 93 3 3 4 2 2 2 2" xfId="35630" xr:uid="{46FD4D1C-74CA-4CA8-93A8-E036CD4A1BD1}"/>
    <cellStyle name="Style 93 3 3 4 2 2 3" xfId="17075" xr:uid="{41E46C90-07F5-4A12-92D0-C166E5C9B488}"/>
    <cellStyle name="Style 93 3 3 4 2 2 3 2" xfId="35631" xr:uid="{4FAFEC81-39A0-4117-BD73-8E86E616FDE1}"/>
    <cellStyle name="Style 93 3 3 4 2 2 4" xfId="17076" xr:uid="{36CE7949-656B-4BAC-9898-58506BDC6018}"/>
    <cellStyle name="Style 93 3 3 4 2 2 4 2" xfId="35632" xr:uid="{B497FE2D-D184-4F63-906B-49415E65ADC3}"/>
    <cellStyle name="Style 93 3 3 4 2 3" xfId="7457" xr:uid="{5278B62C-11CD-44E1-9CD2-65C64F18C56D}"/>
    <cellStyle name="Style 93 3 3 4 2 3 2" xfId="17077" xr:uid="{BDFA6119-F81A-46BA-9D67-825B5D061E41}"/>
    <cellStyle name="Style 93 3 3 4 2 3 2 2" xfId="35633" xr:uid="{F16C08FC-4E72-4782-9A3A-9CB90AD2FE9E}"/>
    <cellStyle name="Style 93 3 3 4 2 3 3" xfId="17078" xr:uid="{7D207F3F-6372-4EBB-8780-E92043653C32}"/>
    <cellStyle name="Style 93 3 3 4 2 3 3 2" xfId="35634" xr:uid="{D6840D90-4769-4A36-9BA4-539813C620A8}"/>
    <cellStyle name="Style 93 3 3 4 2 4" xfId="17079" xr:uid="{CBE16D17-6864-4D44-979C-A31DB93CE4A9}"/>
    <cellStyle name="Style 93 3 3 4 2 4 2" xfId="17080" xr:uid="{C5E8D99A-EB65-489C-8443-890E7B8C286F}"/>
    <cellStyle name="Style 93 3 3 4 2 4 2 2" xfId="35635" xr:uid="{ABB0E1FA-8258-450A-A6BA-1F50377E7ADA}"/>
    <cellStyle name="Style 93 3 3 4 2 4 3" xfId="17081" xr:uid="{2C8FA6F2-03F3-45A0-9D6B-D0C9B04D1C06}"/>
    <cellStyle name="Style 93 3 3 4 2 4 3 2" xfId="35636" xr:uid="{B803C441-3A18-444B-8C9B-E7A2278BEEDC}"/>
    <cellStyle name="Style 93 3 3 4 2 4 4" xfId="28148" xr:uid="{5D4C382F-4F75-4866-8FC2-BA8AB2C874C0}"/>
    <cellStyle name="Style 93 3 3 4 2 5" xfId="17082" xr:uid="{B97A338E-B49F-43BA-B450-2CA0CAD306DF}"/>
    <cellStyle name="Style 93 3 3 4 2 5 2" xfId="17083" xr:uid="{2CB5A795-8A32-4793-9254-907D88056B6B}"/>
    <cellStyle name="Style 93 3 3 4 2 5 2 2" xfId="35638" xr:uid="{43CDB448-6F8A-459E-8362-5B58DCE614FF}"/>
    <cellStyle name="Style 93 3 3 4 2 5 3" xfId="35637" xr:uid="{D7A41044-3707-481A-94F7-601386BD9BE8}"/>
    <cellStyle name="Style 93 3 3 4 2 6" xfId="17084" xr:uid="{D82539AD-FBF2-4905-A0C4-7D37574E91E5}"/>
    <cellStyle name="Style 93 3 3 4 2 6 2" xfId="17085" xr:uid="{EFA2567C-4359-4553-8CD7-ECB971626A53}"/>
    <cellStyle name="Style 93 3 3 4 2 6 2 2" xfId="35640" xr:uid="{F021D6D4-04AC-4D33-A4C9-EA326FF8E178}"/>
    <cellStyle name="Style 93 3 3 4 2 6 3" xfId="35639" xr:uid="{53453089-FA4F-4E16-957D-1BF2EC6F0728}"/>
    <cellStyle name="Style 93 3 3 4 2 7" xfId="17086" xr:uid="{A8A87BF4-BB8D-4A00-9063-964880FAFA7D}"/>
    <cellStyle name="Style 93 3 3 4 2 7 2" xfId="35641" xr:uid="{38697683-DCF8-45D2-B19F-CA17EB6382FB}"/>
    <cellStyle name="Style 93 3 3 4 2 8" xfId="17087" xr:uid="{26429582-21DC-4C4B-9E9F-46C0CD758971}"/>
    <cellStyle name="Style 93 3 3 4 2 8 2" xfId="35642" xr:uid="{2B4DAE63-4734-4CF2-A71B-32596D891D45}"/>
    <cellStyle name="Style 93 3 3 4 2 9" xfId="17088" xr:uid="{DB5ABDB3-CE26-4562-91D3-05DE0E370063}"/>
    <cellStyle name="Style 93 3 3 4 2 9 2" xfId="35643" xr:uid="{059D8156-C8DB-4B72-8B5F-80AEE9D68ED0}"/>
    <cellStyle name="Style 93 3 3 4 3" xfId="7459" xr:uid="{4452F5F2-C8A0-4C54-BCB8-A9911885B8D1}"/>
    <cellStyle name="Style 93 3 3 4 3 2" xfId="17089" xr:uid="{0902B754-F7CA-446B-B825-7348970DB24B}"/>
    <cellStyle name="Style 93 3 3 4 3 2 2" xfId="35644" xr:uid="{528E8D61-92F9-46DB-9B4C-DC09A8E8206E}"/>
    <cellStyle name="Style 93 3 3 4 3 3" xfId="17090" xr:uid="{47A8F453-B911-408D-A478-38CD7051741A}"/>
    <cellStyle name="Style 93 3 3 4 3 3 2" xfId="35645" xr:uid="{A295BB7F-5F3D-4FEB-A102-2250114C3A6D}"/>
    <cellStyle name="Style 93 3 3 4 3 4" xfId="17091" xr:uid="{7780957A-F1CF-4896-BF58-392491BFB87E}"/>
    <cellStyle name="Style 93 3 3 4 3 4 2" xfId="35646" xr:uid="{FCD169B0-4AFE-436A-A505-62D9AF9997F0}"/>
    <cellStyle name="Style 93 3 3 4 4" xfId="7456" xr:uid="{A2C5482D-589C-4B05-946E-3842F0244E5D}"/>
    <cellStyle name="Style 93 3 3 4 4 2" xfId="17092" xr:uid="{EE38FAD8-062C-463B-BB31-DF36BFDC835E}"/>
    <cellStyle name="Style 93 3 3 4 4 2 2" xfId="35647" xr:uid="{6912C758-B59F-438E-A8D4-DAA01601FB50}"/>
    <cellStyle name="Style 93 3 3 4 4 3" xfId="17093" xr:uid="{39B6585A-FDC2-4C5A-880C-F7349D61D947}"/>
    <cellStyle name="Style 93 3 3 4 4 3 2" xfId="35648" xr:uid="{DD107638-D80C-4E2C-887E-D84767EA2320}"/>
    <cellStyle name="Style 93 3 3 4 5" xfId="17094" xr:uid="{E4D261B0-3B65-4A28-BFB7-3A3E532DCA49}"/>
    <cellStyle name="Style 93 3 3 4 5 2" xfId="17095" xr:uid="{FD428254-29EC-45EB-B564-5CE5F2B1ED17}"/>
    <cellStyle name="Style 93 3 3 4 5 2 2" xfId="35649" xr:uid="{82DE5303-22E8-43A4-9CCD-278B1EAE4EAB}"/>
    <cellStyle name="Style 93 3 3 4 5 3" xfId="17096" xr:uid="{E7000C74-A7DB-44F0-8ED2-7459CA78B177}"/>
    <cellStyle name="Style 93 3 3 4 5 3 2" xfId="35650" xr:uid="{519B865B-734B-48FC-BBDA-0E1BF846EE70}"/>
    <cellStyle name="Style 93 3 3 4 5 4" xfId="28147" xr:uid="{6F331E90-4730-4337-B0DB-04743B17524C}"/>
    <cellStyle name="Style 93 3 3 4 6" xfId="17097" xr:uid="{431285E6-41E3-42E8-BE49-D7A98990FC0D}"/>
    <cellStyle name="Style 93 3 3 4 6 2" xfId="17098" xr:uid="{DFD146B7-6EFE-453D-AD20-91B188A6C144}"/>
    <cellStyle name="Style 93 3 3 4 6 2 2" xfId="35652" xr:uid="{6D381ADB-D110-469F-A90B-46F71C798523}"/>
    <cellStyle name="Style 93 3 3 4 6 3" xfId="35651" xr:uid="{55E09E34-0DFB-4BCB-B3B6-2B9C308C0E18}"/>
    <cellStyle name="Style 93 3 3 4 7" xfId="17099" xr:uid="{FAB0C363-B252-4938-B102-E799FD7DBB8E}"/>
    <cellStyle name="Style 93 3 3 4 7 2" xfId="17100" xr:uid="{99508C68-462A-400E-88CA-AEC41CF22F52}"/>
    <cellStyle name="Style 93 3 3 4 7 2 2" xfId="35654" xr:uid="{5BC88326-F888-48DA-BC9C-53A35762C740}"/>
    <cellStyle name="Style 93 3 3 4 7 3" xfId="35653" xr:uid="{5D1B693A-35AD-41E0-9F93-20FAD0466C5E}"/>
    <cellStyle name="Style 93 3 3 4 8" xfId="17101" xr:uid="{1A5DB480-5164-4B81-94FB-BC2D3758A89E}"/>
    <cellStyle name="Style 93 3 3 4 8 2" xfId="35655" xr:uid="{A1B7B233-9D65-4F96-A41A-DBD23CA74B49}"/>
    <cellStyle name="Style 93 3 3 4 9" xfId="17102" xr:uid="{873E736B-613A-4028-9140-6E0217C0ECEC}"/>
    <cellStyle name="Style 93 3 3 4 9 2" xfId="35656" xr:uid="{7FF34205-5C66-4BB4-8687-370B7E475FC5}"/>
    <cellStyle name="Style 93 3 3 5" xfId="7460" xr:uid="{ECABA20F-CE97-4D7B-9EC8-9B859E6190D6}"/>
    <cellStyle name="Style 93 3 3 5 2" xfId="17103" xr:uid="{74FB8523-22B4-442D-8A7F-736BD5F4B714}"/>
    <cellStyle name="Style 93 3 3 5 2 2" xfId="17104" xr:uid="{AFD58173-23AD-4148-BD10-20BAFA71D764}"/>
    <cellStyle name="Style 93 3 3 5 2 2 2" xfId="35658" xr:uid="{3EE3CD2D-86D1-4D32-A276-06D548FD5351}"/>
    <cellStyle name="Style 93 3 3 5 2 3" xfId="35657" xr:uid="{DDB5DC12-FE2D-4BF2-A1A2-676C6B595920}"/>
    <cellStyle name="Style 93 3 3 5 3" xfId="17105" xr:uid="{F68E2861-6FB2-4BCB-B1CC-63A546DEB8FD}"/>
    <cellStyle name="Style 93 3 3 5 3 2" xfId="35659" xr:uid="{625A0A38-2059-4C64-B987-D1A2115A3F8B}"/>
    <cellStyle name="Style 93 3 3 5 4" xfId="17106" xr:uid="{EE87E7AE-E4C1-4292-8858-CFD1E307C499}"/>
    <cellStyle name="Style 93 3 3 5 4 2" xfId="35660" xr:uid="{2E402E04-7BF4-429E-86AD-05120D3781DE}"/>
    <cellStyle name="Style 93 3 3 5 5" xfId="17107" xr:uid="{AD3875AE-17EE-40C4-B3A2-5838363E7FFC}"/>
    <cellStyle name="Style 93 3 3 5 5 2" xfId="35661" xr:uid="{67B0BAE8-475C-460E-8EC8-380EA8E9910C}"/>
    <cellStyle name="Style 93 3 3 5 6" xfId="17108" xr:uid="{49ABCB10-5871-4AA5-AE01-5B0626986C03}"/>
    <cellStyle name="Style 93 3 3 5 6 2" xfId="35662" xr:uid="{CCF01758-F024-4E47-B978-8CED96DE1D7E}"/>
    <cellStyle name="Style 93 3 3 6" xfId="7461" xr:uid="{78B238C7-C254-4E47-A6ED-121E2AAE98CE}"/>
    <cellStyle name="Style 93 3 3 6 2" xfId="17109" xr:uid="{EF285910-C97C-4AA4-BE98-CFDF84D6D23B}"/>
    <cellStyle name="Style 93 3 3 6 2 2" xfId="35663" xr:uid="{740AEE0D-A7D0-4421-AA16-72751C3EAEA7}"/>
    <cellStyle name="Style 93 3 3 6 3" xfId="17110" xr:uid="{CA3E96E8-3FEF-47AC-87B7-FD3602BCDFF0}"/>
    <cellStyle name="Style 93 3 3 6 3 2" xfId="35664" xr:uid="{F7A3B8C6-59FC-4285-8D1B-6179965A3613}"/>
    <cellStyle name="Style 93 3 3 6 4" xfId="17111" xr:uid="{57CAB5F9-34E5-4CAD-B5CF-763382E42731}"/>
    <cellStyle name="Style 93 3 3 6 4 2" xfId="35665" xr:uid="{8C0EC438-48E1-4C9A-BF42-AB0E75FCE478}"/>
    <cellStyle name="Style 93 3 3 7" xfId="7446" xr:uid="{BCACCDA5-04DF-4D6D-918F-596B097A49DB}"/>
    <cellStyle name="Style 93 3 3 7 2" xfId="17112" xr:uid="{658872B5-C7D6-4BBD-9CCE-99AA36571B1F}"/>
    <cellStyle name="Style 93 3 3 7 2 2" xfId="35666" xr:uid="{72293608-891F-4B52-A192-2B754BE58710}"/>
    <cellStyle name="Style 93 3 3 7 3" xfId="17113" xr:uid="{33324B64-5B92-47FE-84F1-6C3AD111EA75}"/>
    <cellStyle name="Style 93 3 3 7 3 2" xfId="35667" xr:uid="{122B8624-F19D-497B-B79D-5270F90D449F}"/>
    <cellStyle name="Style 93 3 3 8" xfId="17114" xr:uid="{8188BB73-A195-457C-BF79-7645A6F4C0A5}"/>
    <cellStyle name="Style 93 3 3 8 2" xfId="17115" xr:uid="{C524733F-3097-4F1A-834F-BB6BECE69719}"/>
    <cellStyle name="Style 93 3 3 8 2 2" xfId="35668" xr:uid="{19A58937-DF7D-4A39-A6EC-0032822367E7}"/>
    <cellStyle name="Style 93 3 3 8 3" xfId="17116" xr:uid="{EB84F897-78EA-4B51-BA8C-134BD25473D1}"/>
    <cellStyle name="Style 93 3 3 8 3 2" xfId="35669" xr:uid="{066B783E-02A1-4E36-8990-BEA4936F488B}"/>
    <cellStyle name="Style 93 3 3 8 4" xfId="28143" xr:uid="{7F7D6ED7-0443-45EB-8D33-4A0BB20582AA}"/>
    <cellStyle name="Style 93 3 3 9" xfId="17117" xr:uid="{E93D59BE-2E49-42D3-B6BB-803A995F7705}"/>
    <cellStyle name="Style 93 3 3 9 2" xfId="17118" xr:uid="{27D0EBEC-DA50-4C4A-BE13-1A5ABE023A23}"/>
    <cellStyle name="Style 93 3 3 9 2 2" xfId="35671" xr:uid="{F0942F8C-7EFD-449D-9902-156062A6FF72}"/>
    <cellStyle name="Style 93 3 3 9 3" xfId="35670" xr:uid="{2BAD7996-FEEA-4B29-AF12-146C903C8D3F}"/>
    <cellStyle name="Style 93 3 4" xfId="3694" xr:uid="{B48E2B8B-8849-4AD0-B04F-A682F2955460}"/>
    <cellStyle name="Style 93 3 4 10" xfId="24177" xr:uid="{1FF0707D-D01B-42C2-903D-8F62C77667FE}"/>
    <cellStyle name="Style 93 3 4 2" xfId="7463" xr:uid="{F9BCD037-24F3-48FD-84EF-3BBF034CD9C6}"/>
    <cellStyle name="Style 93 3 4 2 2" xfId="7464" xr:uid="{12BE8267-E1E1-4312-971D-B2A0EC2D182A}"/>
    <cellStyle name="Style 93 3 4 2 2 2" xfId="17119" xr:uid="{F081C888-E320-4891-8E1B-0AD99F056717}"/>
    <cellStyle name="Style 93 3 4 2 2 2 2" xfId="35672" xr:uid="{B2F2EFB5-021B-4C1B-BC2F-188F87EB0887}"/>
    <cellStyle name="Style 93 3 4 2 3" xfId="17120" xr:uid="{F7CAC128-ABF7-45C6-97FD-A47E6A8F16EB}"/>
    <cellStyle name="Style 93 3 4 2 3 2" xfId="35673" xr:uid="{EA695651-2A7B-4CC7-AF44-6C8ECDD791D9}"/>
    <cellStyle name="Style 93 3 4 2 4" xfId="17121" xr:uid="{1DCECDF4-FE87-4F66-8661-E0A401E722A2}"/>
    <cellStyle name="Style 93 3 4 2 4 2" xfId="35674" xr:uid="{87EDF4DD-2A48-40D6-90BF-653F1725D697}"/>
    <cellStyle name="Style 93 3 4 2 5" xfId="24178" xr:uid="{11A0FB68-75B4-448C-B819-1404313FC745}"/>
    <cellStyle name="Style 93 3 4 3" xfId="7465" xr:uid="{D08970CB-5587-4644-85BD-D32404CFE6E0}"/>
    <cellStyle name="Style 93 3 4 3 2" xfId="17122" xr:uid="{B91095A3-0CA7-405E-8222-EB0B0A281EC7}"/>
    <cellStyle name="Style 93 3 4 3 2 2" xfId="35675" xr:uid="{4A4F1872-FA85-4711-9736-1D5AA891D521}"/>
    <cellStyle name="Style 93 3 4 3 3" xfId="17123" xr:uid="{6287D72F-59B9-4DE0-9F04-192C78348F14}"/>
    <cellStyle name="Style 93 3 4 3 3 2" xfId="35676" xr:uid="{05178154-9791-4477-8DD8-7D9B5D87C50B}"/>
    <cellStyle name="Style 93 3 4 4" xfId="7466" xr:uid="{3F9701EE-C927-4570-859A-9075C948E112}"/>
    <cellStyle name="Style 93 3 4 4 2" xfId="17124" xr:uid="{8DAAA52B-DA8C-4BFE-B64B-6970B57D881E}"/>
    <cellStyle name="Style 93 3 4 4 2 2" xfId="35677" xr:uid="{821E6250-E4F2-4344-8673-96CDD621FD71}"/>
    <cellStyle name="Style 93 3 4 4 3" xfId="17125" xr:uid="{25CFDF73-2CD2-4D59-8A6F-B27E8D3D1F2A}"/>
    <cellStyle name="Style 93 3 4 4 3 2" xfId="35678" xr:uid="{A137B121-D821-4830-A2C6-D27DAF25F806}"/>
    <cellStyle name="Style 93 3 4 5" xfId="7462" xr:uid="{68BCAFF4-6B7F-4307-B20B-D103879F1FD3}"/>
    <cellStyle name="Style 93 3 4 5 2" xfId="17126" xr:uid="{1FF5FE64-F2DE-42AD-819C-33910605ADD2}"/>
    <cellStyle name="Style 93 3 4 5 2 2" xfId="35679" xr:uid="{7E6C63F2-51BB-4D94-84B8-CF032BC3A121}"/>
    <cellStyle name="Style 93 3 4 5 3" xfId="17127" xr:uid="{3D897743-5E2E-4545-BFBD-41ACDE991161}"/>
    <cellStyle name="Style 93 3 4 5 3 2" xfId="35680" xr:uid="{86D0E0A7-E82F-47E9-8C4D-30CBA7E6EE7F}"/>
    <cellStyle name="Style 93 3 4 6" xfId="17128" xr:uid="{908C102A-0A71-49A1-897C-C75D43150805}"/>
    <cellStyle name="Style 93 3 4 6 2" xfId="17129" xr:uid="{69D27358-F368-4C8D-A6C2-49821491EE6C}"/>
    <cellStyle name="Style 93 3 4 6 2 2" xfId="35681" xr:uid="{141052C3-ABC6-44A1-BDD3-75023E585317}"/>
    <cellStyle name="Style 93 3 4 6 3" xfId="17130" xr:uid="{014A3141-6C3A-4E4F-A7A7-A3CF4E0227A8}"/>
    <cellStyle name="Style 93 3 4 6 3 2" xfId="35682" xr:uid="{C3EDC964-DB76-45D5-83FF-3C21DE633651}"/>
    <cellStyle name="Style 93 3 4 6 4" xfId="28149" xr:uid="{CAD632BA-2E62-4DEF-9747-2A957206F883}"/>
    <cellStyle name="Style 93 3 4 7" xfId="17131" xr:uid="{976335F5-73D5-4A64-B857-C519DC3336B4}"/>
    <cellStyle name="Style 93 3 4 7 2" xfId="35683" xr:uid="{5DDD8A6C-4162-4E03-BC02-21309C30F7FC}"/>
    <cellStyle name="Style 93 3 4 8" xfId="17132" xr:uid="{C0B867F2-23A1-47BF-9C10-DC5C9FA25282}"/>
    <cellStyle name="Style 93 3 4 8 2" xfId="35684" xr:uid="{5AADF0ED-C970-4678-873D-191E15C1F459}"/>
    <cellStyle name="Style 93 3 4 9" xfId="17133" xr:uid="{5624D62F-EF4A-4998-BB7B-9DC85663CCA5}"/>
    <cellStyle name="Style 93 3 4 9 2" xfId="35685" xr:uid="{2C6BB279-1ED4-4EB6-B57C-FFDCD2A1BBD9}"/>
    <cellStyle name="Style 93 3 5" xfId="7467" xr:uid="{80A92307-0435-4341-9D4F-2DAA59DDA588}"/>
    <cellStyle name="Style 93 3 5 2" xfId="7468" xr:uid="{FD004FAB-9039-42A7-8565-4E69F62063ED}"/>
    <cellStyle name="Style 93 3 5 2 2" xfId="17134" xr:uid="{734F41A5-7BC7-40EC-91F0-3145DBBB122E}"/>
    <cellStyle name="Style 93 3 5 2 2 2" xfId="35686" xr:uid="{0D429460-A1E0-4072-A1CB-A8173A60874D}"/>
    <cellStyle name="Style 93 3 5 3" xfId="17135" xr:uid="{1A1580B3-6CDF-4824-B088-0C866FE0ED43}"/>
    <cellStyle name="Style 93 3 5 3 2" xfId="17136" xr:uid="{21047035-831F-49B7-BBD7-B69AE76E73DB}"/>
    <cellStyle name="Style 93 3 5 3 2 2" xfId="35687" xr:uid="{1F9155AB-F9CB-4240-B842-49DD541A8D94}"/>
    <cellStyle name="Style 93 3 5 4" xfId="17137" xr:uid="{CA934BF4-4F13-4F31-BDEF-DDF8E2984FBC}"/>
    <cellStyle name="Style 93 3 5 4 2" xfId="35688" xr:uid="{8DD81F03-28EA-4CE1-BBBF-8E847F2ADD69}"/>
    <cellStyle name="Style 93 3 5 5" xfId="24179" xr:uid="{7A68D737-75F4-473E-959D-F6E515F34F88}"/>
    <cellStyle name="Style 93 3 6" xfId="7469" xr:uid="{C3A20FC0-FE4E-472A-9B4E-700E5B19D142}"/>
    <cellStyle name="Style 93 3 6 2" xfId="17138" xr:uid="{53E18196-FDBC-4AAE-B253-7D9D76B840C7}"/>
    <cellStyle name="Style 93 3 6 2 2" xfId="35689" xr:uid="{4D146743-6267-493D-ABC4-45E578332CAE}"/>
    <cellStyle name="Style 93 3 6 3" xfId="17139" xr:uid="{9E72EDE4-F71A-4905-BD6A-1C6B7AEA4595}"/>
    <cellStyle name="Style 93 3 6 3 2" xfId="35690" xr:uid="{2F97A9F4-C800-4F75-944E-27BD1E8E18FE}"/>
    <cellStyle name="Style 93 3 7" xfId="7441" xr:uid="{07A2EBC0-E0A6-440D-BF9A-85FE3D468C88}"/>
    <cellStyle name="Style 93 3 7 2" xfId="17140" xr:uid="{E1775915-EA87-459D-A7F3-F1FA9FF18A24}"/>
    <cellStyle name="Style 93 3 7 2 2" xfId="35691" xr:uid="{E44A3AE7-CCE8-450C-AE77-897DFC5D2CFD}"/>
    <cellStyle name="Style 93 3 7 3" xfId="17141" xr:uid="{B176848E-9C89-42C2-AB86-1EE3B7271890}"/>
    <cellStyle name="Style 93 3 7 3 2" xfId="35692" xr:uid="{02DB84E7-A1A0-4E70-AB38-001A814DF563}"/>
    <cellStyle name="Style 93 3 8" xfId="4451" xr:uid="{1EC01FC1-0345-4605-B883-277A3061F503}"/>
    <cellStyle name="Style 93 3 8 2" xfId="17142" xr:uid="{011E0363-5CD5-4F79-9EE7-8E2E269C8128}"/>
    <cellStyle name="Style 93 3 8 2 2" xfId="35693" xr:uid="{3FC381FA-5BD5-4614-8E84-08ECF5BECB3A}"/>
    <cellStyle name="Style 93 3 8 3" xfId="17143" xr:uid="{97A7287A-0E15-4E24-A40D-D6DAE158E32D}"/>
    <cellStyle name="Style 93 3 8 3 2" xfId="35694" xr:uid="{A3277865-E61B-4110-9340-3E4ADEAF50B2}"/>
    <cellStyle name="Style 93 3 8 4" xfId="26720" xr:uid="{C42D3D8E-2C92-4CD0-8733-2E9663FA02D2}"/>
    <cellStyle name="Style 93 3 9" xfId="17144" xr:uid="{7B8353D8-BD67-4164-9D54-9F4F34156960}"/>
    <cellStyle name="Style 93 3 9 2" xfId="17145" xr:uid="{81EC18B5-0785-4A1B-AAAF-83C0D52028A7}"/>
    <cellStyle name="Style 93 3 9 2 2" xfId="35696" xr:uid="{B47A71D0-4EE7-47DE-B0B8-AE8A933B6F7B}"/>
    <cellStyle name="Style 93 3 9 3" xfId="35695" xr:uid="{6A7E2F1A-C5E0-48F4-B853-3DE9E7FC1358}"/>
    <cellStyle name="Style 93 4" xfId="3695" xr:uid="{963A5AAC-4187-4894-82E0-B6ED5A2E2F0A}"/>
    <cellStyle name="Style 93 4 10" xfId="17146" xr:uid="{938BFCDD-764F-4143-8C29-96F054D2AEFC}"/>
    <cellStyle name="Style 93 4 10 2" xfId="35697" xr:uid="{70ACC4F5-9AB4-4188-8C69-4DDDD228E826}"/>
    <cellStyle name="Style 93 4 11" xfId="17147" xr:uid="{657EAC8F-EAD7-4418-8333-7DEDE6192A3C}"/>
    <cellStyle name="Style 93 4 11 2" xfId="35698" xr:uid="{0267A8CE-7BAB-464E-8958-FB7F926BBCD7}"/>
    <cellStyle name="Style 93 4 12" xfId="17148" xr:uid="{A251D9BC-9698-4A04-9D81-4DB7466CE120}"/>
    <cellStyle name="Style 93 4 12 2" xfId="35699" xr:uid="{7F0A5EC5-B0B4-4491-B9D1-CAE042ED9533}"/>
    <cellStyle name="Style 93 4 13" xfId="24180" xr:uid="{E571943C-C72C-4E2B-8AD3-D74805DAA2BA}"/>
    <cellStyle name="Style 93 4 2" xfId="3696" xr:uid="{50A92736-30AC-4A47-8EBB-E34F572B612B}"/>
    <cellStyle name="Style 93 4 2 10" xfId="17149" xr:uid="{64F55968-D925-4DA8-A42F-179F21799F53}"/>
    <cellStyle name="Style 93 4 2 10 2" xfId="35700" xr:uid="{3E4E96E5-8DF1-4EF8-B9CB-0086F06BEE56}"/>
    <cellStyle name="Style 93 4 2 11" xfId="17150" xr:uid="{C5A1089A-59DD-42DC-A34F-246F25F3CDA2}"/>
    <cellStyle name="Style 93 4 2 11 2" xfId="35701" xr:uid="{B0DE3A25-E794-4816-A02A-20FAACC0898E}"/>
    <cellStyle name="Style 93 4 2 12" xfId="17151" xr:uid="{2916DB79-8DF2-48C6-B828-CF7760BC08A1}"/>
    <cellStyle name="Style 93 4 2 12 2" xfId="35702" xr:uid="{15E00B87-4977-49F7-B328-0FE3ACC5DBEB}"/>
    <cellStyle name="Style 93 4 2 13" xfId="17152" xr:uid="{08E6E5D6-4A6B-4CFC-B896-D30857261797}"/>
    <cellStyle name="Style 93 4 2 13 2" xfId="35703" xr:uid="{96E6FCD2-426E-4A47-AA9A-FB28F66C0C1C}"/>
    <cellStyle name="Style 93 4 2 14" xfId="24181" xr:uid="{07651902-A1EA-4F1A-8AC2-F9E5581F3261}"/>
    <cellStyle name="Style 93 4 2 2" xfId="3697" xr:uid="{7E391F21-393A-4411-A163-D730053AE53B}"/>
    <cellStyle name="Style 93 4 2 2 10" xfId="24182" xr:uid="{2A32C960-BCC7-4739-BF25-BED1A6EAE053}"/>
    <cellStyle name="Style 93 4 2 2 2" xfId="7473" xr:uid="{2CEF5862-CB3C-427C-8A8D-4433D7C41D11}"/>
    <cellStyle name="Style 93 4 2 2 2 2" xfId="17153" xr:uid="{249B19FB-9040-4D9B-9127-8036148A3876}"/>
    <cellStyle name="Style 93 4 2 2 2 2 2" xfId="35704" xr:uid="{64A7285B-2781-4CAC-9218-1A56726BA48F}"/>
    <cellStyle name="Style 93 4 2 2 2 3" xfId="17154" xr:uid="{C9C32E5F-2E16-4B03-8D08-8C82BCD4468F}"/>
    <cellStyle name="Style 93 4 2 2 2 3 2" xfId="35705" xr:uid="{ECC41C83-1E82-45BC-B38A-269FAF6839D8}"/>
    <cellStyle name="Style 93 4 2 2 2 4" xfId="17155" xr:uid="{DD468B6A-D4CA-4169-834C-60B93C3B1014}"/>
    <cellStyle name="Style 93 4 2 2 2 4 2" xfId="35706" xr:uid="{1E1173A2-DAC5-4D80-BA97-482C5ACB2340}"/>
    <cellStyle name="Style 93 4 2 2 3" xfId="7472" xr:uid="{F2F292AF-9500-47EA-9A82-8C4CB1F6B0D1}"/>
    <cellStyle name="Style 93 4 2 2 3 2" xfId="17156" xr:uid="{AC4F35C1-FAD0-4F55-86D9-F3B71E6CA75A}"/>
    <cellStyle name="Style 93 4 2 2 3 2 2" xfId="35707" xr:uid="{42AB071B-8431-4E52-B63A-C6707099B8AE}"/>
    <cellStyle name="Style 93 4 2 2 3 3" xfId="17157" xr:uid="{BF593589-D5E6-4AE4-967A-6DB68CD089AA}"/>
    <cellStyle name="Style 93 4 2 2 3 3 2" xfId="35708" xr:uid="{1892B032-2262-47DF-89FF-63631F9EDD16}"/>
    <cellStyle name="Style 93 4 2 2 4" xfId="17158" xr:uid="{97CB8813-EE64-4081-BE13-F8E8A7C37664}"/>
    <cellStyle name="Style 93 4 2 2 4 2" xfId="17159" xr:uid="{783C3A7F-4C02-4FAE-BCC7-97D77F9E6D0D}"/>
    <cellStyle name="Style 93 4 2 2 4 2 2" xfId="35709" xr:uid="{70E19DFA-55C0-463B-B18C-6B1ED3115EF3}"/>
    <cellStyle name="Style 93 4 2 2 4 3" xfId="17160" xr:uid="{67F6760E-ABB6-47BD-A907-125DC96A02B5}"/>
    <cellStyle name="Style 93 4 2 2 4 3 2" xfId="35710" xr:uid="{ED332379-70D0-41AA-B5C3-D30E81D2776A}"/>
    <cellStyle name="Style 93 4 2 2 4 4" xfId="28152" xr:uid="{A0342378-7727-43B0-B8BE-B977E4CC0558}"/>
    <cellStyle name="Style 93 4 2 2 5" xfId="17161" xr:uid="{69F83849-A217-4234-B3D1-CA850B097E7B}"/>
    <cellStyle name="Style 93 4 2 2 5 2" xfId="17162" xr:uid="{55F52FAB-56DE-4BCD-8B4F-240F5BF95CC0}"/>
    <cellStyle name="Style 93 4 2 2 5 2 2" xfId="35712" xr:uid="{ED55F0D9-9E43-4651-B5E2-3DCA36083088}"/>
    <cellStyle name="Style 93 4 2 2 5 3" xfId="35711" xr:uid="{0B49A664-E54A-4878-A0E7-0562517A5651}"/>
    <cellStyle name="Style 93 4 2 2 6" xfId="17163" xr:uid="{C7B81FBC-3D3A-4E77-8FA6-92FD2D48D596}"/>
    <cellStyle name="Style 93 4 2 2 6 2" xfId="17164" xr:uid="{846B177D-20FB-498E-8D80-3D275380F1BF}"/>
    <cellStyle name="Style 93 4 2 2 6 2 2" xfId="35714" xr:uid="{7EFEF0C8-70CF-44C0-9234-FE96B9975ADD}"/>
    <cellStyle name="Style 93 4 2 2 6 3" xfId="35713" xr:uid="{6C656E49-5868-438F-8388-140572CFCB42}"/>
    <cellStyle name="Style 93 4 2 2 7" xfId="17165" xr:uid="{94CA97C5-B1FF-407A-8EE6-4D48D559DCA2}"/>
    <cellStyle name="Style 93 4 2 2 7 2" xfId="35715" xr:uid="{7137C1BC-8EBC-4AAE-B4B7-1AD5C0116159}"/>
    <cellStyle name="Style 93 4 2 2 8" xfId="17166" xr:uid="{75DE6AA1-9B02-4B6E-B880-D7514550228E}"/>
    <cellStyle name="Style 93 4 2 2 8 2" xfId="35716" xr:uid="{3ABE5719-4650-4457-AECB-3EDB2DC710BB}"/>
    <cellStyle name="Style 93 4 2 2 9" xfId="17167" xr:uid="{0B0AC994-3760-44E3-8061-457CBF8C5C81}"/>
    <cellStyle name="Style 93 4 2 2 9 2" xfId="35717" xr:uid="{A29A8EF9-C692-41DF-A707-B7B0EC1D924C}"/>
    <cellStyle name="Style 93 4 2 3" xfId="3698" xr:uid="{9BBAAF2B-0948-4EDD-8FE4-6B7A0C62CB07}"/>
    <cellStyle name="Style 93 4 2 3 10" xfId="17168" xr:uid="{752AD8C7-BCE9-4BD8-8242-0E5C3F1AB647}"/>
    <cellStyle name="Style 93 4 2 3 10 2" xfId="35718" xr:uid="{5039DA73-F27A-4E57-809C-790A2FF01D0C}"/>
    <cellStyle name="Style 93 4 2 3 11" xfId="17169" xr:uid="{864A678B-EDE7-457A-A3DA-964538D188B2}"/>
    <cellStyle name="Style 93 4 2 3 11 2" xfId="35719" xr:uid="{EE739673-46D3-4AA2-AAB9-EC2D26241DAE}"/>
    <cellStyle name="Style 93 4 2 3 12" xfId="24183" xr:uid="{CF7F45A9-D390-473D-B4EB-4FCD7B285CBE}"/>
    <cellStyle name="Style 93 4 2 3 2" xfId="3699" xr:uid="{CEF3B497-4876-47B5-BCB0-8667978C01B8}"/>
    <cellStyle name="Style 93 4 2 3 2 10" xfId="24184" xr:uid="{5335B04C-D42C-4D38-B494-8FB87F3305DB}"/>
    <cellStyle name="Style 93 4 2 3 2 2" xfId="7476" xr:uid="{636E961C-8F23-47C3-929B-B98478A31948}"/>
    <cellStyle name="Style 93 4 2 3 2 2 2" xfId="17170" xr:uid="{777A0515-3797-4B30-B6CF-1B7A6F7B0FE5}"/>
    <cellStyle name="Style 93 4 2 3 2 2 2 2" xfId="35720" xr:uid="{DF813E61-E09C-4321-AC51-CE87E9D7128F}"/>
    <cellStyle name="Style 93 4 2 3 2 2 3" xfId="17171" xr:uid="{856F53EA-3434-4925-B97D-AFEA874863A9}"/>
    <cellStyle name="Style 93 4 2 3 2 2 3 2" xfId="35721" xr:uid="{B5CC5A8A-AF89-4BA6-9BA3-07E88A93B8CE}"/>
    <cellStyle name="Style 93 4 2 3 2 2 4" xfId="17172" xr:uid="{5710AC0F-DE41-4372-A68A-135C1E9DC9E1}"/>
    <cellStyle name="Style 93 4 2 3 2 2 4 2" xfId="35722" xr:uid="{2FE61D1A-0D39-44E4-9F27-A6CB4F68D020}"/>
    <cellStyle name="Style 93 4 2 3 2 3" xfId="7475" xr:uid="{7035027A-6756-4406-AF5A-4A6CE76CBC0F}"/>
    <cellStyle name="Style 93 4 2 3 2 3 2" xfId="17173" xr:uid="{75878CB1-0124-465E-954D-EE5C591B278F}"/>
    <cellStyle name="Style 93 4 2 3 2 3 2 2" xfId="35723" xr:uid="{34A391D6-EAAA-4AAB-94CC-2CEE7086EB7A}"/>
    <cellStyle name="Style 93 4 2 3 2 3 3" xfId="17174" xr:uid="{4F644433-C205-4C27-B338-BE89B81473AC}"/>
    <cellStyle name="Style 93 4 2 3 2 3 3 2" xfId="35724" xr:uid="{D7395187-AE31-44A9-8246-E8B04B0C369E}"/>
    <cellStyle name="Style 93 4 2 3 2 4" xfId="17175" xr:uid="{BF0F7656-552C-4BD0-A7AD-5E343D382ED2}"/>
    <cellStyle name="Style 93 4 2 3 2 4 2" xfId="17176" xr:uid="{3C8F2311-ED21-462B-B0A3-AD2D971707C3}"/>
    <cellStyle name="Style 93 4 2 3 2 4 2 2" xfId="35725" xr:uid="{8ADD52D8-3D9D-4692-8760-038B54F3D134}"/>
    <cellStyle name="Style 93 4 2 3 2 4 3" xfId="17177" xr:uid="{CF32C731-1D59-4390-AAF5-10512583376D}"/>
    <cellStyle name="Style 93 4 2 3 2 4 3 2" xfId="35726" xr:uid="{D31238C1-BF79-460E-A752-B9766826B84E}"/>
    <cellStyle name="Style 93 4 2 3 2 4 4" xfId="28154" xr:uid="{EAA644FB-3FAC-4ECA-A63D-40BD586869D3}"/>
    <cellStyle name="Style 93 4 2 3 2 5" xfId="17178" xr:uid="{9144F965-99A1-4808-BF67-1F4BF00B23FF}"/>
    <cellStyle name="Style 93 4 2 3 2 5 2" xfId="17179" xr:uid="{3D8BBDB8-3A29-4AB5-9017-BF30BADD03F5}"/>
    <cellStyle name="Style 93 4 2 3 2 5 2 2" xfId="35728" xr:uid="{8F321B14-4533-487C-8D4F-116CB8E3D04B}"/>
    <cellStyle name="Style 93 4 2 3 2 5 3" xfId="35727" xr:uid="{C8DA782F-63F8-4845-BA92-CAB130C12BDF}"/>
    <cellStyle name="Style 93 4 2 3 2 6" xfId="17180" xr:uid="{6FFA92F5-60BC-4D6D-8C69-E78C00144B39}"/>
    <cellStyle name="Style 93 4 2 3 2 6 2" xfId="17181" xr:uid="{C0B5715E-74C0-4289-B541-BC68E6C51AEF}"/>
    <cellStyle name="Style 93 4 2 3 2 6 2 2" xfId="35730" xr:uid="{2C9B1F31-EAA1-4E97-948C-E21989961A22}"/>
    <cellStyle name="Style 93 4 2 3 2 6 3" xfId="35729" xr:uid="{E6018FDB-7E43-47E2-AA5F-626E934B6E3C}"/>
    <cellStyle name="Style 93 4 2 3 2 7" xfId="17182" xr:uid="{AE582D71-706C-4935-B777-99A45889BC37}"/>
    <cellStyle name="Style 93 4 2 3 2 7 2" xfId="35731" xr:uid="{E4EEBB5E-A3DE-47E0-A9BE-BDD1CD9956CD}"/>
    <cellStyle name="Style 93 4 2 3 2 8" xfId="17183" xr:uid="{7F2DA2E1-2097-4687-AD58-4F1672B94326}"/>
    <cellStyle name="Style 93 4 2 3 2 8 2" xfId="35732" xr:uid="{07F23B65-AA0B-42C9-96D5-8450E50FE6FC}"/>
    <cellStyle name="Style 93 4 2 3 2 9" xfId="17184" xr:uid="{6020DAF1-8DC5-460F-9B66-3A7975BCA7DC}"/>
    <cellStyle name="Style 93 4 2 3 2 9 2" xfId="35733" xr:uid="{D9CB92E1-223D-4F9D-B4B8-737689B9E0A5}"/>
    <cellStyle name="Style 93 4 2 3 3" xfId="7477" xr:uid="{0AC82E25-2050-4843-89E4-48766EFB78CA}"/>
    <cellStyle name="Style 93 4 2 3 3 2" xfId="7478" xr:uid="{4680F584-4CF8-46BE-9322-A947C7DC4AC4}"/>
    <cellStyle name="Style 93 4 2 3 3 2 2" xfId="17185" xr:uid="{A38984E3-DFB9-4427-A73C-2651122A4884}"/>
    <cellStyle name="Style 93 4 2 3 3 2 2 2" xfId="35734" xr:uid="{D4E89227-1F86-4B84-9AA1-4760BF33BF48}"/>
    <cellStyle name="Style 93 4 2 3 3 2 3" xfId="17186" xr:uid="{4C0A7CA3-A785-42D4-8605-4A6FD93CFC86}"/>
    <cellStyle name="Style 93 4 2 3 3 2 3 2" xfId="35735" xr:uid="{55320C2B-E9C3-4DF1-B14E-70418AD99857}"/>
    <cellStyle name="Style 93 4 2 3 3 3" xfId="17187" xr:uid="{617DE5DA-6CD9-4425-8399-430127712A55}"/>
    <cellStyle name="Style 93 4 2 3 3 3 2" xfId="35736" xr:uid="{7041A591-4919-42C8-A810-2ACEBE3B67D8}"/>
    <cellStyle name="Style 93 4 2 3 3 4" xfId="17188" xr:uid="{91E2C6F2-1427-42A6-8DAC-BA5DA733FB5E}"/>
    <cellStyle name="Style 93 4 2 3 3 4 2" xfId="35737" xr:uid="{F1774CD7-9BC5-4E9C-873E-07AA4EC3DA54}"/>
    <cellStyle name="Style 93 4 2 3 3 5" xfId="17189" xr:uid="{FBA23205-8C2A-4C16-9BE6-BBF63746023C}"/>
    <cellStyle name="Style 93 4 2 3 3 5 2" xfId="35738" xr:uid="{755BCC34-E63C-4262-80E9-F16825D61E56}"/>
    <cellStyle name="Style 93 4 2 3 3 6" xfId="17190" xr:uid="{E469B5FB-042A-496D-9C14-3845B727CA75}"/>
    <cellStyle name="Style 93 4 2 3 3 6 2" xfId="35739" xr:uid="{9E34386B-E204-43AD-B5D3-232F2EFAD499}"/>
    <cellStyle name="Style 93 4 2 3 3 7" xfId="24185" xr:uid="{C8DC3EBE-8674-4016-99F2-79F0B57C380D}"/>
    <cellStyle name="Style 93 4 2 3 4" xfId="7479" xr:uid="{9478871B-86FE-4B89-891E-363D37C9CA42}"/>
    <cellStyle name="Style 93 4 2 3 4 2" xfId="17191" xr:uid="{FCF1C9B9-3A14-4C1A-937E-E475C6F49CF2}"/>
    <cellStyle name="Style 93 4 2 3 4 2 2" xfId="35740" xr:uid="{61EA409C-E49C-49EB-936F-92A48703F639}"/>
    <cellStyle name="Style 93 4 2 3 4 3" xfId="17192" xr:uid="{DB05456B-6495-40F6-B904-09C54A4352EA}"/>
    <cellStyle name="Style 93 4 2 3 4 3 2" xfId="35741" xr:uid="{CF37A1E8-9FF6-456B-BB34-52BE5AAE078B}"/>
    <cellStyle name="Style 93 4 2 3 4 4" xfId="17193" xr:uid="{94600E77-F1F9-48FD-B534-B2D2408E9749}"/>
    <cellStyle name="Style 93 4 2 3 4 4 2" xfId="35742" xr:uid="{D97B2BF2-EAF8-4418-84E3-7DDCF5454729}"/>
    <cellStyle name="Style 93 4 2 3 5" xfId="7480" xr:uid="{78832777-2EE8-4C96-B660-B79B5743E181}"/>
    <cellStyle name="Style 93 4 2 3 5 2" xfId="17194" xr:uid="{4C1187BB-9173-443D-ADE6-D4C97FBDCA0E}"/>
    <cellStyle name="Style 93 4 2 3 5 2 2" xfId="35743" xr:uid="{8539EC99-7A95-4B2C-B96D-53C724B0D23F}"/>
    <cellStyle name="Style 93 4 2 3 5 3" xfId="17195" xr:uid="{56D0CC3C-4004-4BD2-A629-A49850573BCB}"/>
    <cellStyle name="Style 93 4 2 3 5 3 2" xfId="35744" xr:uid="{0E28D359-F857-4143-A1BD-05F566817B19}"/>
    <cellStyle name="Style 93 4 2 3 6" xfId="7474" xr:uid="{733CA2D8-D3BA-419C-809C-B7DACB2E075D}"/>
    <cellStyle name="Style 93 4 2 3 6 2" xfId="17196" xr:uid="{FC188162-90FF-4CC2-AE47-A700DC22FD8F}"/>
    <cellStyle name="Style 93 4 2 3 6 2 2" xfId="35745" xr:uid="{574C70C3-DBB2-4440-950D-CDD673F7FEEF}"/>
    <cellStyle name="Style 93 4 2 3 6 3" xfId="17197" xr:uid="{B9E4D43A-5DED-4E6C-A94C-43626FACBD65}"/>
    <cellStyle name="Style 93 4 2 3 6 3 2" xfId="35746" xr:uid="{1E254890-C608-4836-A091-55DCED724EA5}"/>
    <cellStyle name="Style 93 4 2 3 7" xfId="17198" xr:uid="{3136210D-F7C1-4E74-A224-25D10110E287}"/>
    <cellStyle name="Style 93 4 2 3 7 2" xfId="17199" xr:uid="{521473E7-2F38-4139-800B-4AF3E85B098B}"/>
    <cellStyle name="Style 93 4 2 3 7 2 2" xfId="35747" xr:uid="{9275519D-CEC7-4AE9-9982-89534A9E1B7A}"/>
    <cellStyle name="Style 93 4 2 3 7 3" xfId="17200" xr:uid="{78D2FCAE-A136-43FC-8765-FFE672A96B7F}"/>
    <cellStyle name="Style 93 4 2 3 7 3 2" xfId="35748" xr:uid="{B335CD69-7005-48DE-A711-3E78A91FD3A5}"/>
    <cellStyle name="Style 93 4 2 3 7 4" xfId="28153" xr:uid="{D03009F8-18E9-4745-A716-D28D14F41503}"/>
    <cellStyle name="Style 93 4 2 3 8" xfId="17201" xr:uid="{86CA292D-47CE-43D6-BABE-DF010310024D}"/>
    <cellStyle name="Style 93 4 2 3 8 2" xfId="35749" xr:uid="{8620AB26-18F2-4FBE-B1B4-2FC9109AC5E3}"/>
    <cellStyle name="Style 93 4 2 3 9" xfId="17202" xr:uid="{D8B0E2CE-CAB2-428B-9473-C440B9DC6909}"/>
    <cellStyle name="Style 93 4 2 3 9 2" xfId="35750" xr:uid="{F0CD242B-DA42-4CE0-A974-E0DA598E3C28}"/>
    <cellStyle name="Style 93 4 2 4" xfId="3700" xr:uid="{75BF9126-7C72-4F9B-978D-DA3B2F83E3B7}"/>
    <cellStyle name="Style 93 4 2 4 10" xfId="17203" xr:uid="{54C11B9F-02FA-4C5A-B293-C667A58A6529}"/>
    <cellStyle name="Style 93 4 2 4 10 2" xfId="35751" xr:uid="{EA55C56A-FC23-4769-A70B-6648206BC6B0}"/>
    <cellStyle name="Style 93 4 2 4 11" xfId="24186" xr:uid="{C25544EA-6422-4D7C-86F5-1D0A4E20225B}"/>
    <cellStyle name="Style 93 4 2 4 2" xfId="3701" xr:uid="{0A491826-B8A6-4426-98BA-DC8B3BD609D4}"/>
    <cellStyle name="Style 93 4 2 4 2 10" xfId="24187" xr:uid="{9B80C14D-145A-436D-BBB1-9B50ED157AF3}"/>
    <cellStyle name="Style 93 4 2 4 2 2" xfId="7483" xr:uid="{F2157B02-1852-4D0E-8071-7E1A42B4E0A4}"/>
    <cellStyle name="Style 93 4 2 4 2 2 2" xfId="17204" xr:uid="{1B76296A-E80A-471A-9AF5-F26FF1525D80}"/>
    <cellStyle name="Style 93 4 2 4 2 2 2 2" xfId="35752" xr:uid="{88D13F3F-68F3-4DCB-9AAE-3CF36247BB68}"/>
    <cellStyle name="Style 93 4 2 4 2 2 3" xfId="17205" xr:uid="{7A46D27B-E0A2-419A-A4A3-DBD25CE817CD}"/>
    <cellStyle name="Style 93 4 2 4 2 2 3 2" xfId="35753" xr:uid="{1F11FEFF-99BA-4D29-93CA-27453AB0C2BE}"/>
    <cellStyle name="Style 93 4 2 4 2 2 4" xfId="17206" xr:uid="{9713ECB5-9051-4253-9BED-874B8EF867B8}"/>
    <cellStyle name="Style 93 4 2 4 2 2 4 2" xfId="35754" xr:uid="{1741A8DD-1667-4893-8A42-F92A6D8C67E7}"/>
    <cellStyle name="Style 93 4 2 4 2 3" xfId="7482" xr:uid="{3BAFCAEB-FA31-4EB7-BA9A-AC6CD42CCF99}"/>
    <cellStyle name="Style 93 4 2 4 2 3 2" xfId="17207" xr:uid="{C034D67C-CA80-40DB-8BC1-2B0E5FB7C2EE}"/>
    <cellStyle name="Style 93 4 2 4 2 3 2 2" xfId="35755" xr:uid="{AA207FB3-E9DB-4BDD-843E-E3D0A2880310}"/>
    <cellStyle name="Style 93 4 2 4 2 3 3" xfId="17208" xr:uid="{CE53ACE9-2831-4AC1-9C50-8FD32B594937}"/>
    <cellStyle name="Style 93 4 2 4 2 3 3 2" xfId="35756" xr:uid="{33C8DF77-3E1E-4F4B-800C-199AD3E267F8}"/>
    <cellStyle name="Style 93 4 2 4 2 4" xfId="17209" xr:uid="{92BBF483-B50C-4D49-8847-811A5E09977C}"/>
    <cellStyle name="Style 93 4 2 4 2 4 2" xfId="17210" xr:uid="{EB1A29CE-C082-40BE-BCDD-C6D777BE1ED2}"/>
    <cellStyle name="Style 93 4 2 4 2 4 2 2" xfId="35757" xr:uid="{BE2CE74D-35BB-43BB-9A8E-FDA2845D2A93}"/>
    <cellStyle name="Style 93 4 2 4 2 4 3" xfId="17211" xr:uid="{B1D1F6A1-D4B1-4272-8756-E25F29E3A4B2}"/>
    <cellStyle name="Style 93 4 2 4 2 4 3 2" xfId="35758" xr:uid="{50A12FA4-444E-4EF9-A6F5-ABF05BE80295}"/>
    <cellStyle name="Style 93 4 2 4 2 4 4" xfId="28156" xr:uid="{7189B96C-83A2-4724-A83F-B59775E06231}"/>
    <cellStyle name="Style 93 4 2 4 2 5" xfId="17212" xr:uid="{1122F1FB-5AE3-447A-AF24-C1BDE8B23444}"/>
    <cellStyle name="Style 93 4 2 4 2 5 2" xfId="17213" xr:uid="{288990DA-492E-4D6D-8CD8-712F64EFA71E}"/>
    <cellStyle name="Style 93 4 2 4 2 5 2 2" xfId="35760" xr:uid="{62DEE4EE-9EC3-4F5F-A5C6-769049384750}"/>
    <cellStyle name="Style 93 4 2 4 2 5 3" xfId="35759" xr:uid="{3083B716-3E0F-4D15-9277-DC738054F8F9}"/>
    <cellStyle name="Style 93 4 2 4 2 6" xfId="17214" xr:uid="{DF384E11-6BF6-4C13-A33D-293372A20AEE}"/>
    <cellStyle name="Style 93 4 2 4 2 6 2" xfId="17215" xr:uid="{52190FBE-1B38-4720-A16D-6E2028BD86B7}"/>
    <cellStyle name="Style 93 4 2 4 2 6 2 2" xfId="35762" xr:uid="{077B4825-C586-4F61-8A0C-86C2CF1A1E73}"/>
    <cellStyle name="Style 93 4 2 4 2 6 3" xfId="35761" xr:uid="{C2C1216B-A2C8-4857-AF65-EFA159AD0B42}"/>
    <cellStyle name="Style 93 4 2 4 2 7" xfId="17216" xr:uid="{0AC05448-7908-43F1-94A6-85D4745F2EC6}"/>
    <cellStyle name="Style 93 4 2 4 2 7 2" xfId="35763" xr:uid="{4364FF4E-AB6F-4D0A-9137-64971CFC6526}"/>
    <cellStyle name="Style 93 4 2 4 2 8" xfId="17217" xr:uid="{A46BB242-3F04-40DF-8D9F-68E0A56E27F2}"/>
    <cellStyle name="Style 93 4 2 4 2 8 2" xfId="35764" xr:uid="{14AADE79-8E24-45A7-8682-E856032F9132}"/>
    <cellStyle name="Style 93 4 2 4 2 9" xfId="17218" xr:uid="{A318546A-B095-4588-94A2-75A97B416601}"/>
    <cellStyle name="Style 93 4 2 4 2 9 2" xfId="35765" xr:uid="{4412E23D-F5C6-4E3A-9477-C1E40D18CEDA}"/>
    <cellStyle name="Style 93 4 2 4 3" xfId="7484" xr:uid="{5EFC2D5E-BBCE-4EDD-A363-85B69F59F0E2}"/>
    <cellStyle name="Style 93 4 2 4 3 2" xfId="17219" xr:uid="{D427E177-B705-43AC-A440-AA3A8B8BF142}"/>
    <cellStyle name="Style 93 4 2 4 3 2 2" xfId="35766" xr:uid="{DD44B5D6-CAB2-435B-9F39-EABD281561B5}"/>
    <cellStyle name="Style 93 4 2 4 3 3" xfId="17220" xr:uid="{4FF191D3-3BCC-4468-AB4E-906D6AF52D94}"/>
    <cellStyle name="Style 93 4 2 4 3 3 2" xfId="35767" xr:uid="{6A04F786-3971-4813-8F47-75E97258A726}"/>
    <cellStyle name="Style 93 4 2 4 3 4" xfId="17221" xr:uid="{2BACE404-51D3-4FC9-82CF-B0960D914182}"/>
    <cellStyle name="Style 93 4 2 4 3 4 2" xfId="35768" xr:uid="{596294AA-730C-412D-A4C8-9A1D783712D0}"/>
    <cellStyle name="Style 93 4 2 4 4" xfId="7481" xr:uid="{821B4D26-D897-4C2D-BAB6-4414052EB8FC}"/>
    <cellStyle name="Style 93 4 2 4 4 2" xfId="17222" xr:uid="{48045D37-79B3-48E1-9ADD-85A0A047D00F}"/>
    <cellStyle name="Style 93 4 2 4 4 2 2" xfId="35769" xr:uid="{61E2753D-7482-40CA-94AE-787433B8844F}"/>
    <cellStyle name="Style 93 4 2 4 4 3" xfId="17223" xr:uid="{6FAEB009-AFA8-41B1-812C-84D641C89CA8}"/>
    <cellStyle name="Style 93 4 2 4 4 3 2" xfId="35770" xr:uid="{B78057F6-9F8D-4C63-9695-CC3B3AA8EA28}"/>
    <cellStyle name="Style 93 4 2 4 5" xfId="17224" xr:uid="{6B29A31E-4B11-44CE-BAF5-C0A6618EA03C}"/>
    <cellStyle name="Style 93 4 2 4 5 2" xfId="17225" xr:uid="{A019397A-003B-482F-BCF4-BA4F0BFF23C0}"/>
    <cellStyle name="Style 93 4 2 4 5 2 2" xfId="35771" xr:uid="{00C79F77-A005-4201-B64F-E948A31393B6}"/>
    <cellStyle name="Style 93 4 2 4 5 3" xfId="17226" xr:uid="{421B8C0D-5B91-4C95-977A-086B7C68E426}"/>
    <cellStyle name="Style 93 4 2 4 5 3 2" xfId="35772" xr:uid="{1000C8E1-9B21-41CA-8420-7E1D0B2DE59D}"/>
    <cellStyle name="Style 93 4 2 4 5 4" xfId="28155" xr:uid="{F581B199-CEE3-4A73-A14D-8E44B8316032}"/>
    <cellStyle name="Style 93 4 2 4 6" xfId="17227" xr:uid="{A64A8903-7CAF-462E-B08C-CF220593AFB5}"/>
    <cellStyle name="Style 93 4 2 4 6 2" xfId="17228" xr:uid="{F934D7CE-F229-48B5-8AC5-EACC847E67D6}"/>
    <cellStyle name="Style 93 4 2 4 6 2 2" xfId="35774" xr:uid="{E5E7AEBC-7FE9-4CCB-BE37-6C0AA004B7EA}"/>
    <cellStyle name="Style 93 4 2 4 6 3" xfId="35773" xr:uid="{56A43EB3-3202-44E0-AC0F-B7C17ECDC18F}"/>
    <cellStyle name="Style 93 4 2 4 7" xfId="17229" xr:uid="{156A4E88-86D2-4685-A9FE-8FA2A6A24B74}"/>
    <cellStyle name="Style 93 4 2 4 7 2" xfId="17230" xr:uid="{B066337F-3E31-4B1C-BC1C-1287B527540C}"/>
    <cellStyle name="Style 93 4 2 4 7 2 2" xfId="35776" xr:uid="{9AA51373-C173-4C72-90AB-DBA9D6390B36}"/>
    <cellStyle name="Style 93 4 2 4 7 3" xfId="35775" xr:uid="{54542BDC-58B7-4744-8FAF-1FC87A20A045}"/>
    <cellStyle name="Style 93 4 2 4 8" xfId="17231" xr:uid="{5887778D-823E-4FE2-850A-FE9739ADF157}"/>
    <cellStyle name="Style 93 4 2 4 8 2" xfId="35777" xr:uid="{72BEAFA9-DAEE-4C47-ABAD-87A7E155F724}"/>
    <cellStyle name="Style 93 4 2 4 9" xfId="17232" xr:uid="{F12AE207-B8C3-42DC-8A9F-79B8EC49B3D6}"/>
    <cellStyle name="Style 93 4 2 4 9 2" xfId="35778" xr:uid="{08E68CF8-FD4A-4186-8B9B-A45DF364720F}"/>
    <cellStyle name="Style 93 4 2 5" xfId="7485" xr:uid="{0889A85C-B461-4274-AF20-E3C630D88A28}"/>
    <cellStyle name="Style 93 4 2 5 2" xfId="17233" xr:uid="{4EB36DDA-164A-4E65-9BD7-9E3B2DD75824}"/>
    <cellStyle name="Style 93 4 2 5 2 2" xfId="17234" xr:uid="{5E251EA1-6B20-4E5D-944A-52414AF9D194}"/>
    <cellStyle name="Style 93 4 2 5 2 2 2" xfId="35780" xr:uid="{8EA49393-A778-4DD2-9DAC-6FC170DB08D8}"/>
    <cellStyle name="Style 93 4 2 5 2 3" xfId="35779" xr:uid="{957C19AE-3764-481F-B6E8-366CB5268F96}"/>
    <cellStyle name="Style 93 4 2 5 3" xfId="17235" xr:uid="{F3982EDB-5C30-4673-B8A6-AE54BEF1C5E7}"/>
    <cellStyle name="Style 93 4 2 5 3 2" xfId="35781" xr:uid="{B985236B-A8E9-498E-841B-EAC444561A8E}"/>
    <cellStyle name="Style 93 4 2 5 4" xfId="17236" xr:uid="{2E710677-A184-472A-B603-99744B229C06}"/>
    <cellStyle name="Style 93 4 2 5 4 2" xfId="35782" xr:uid="{27636DFC-F1A8-4D69-9243-066C267747B2}"/>
    <cellStyle name="Style 93 4 2 5 5" xfId="17237" xr:uid="{531DC64D-22C0-4FBC-A15E-7E1952064BEF}"/>
    <cellStyle name="Style 93 4 2 5 5 2" xfId="35783" xr:uid="{A41F5B4C-9062-4280-8CD0-0983FAEFDCA1}"/>
    <cellStyle name="Style 93 4 2 5 6" xfId="17238" xr:uid="{F7A9CA77-6E3C-4D2D-AC27-A6F81CD61D3C}"/>
    <cellStyle name="Style 93 4 2 5 6 2" xfId="35784" xr:uid="{1F33720D-514A-41A6-AF01-C7B0BEB51057}"/>
    <cellStyle name="Style 93 4 2 6" xfId="7486" xr:uid="{6EEE84D3-3594-4169-8A0F-DBF3C2719DB0}"/>
    <cellStyle name="Style 93 4 2 6 2" xfId="17239" xr:uid="{0492C119-1C5F-4AB1-A831-D951554D1A86}"/>
    <cellStyle name="Style 93 4 2 6 2 2" xfId="35785" xr:uid="{46CF54EC-B2DD-4CBF-92E3-ADE3FC739B31}"/>
    <cellStyle name="Style 93 4 2 6 3" xfId="17240" xr:uid="{15E13CE1-4639-4544-85C8-014F86F3F80E}"/>
    <cellStyle name="Style 93 4 2 6 3 2" xfId="35786" xr:uid="{A92D408D-9BF3-47D1-9267-0E0A3422F087}"/>
    <cellStyle name="Style 93 4 2 6 4" xfId="17241" xr:uid="{3DBA2773-6AE9-4133-BFBC-67A1D051F89C}"/>
    <cellStyle name="Style 93 4 2 6 4 2" xfId="35787" xr:uid="{1387610C-BB8B-4B61-9916-4F3C50A8A77B}"/>
    <cellStyle name="Style 93 4 2 7" xfId="7471" xr:uid="{C6A72352-D6D0-4267-98A9-2BBF9158D51D}"/>
    <cellStyle name="Style 93 4 2 7 2" xfId="17242" xr:uid="{C3395D97-F583-4B8B-98DE-ED61091C1505}"/>
    <cellStyle name="Style 93 4 2 7 2 2" xfId="35788" xr:uid="{42F1C90C-D8A8-4AF7-A4BF-ADCE9A77DFE8}"/>
    <cellStyle name="Style 93 4 2 7 3" xfId="17243" xr:uid="{8B57FA4A-937A-423D-85C7-14A48449D4A1}"/>
    <cellStyle name="Style 93 4 2 7 3 2" xfId="35789" xr:uid="{379E1918-8D8D-4554-96EB-8C2ABB3736C7}"/>
    <cellStyle name="Style 93 4 2 8" xfId="17244" xr:uid="{5AC2A30C-AB12-4A28-B119-EA8A99BAD19F}"/>
    <cellStyle name="Style 93 4 2 8 2" xfId="17245" xr:uid="{67A92AE1-E0F1-44AF-A5C0-73850B1123FC}"/>
    <cellStyle name="Style 93 4 2 8 2 2" xfId="35790" xr:uid="{D9FD81FE-58E9-48D0-A3A7-64C2A2362B64}"/>
    <cellStyle name="Style 93 4 2 8 3" xfId="17246" xr:uid="{6748E0CA-50ED-44A6-BA5F-BFD12431EEA9}"/>
    <cellStyle name="Style 93 4 2 8 3 2" xfId="35791" xr:uid="{0DF49992-4B08-4ACA-9741-98C2BCCA64C8}"/>
    <cellStyle name="Style 93 4 2 8 4" xfId="28151" xr:uid="{86A8A8A6-BB48-4F5A-A7AB-B23E2D64AB8C}"/>
    <cellStyle name="Style 93 4 2 9" xfId="17247" xr:uid="{8144C49F-EE93-427C-9C34-40552151EE31}"/>
    <cellStyle name="Style 93 4 2 9 2" xfId="17248" xr:uid="{FB9ED66C-5245-4FA1-869B-62F1A842D4DA}"/>
    <cellStyle name="Style 93 4 2 9 2 2" xfId="35793" xr:uid="{C7524CDF-C107-48C7-85B7-D02A492BC18D}"/>
    <cellStyle name="Style 93 4 2 9 3" xfId="35792" xr:uid="{81050C81-80C5-427E-A935-ADDFEF942F2E}"/>
    <cellStyle name="Style 93 4 3" xfId="3702" xr:uid="{D0C6E61E-33D8-494A-916C-9A13360BB468}"/>
    <cellStyle name="Style 93 4 3 10" xfId="24188" xr:uid="{4A3722C2-1371-4535-9F47-6F9CB1F3B2B9}"/>
    <cellStyle name="Style 93 4 3 2" xfId="7488" xr:uid="{4F44255E-0233-4E16-B813-C52417ECC323}"/>
    <cellStyle name="Style 93 4 3 2 2" xfId="17249" xr:uid="{D094D9EC-4144-4C83-B231-4004F7B44CD4}"/>
    <cellStyle name="Style 93 4 3 2 2 2" xfId="35794" xr:uid="{C4B4BBEB-0D8F-4098-ABE0-DD03749DF06F}"/>
    <cellStyle name="Style 93 4 3 2 3" xfId="17250" xr:uid="{0F366C48-729D-465A-9858-4624120EA024}"/>
    <cellStyle name="Style 93 4 3 2 3 2" xfId="35795" xr:uid="{A88338D6-6A7D-4230-8248-09DF2EDA2B5F}"/>
    <cellStyle name="Style 93 4 3 2 4" xfId="17251" xr:uid="{807E15B0-61CC-4066-87E1-DA99FBA45641}"/>
    <cellStyle name="Style 93 4 3 2 4 2" xfId="35796" xr:uid="{FF2E9FA9-3BB5-49AB-A191-5376F0BE4676}"/>
    <cellStyle name="Style 93 4 3 3" xfId="7487" xr:uid="{39CBC972-B88B-48FA-B97F-574BB5709AD8}"/>
    <cellStyle name="Style 93 4 3 3 2" xfId="17252" xr:uid="{0F5A8D99-A864-4073-B091-F17EA63D7B59}"/>
    <cellStyle name="Style 93 4 3 3 2 2" xfId="35797" xr:uid="{010C1941-21AF-4E4D-86F2-880A773676F0}"/>
    <cellStyle name="Style 93 4 3 3 3" xfId="17253" xr:uid="{2179AAB3-5650-43FA-AEC9-84CCD8E96D37}"/>
    <cellStyle name="Style 93 4 3 3 3 2" xfId="35798" xr:uid="{A2775B62-4CBE-461F-B597-74557ABD96A7}"/>
    <cellStyle name="Style 93 4 3 4" xfId="17254" xr:uid="{0D9165E7-89C6-4B62-9E2C-D5E48A59FCBA}"/>
    <cellStyle name="Style 93 4 3 4 2" xfId="17255" xr:uid="{3A28F4D0-F0DC-480B-A5D0-B829079C0E1A}"/>
    <cellStyle name="Style 93 4 3 4 2 2" xfId="35799" xr:uid="{1CA712BF-2F66-445C-A438-994AA52B9027}"/>
    <cellStyle name="Style 93 4 3 4 3" xfId="17256" xr:uid="{25075FC0-C7E7-4A85-B5B5-F0F792A06AB8}"/>
    <cellStyle name="Style 93 4 3 4 3 2" xfId="35800" xr:uid="{AF58DAB2-20B6-499D-8C8B-0062B4202115}"/>
    <cellStyle name="Style 93 4 3 4 4" xfId="28157" xr:uid="{FF61FCF1-E8A7-4161-BC76-F4786505DBFE}"/>
    <cellStyle name="Style 93 4 3 5" xfId="17257" xr:uid="{0D6F12B4-03D4-491A-A8F0-007CC1ED5F40}"/>
    <cellStyle name="Style 93 4 3 5 2" xfId="17258" xr:uid="{676DA707-C02C-47E8-B5C7-3C0EE65FAC2E}"/>
    <cellStyle name="Style 93 4 3 5 2 2" xfId="35802" xr:uid="{2647B717-174C-4EFE-9C82-F8787713D1CA}"/>
    <cellStyle name="Style 93 4 3 5 3" xfId="35801" xr:uid="{8B736712-9D04-4583-9D27-ED7350BFFAAF}"/>
    <cellStyle name="Style 93 4 3 6" xfId="17259" xr:uid="{621587E0-C270-4C28-8D5E-3EE6CF893282}"/>
    <cellStyle name="Style 93 4 3 6 2" xfId="17260" xr:uid="{5D813D0F-8112-4388-B900-0F46451DD6AD}"/>
    <cellStyle name="Style 93 4 3 6 2 2" xfId="35804" xr:uid="{67A38B5D-CB46-469D-ABE6-5A1CDB3D1ACF}"/>
    <cellStyle name="Style 93 4 3 6 3" xfId="35803" xr:uid="{8D616BAA-6ED0-44C4-9BBF-7557F16F116E}"/>
    <cellStyle name="Style 93 4 3 7" xfId="17261" xr:uid="{B0EBFC1F-A10D-49DD-BE26-767129C19E8E}"/>
    <cellStyle name="Style 93 4 3 7 2" xfId="35805" xr:uid="{0AC4722E-F683-459D-B4DD-6C78EA6AF626}"/>
    <cellStyle name="Style 93 4 3 8" xfId="17262" xr:uid="{F9DC46A3-7AA7-4646-A86F-B3B6A13CEA42}"/>
    <cellStyle name="Style 93 4 3 8 2" xfId="35806" xr:uid="{7F252290-3385-4D83-8869-3CFACA377C66}"/>
    <cellStyle name="Style 93 4 3 9" xfId="17263" xr:uid="{CD2D5378-98DF-4A5A-B418-6C7F1C9EFB27}"/>
    <cellStyle name="Style 93 4 3 9 2" xfId="35807" xr:uid="{0BC686C4-5F81-4702-B864-9E93EB149AD5}"/>
    <cellStyle name="Style 93 4 4" xfId="7489" xr:uid="{5D682F56-B44D-4B98-AFB1-4A387DB93C95}"/>
    <cellStyle name="Style 93 4 4 2" xfId="7490" xr:uid="{7A39770A-2C2B-423A-B51F-05618E2DDE12}"/>
    <cellStyle name="Style 93 4 4 2 2" xfId="17264" xr:uid="{170F1339-7DC8-4307-BBFF-39D55675E16E}"/>
    <cellStyle name="Style 93 4 4 2 2 2" xfId="35808" xr:uid="{DDC2596A-FC10-4198-9D5E-9EED96D6D188}"/>
    <cellStyle name="Style 93 4 4 2 3" xfId="17265" xr:uid="{D2B9B40E-4D74-42FE-8DDD-37E9DD969144}"/>
    <cellStyle name="Style 93 4 4 2 3 2" xfId="35809" xr:uid="{097F2DA5-3339-460D-9D20-EC40E6B9F818}"/>
    <cellStyle name="Style 93 4 4 3" xfId="7491" xr:uid="{BA299ACB-CA93-42A2-A7C6-6C94A6C02F42}"/>
    <cellStyle name="Style 93 4 4 3 2" xfId="17266" xr:uid="{82EDD423-75DB-4ADD-8D28-37A8FB0D71ED}"/>
    <cellStyle name="Style 93 4 4 3 2 2" xfId="35810" xr:uid="{EC8CA5D3-2903-4C9C-A396-3E84A81FF8E2}"/>
    <cellStyle name="Style 93 4 4 4" xfId="17267" xr:uid="{609CE1A1-E0AA-4776-937B-43DCB42BE32F}"/>
    <cellStyle name="Style 93 4 4 4 2" xfId="35811" xr:uid="{703694BD-D2A9-4526-8AE8-46EAD70C2412}"/>
    <cellStyle name="Style 93 4 4 5" xfId="17268" xr:uid="{F94F6C62-EA8D-42A3-8A29-F71B4F100D56}"/>
    <cellStyle name="Style 93 4 4 5 2" xfId="35812" xr:uid="{179EA946-74E9-417F-AD8E-E0EF658CB46C}"/>
    <cellStyle name="Style 93 4 4 6" xfId="17269" xr:uid="{2AE0C4F0-4D47-49B9-A549-EE5F66782206}"/>
    <cellStyle name="Style 93 4 4 6 2" xfId="35813" xr:uid="{A52B764A-29E1-44E2-AD4D-4FB2D9C5D3DA}"/>
    <cellStyle name="Style 93 4 4 7" xfId="24189" xr:uid="{BC8C84D6-00A9-4C71-B782-A60FEA4273B1}"/>
    <cellStyle name="Style 93 4 5" xfId="7492" xr:uid="{A28E7D24-805F-4C76-B11C-E36FC9C09838}"/>
    <cellStyle name="Style 93 4 5 2" xfId="17270" xr:uid="{09CC1292-B713-425D-BB49-D6441F139647}"/>
    <cellStyle name="Style 93 4 5 2 2" xfId="35814" xr:uid="{1F51CB8B-8CF0-4657-9529-E283A5510374}"/>
    <cellStyle name="Style 93 4 5 3" xfId="17271" xr:uid="{1A6A4A08-A4C5-41D1-A2E7-0FE3E014A897}"/>
    <cellStyle name="Style 93 4 5 3 2" xfId="35815" xr:uid="{47B038DD-BE25-4BF2-BE8F-DB518C988268}"/>
    <cellStyle name="Style 93 4 5 4" xfId="17272" xr:uid="{7921AF3F-30FB-466F-8C54-B32AE979D35F}"/>
    <cellStyle name="Style 93 4 5 4 2" xfId="35816" xr:uid="{51D59063-1DF0-4AF9-BB6D-292D2DA8FCF3}"/>
    <cellStyle name="Style 93 4 6" xfId="7470" xr:uid="{5FAF8629-D442-4ADB-A9FF-AE3EE56CD483}"/>
    <cellStyle name="Style 93 4 6 2" xfId="17273" xr:uid="{014DEF81-AD50-4715-BE70-E0C91FFFCD9F}"/>
    <cellStyle name="Style 93 4 6 2 2" xfId="35817" xr:uid="{91EEB170-1382-4E2E-99C5-4CDA969920E6}"/>
    <cellStyle name="Style 93 4 6 3" xfId="17274" xr:uid="{8B3BDA27-14C6-4836-B398-3ED251C37F18}"/>
    <cellStyle name="Style 93 4 6 3 2" xfId="35818" xr:uid="{74A3C277-8F8A-4C61-A493-203E4F100234}"/>
    <cellStyle name="Style 93 4 7" xfId="4453" xr:uid="{6EC6E449-278F-4FEF-A997-BC5313A3C8DC}"/>
    <cellStyle name="Style 93 4 7 2" xfId="17275" xr:uid="{85B6C10D-1C7B-44CB-A9B8-F493047514CC}"/>
    <cellStyle name="Style 93 4 7 2 2" xfId="35819" xr:uid="{40B90758-17DA-4AD1-9FB4-CFEA93BB1606}"/>
    <cellStyle name="Style 93 4 7 3" xfId="17276" xr:uid="{71CB4FBE-790C-4602-87C1-309BEEDF5FC1}"/>
    <cellStyle name="Style 93 4 7 3 2" xfId="35820" xr:uid="{2ADFC020-636A-4D09-9C44-60DD1D3CA960}"/>
    <cellStyle name="Style 93 4 7 4" xfId="26722" xr:uid="{C6FAD6F6-AB20-4544-A55C-9D341A388460}"/>
    <cellStyle name="Style 93 4 8" xfId="17277" xr:uid="{9F522716-5EBE-4F6B-9FB3-E3C806DEE69F}"/>
    <cellStyle name="Style 93 4 8 2" xfId="17278" xr:uid="{5855BE9D-F521-415A-960F-8CDCD5AE53C0}"/>
    <cellStyle name="Style 93 4 8 2 2" xfId="35821" xr:uid="{F4910416-AD35-4E47-BEA1-36F723CE3D4B}"/>
    <cellStyle name="Style 93 4 8 3" xfId="17279" xr:uid="{DEC384E9-8FCE-496D-B2E9-D7165BCA7186}"/>
    <cellStyle name="Style 93 4 8 3 2" xfId="35822" xr:uid="{642C0FA5-F129-4413-8EFF-AC058B420705}"/>
    <cellStyle name="Style 93 4 8 4" xfId="28150" xr:uid="{97743C43-E368-473C-AB63-633418294F67}"/>
    <cellStyle name="Style 93 4 9" xfId="17280" xr:uid="{D23B5E93-9BE6-43D5-9C6E-B5995D225005}"/>
    <cellStyle name="Style 93 4 9 2" xfId="35823" xr:uid="{08E5B339-CB17-4635-8589-AEB9660FD76C}"/>
    <cellStyle name="Style 93 5" xfId="3703" xr:uid="{64BCAF45-C840-4133-B987-D43FBF1E59DA}"/>
    <cellStyle name="Style 93 5 10" xfId="17281" xr:uid="{729BE084-2883-4765-BB5D-F9BA07CA919E}"/>
    <cellStyle name="Style 93 5 10 2" xfId="35824" xr:uid="{16738356-6AF5-4AFE-AD1E-D881B750D7FA}"/>
    <cellStyle name="Style 93 5 11" xfId="17282" xr:uid="{7C7325B0-1C1A-40BB-833C-AE4F63C3C21D}"/>
    <cellStyle name="Style 93 5 11 2" xfId="35825" xr:uid="{72731B71-A07B-4CB8-8DC6-2D36FE6CE9B6}"/>
    <cellStyle name="Style 93 5 12" xfId="17283" xr:uid="{34A5D074-0988-406E-8CFD-00823B6E5351}"/>
    <cellStyle name="Style 93 5 12 2" xfId="35826" xr:uid="{91ABE561-2118-41CC-B78C-AD406E56109C}"/>
    <cellStyle name="Style 93 5 13" xfId="24190" xr:uid="{5D1F9455-3037-4EA0-AA55-E4FE11858542}"/>
    <cellStyle name="Style 93 5 2" xfId="3704" xr:uid="{E457D244-89D6-49BE-967F-8B3FC64FD05F}"/>
    <cellStyle name="Style 93 5 2 10" xfId="17284" xr:uid="{1EC3F021-3E4A-454F-B932-7CE6A57E77D7}"/>
    <cellStyle name="Style 93 5 2 10 2" xfId="35827" xr:uid="{C58AE537-9563-4832-8E59-2ABB4944FF36}"/>
    <cellStyle name="Style 93 5 2 11" xfId="17285" xr:uid="{4D115C43-2139-48B1-9C01-F206969ABDB7}"/>
    <cellStyle name="Style 93 5 2 11 2" xfId="35828" xr:uid="{AC793BCB-BCE6-418C-A1DA-3B88AD5C7629}"/>
    <cellStyle name="Style 93 5 2 12" xfId="17286" xr:uid="{B4424F3F-6D85-436A-8133-B1F96F7056C2}"/>
    <cellStyle name="Style 93 5 2 12 2" xfId="35829" xr:uid="{F636B25A-E253-412F-B4A4-8CCBDFEE16CF}"/>
    <cellStyle name="Style 93 5 2 13" xfId="24191" xr:uid="{3AD3C6BA-FE60-419B-85D0-036636FDC5FE}"/>
    <cellStyle name="Style 93 5 2 2" xfId="3705" xr:uid="{2957B7BF-7FD0-4DB0-94C9-A179F361AEE7}"/>
    <cellStyle name="Style 93 5 2 2 10" xfId="24192" xr:uid="{AC20C2AC-2F24-4123-83F6-322EFDFABEFD}"/>
    <cellStyle name="Style 93 5 2 2 2" xfId="7496" xr:uid="{6BE07D06-4C98-4507-B804-D39F7F884924}"/>
    <cellStyle name="Style 93 5 2 2 2 2" xfId="17287" xr:uid="{92D690B2-494C-4A2B-BD1D-4748C131DD61}"/>
    <cellStyle name="Style 93 5 2 2 2 2 2" xfId="35830" xr:uid="{624BEF0C-6C84-489D-8F00-D1CD92DBA6F4}"/>
    <cellStyle name="Style 93 5 2 2 2 3" xfId="17288" xr:uid="{4F56ED1B-8EDA-48F0-B70D-71B0AD0DD389}"/>
    <cellStyle name="Style 93 5 2 2 2 3 2" xfId="35831" xr:uid="{F707DA4A-8870-44DB-8C8A-F4C57DBCBD48}"/>
    <cellStyle name="Style 93 5 2 2 2 4" xfId="17289" xr:uid="{E73CCA09-DACF-48B9-9D87-DD6352773651}"/>
    <cellStyle name="Style 93 5 2 2 2 4 2" xfId="35832" xr:uid="{D56AB899-C7C9-415D-8B17-89433C7FF4D4}"/>
    <cellStyle name="Style 93 5 2 2 3" xfId="7495" xr:uid="{E649479A-71E9-455F-AB3F-2C38B4ABCF42}"/>
    <cellStyle name="Style 93 5 2 2 3 2" xfId="17290" xr:uid="{D4177D83-730F-419E-8FCC-8A3E0C1B8FE4}"/>
    <cellStyle name="Style 93 5 2 2 3 2 2" xfId="35833" xr:uid="{A0C00815-AD68-44CA-8512-E007B0D81B93}"/>
    <cellStyle name="Style 93 5 2 2 3 3" xfId="17291" xr:uid="{591648A8-6127-43BA-B5FF-C09E87DAD6F4}"/>
    <cellStyle name="Style 93 5 2 2 3 3 2" xfId="35834" xr:uid="{FD11C959-99F7-4A0D-8C70-6AF375E99C8D}"/>
    <cellStyle name="Style 93 5 2 2 4" xfId="17292" xr:uid="{6AD7DE74-FABE-4995-9BFF-B548C458DF96}"/>
    <cellStyle name="Style 93 5 2 2 4 2" xfId="17293" xr:uid="{1678F77B-CB35-482E-9B08-389EDCA1A4A4}"/>
    <cellStyle name="Style 93 5 2 2 4 2 2" xfId="35835" xr:uid="{597495B6-0D22-4504-87DA-577295B4E1B7}"/>
    <cellStyle name="Style 93 5 2 2 4 3" xfId="17294" xr:uid="{5AC3C6F8-C59A-41B2-8DEA-9A678A607391}"/>
    <cellStyle name="Style 93 5 2 2 4 3 2" xfId="35836" xr:uid="{CB78DB8E-799C-4CBA-BA39-431B3AAC3B19}"/>
    <cellStyle name="Style 93 5 2 2 4 4" xfId="28160" xr:uid="{8AFF8867-B8CB-401E-AD3C-2166A503384E}"/>
    <cellStyle name="Style 93 5 2 2 5" xfId="17295" xr:uid="{2F841138-FAE1-4C06-8112-9701F9F5EF54}"/>
    <cellStyle name="Style 93 5 2 2 5 2" xfId="17296" xr:uid="{20EA98A3-3726-45FC-8824-4920420FCE7D}"/>
    <cellStyle name="Style 93 5 2 2 5 2 2" xfId="35838" xr:uid="{C62BDDD0-18AA-4519-B279-32CF6EDCFB8B}"/>
    <cellStyle name="Style 93 5 2 2 5 3" xfId="35837" xr:uid="{37D44329-DAB1-495F-B6C9-02956311B76F}"/>
    <cellStyle name="Style 93 5 2 2 6" xfId="17297" xr:uid="{B46CCB84-8071-4C0B-BB57-CE49599445A1}"/>
    <cellStyle name="Style 93 5 2 2 6 2" xfId="17298" xr:uid="{43CB6CEA-0C23-4397-9026-9182A977D84A}"/>
    <cellStyle name="Style 93 5 2 2 6 2 2" xfId="35840" xr:uid="{F7E4DBCC-0910-490B-B459-EE9DE80BB108}"/>
    <cellStyle name="Style 93 5 2 2 6 3" xfId="35839" xr:uid="{A585B821-23D3-4CD0-BA23-02CCEAAEE8F9}"/>
    <cellStyle name="Style 93 5 2 2 7" xfId="17299" xr:uid="{39B47AFA-BF00-40CB-890E-C05A66066830}"/>
    <cellStyle name="Style 93 5 2 2 7 2" xfId="35841" xr:uid="{88C4381A-1733-4DF6-BAFE-F6FEE5004DDA}"/>
    <cellStyle name="Style 93 5 2 2 8" xfId="17300" xr:uid="{CEBB4EBD-C858-496C-9C57-B91819B339EC}"/>
    <cellStyle name="Style 93 5 2 2 8 2" xfId="35842" xr:uid="{98721722-4A09-4965-B6F4-5F2AE92114C9}"/>
    <cellStyle name="Style 93 5 2 2 9" xfId="17301" xr:uid="{5A7537B9-3A85-423B-A486-3590DC80960E}"/>
    <cellStyle name="Style 93 5 2 2 9 2" xfId="35843" xr:uid="{C4CFAA5A-8231-48B2-A611-E5955F42137B}"/>
    <cellStyle name="Style 93 5 2 3" xfId="3706" xr:uid="{5ECD3BCC-7DC3-489A-8D03-4E1064FF9779}"/>
    <cellStyle name="Style 93 5 2 3 10" xfId="17302" xr:uid="{3370FD80-D307-41CA-AFC2-12EE37BBAE33}"/>
    <cellStyle name="Style 93 5 2 3 10 2" xfId="35844" xr:uid="{A990CBB9-44A0-4657-9035-9035E96806BB}"/>
    <cellStyle name="Style 93 5 2 3 11" xfId="17303" xr:uid="{C2CC101D-C469-4F16-B02E-9072AA995E16}"/>
    <cellStyle name="Style 93 5 2 3 11 2" xfId="35845" xr:uid="{7F6F3F53-9679-4B40-9E5E-DE614B051EA9}"/>
    <cellStyle name="Style 93 5 2 3 12" xfId="24193" xr:uid="{32A604D4-E216-4506-9D27-4B7A91A61B62}"/>
    <cellStyle name="Style 93 5 2 3 2" xfId="3707" xr:uid="{CB7A095C-A63B-4EE8-889D-BA05513FCB3E}"/>
    <cellStyle name="Style 93 5 2 3 2 10" xfId="24194" xr:uid="{D34E87A3-8856-45F5-BAF6-E38113353586}"/>
    <cellStyle name="Style 93 5 2 3 2 2" xfId="7499" xr:uid="{341FF7BC-1E68-4559-9D2C-2F534A79C66A}"/>
    <cellStyle name="Style 93 5 2 3 2 2 2" xfId="17304" xr:uid="{F85BA141-975A-4A32-BFB0-D3E06BE77179}"/>
    <cellStyle name="Style 93 5 2 3 2 2 2 2" xfId="35846" xr:uid="{B1464F65-6E76-44EB-953A-C2782BF636DC}"/>
    <cellStyle name="Style 93 5 2 3 2 2 3" xfId="17305" xr:uid="{608DD610-D9BE-4689-B8C8-C4B7C6A22BE1}"/>
    <cellStyle name="Style 93 5 2 3 2 2 3 2" xfId="35847" xr:uid="{9467346D-0D08-4B2F-BA70-F3BAB0383777}"/>
    <cellStyle name="Style 93 5 2 3 2 2 4" xfId="17306" xr:uid="{BBCA6916-6F4C-40B3-A90D-AB45CB4A5878}"/>
    <cellStyle name="Style 93 5 2 3 2 2 4 2" xfId="35848" xr:uid="{4A0C45F6-D91A-494C-81D9-F3B3F4440317}"/>
    <cellStyle name="Style 93 5 2 3 2 3" xfId="7498" xr:uid="{28EA8AED-4044-4AA6-B966-5CD802D0D575}"/>
    <cellStyle name="Style 93 5 2 3 2 3 2" xfId="17307" xr:uid="{E2C1341D-081C-43DE-B3CD-88903E9FB97A}"/>
    <cellStyle name="Style 93 5 2 3 2 3 2 2" xfId="35849" xr:uid="{FDAF1B18-F0F6-4FB1-974E-14D637B88A7D}"/>
    <cellStyle name="Style 93 5 2 3 2 3 3" xfId="17308" xr:uid="{17534BB2-E20F-4C29-86C4-46F3DF6E6E54}"/>
    <cellStyle name="Style 93 5 2 3 2 3 3 2" xfId="35850" xr:uid="{E05415E2-C0D9-407B-A44A-22655957181B}"/>
    <cellStyle name="Style 93 5 2 3 2 4" xfId="17309" xr:uid="{6F23DA6D-F876-4CF3-80D4-6FB03A589C85}"/>
    <cellStyle name="Style 93 5 2 3 2 4 2" xfId="17310" xr:uid="{426BFE95-D7C7-47CB-84DF-CEF28EE82AB4}"/>
    <cellStyle name="Style 93 5 2 3 2 4 2 2" xfId="35851" xr:uid="{9652131A-F818-40DF-8F3A-7EC2825CF8CC}"/>
    <cellStyle name="Style 93 5 2 3 2 4 3" xfId="17311" xr:uid="{FB52F7A8-F472-42B5-B7D0-23609371D2CF}"/>
    <cellStyle name="Style 93 5 2 3 2 4 3 2" xfId="35852" xr:uid="{AE17D42E-045A-4E4C-8D12-B929BD0579CC}"/>
    <cellStyle name="Style 93 5 2 3 2 4 4" xfId="28162" xr:uid="{9BCB7881-0159-413C-BA1E-AFC9DC71FADB}"/>
    <cellStyle name="Style 93 5 2 3 2 5" xfId="17312" xr:uid="{98321774-B06D-4CDA-B72C-A2634EB14C86}"/>
    <cellStyle name="Style 93 5 2 3 2 5 2" xfId="17313" xr:uid="{3264FBC8-B8A8-454F-A756-44AADB3BEB50}"/>
    <cellStyle name="Style 93 5 2 3 2 5 2 2" xfId="35854" xr:uid="{FB9E5033-4EEF-4DA4-8381-A28008536DD7}"/>
    <cellStyle name="Style 93 5 2 3 2 5 3" xfId="35853" xr:uid="{C9DCD16E-D0B0-4FD6-B37E-27107ECDCE50}"/>
    <cellStyle name="Style 93 5 2 3 2 6" xfId="17314" xr:uid="{D1ED0B13-1F89-4D3D-9B94-9E1437C3AD94}"/>
    <cellStyle name="Style 93 5 2 3 2 6 2" xfId="17315" xr:uid="{D848C196-35CC-4F92-A77F-53B4E5658DD4}"/>
    <cellStyle name="Style 93 5 2 3 2 6 2 2" xfId="35856" xr:uid="{145F9C23-C3BB-43F2-A4C0-14AC87E132D7}"/>
    <cellStyle name="Style 93 5 2 3 2 6 3" xfId="35855" xr:uid="{F6A94FEA-A640-4832-A5AA-0F969E15AFD4}"/>
    <cellStyle name="Style 93 5 2 3 2 7" xfId="17316" xr:uid="{94AA392E-3051-4161-B389-61041108E37D}"/>
    <cellStyle name="Style 93 5 2 3 2 7 2" xfId="35857" xr:uid="{748D713B-39CF-477E-908D-BB2ED37037DC}"/>
    <cellStyle name="Style 93 5 2 3 2 8" xfId="17317" xr:uid="{280034F3-4864-4E8D-93A6-58F18758252B}"/>
    <cellStyle name="Style 93 5 2 3 2 8 2" xfId="35858" xr:uid="{1B4D6845-149A-460D-9280-FE09A7909370}"/>
    <cellStyle name="Style 93 5 2 3 2 9" xfId="17318" xr:uid="{ECF8B3A0-87B8-42E5-AB4E-BD2A76FF53B6}"/>
    <cellStyle name="Style 93 5 2 3 2 9 2" xfId="35859" xr:uid="{2917431E-D8E1-4AB3-AF82-A98F64827F8F}"/>
    <cellStyle name="Style 93 5 2 3 3" xfId="7500" xr:uid="{18F9A098-F10F-4870-993C-3D5C817B96E5}"/>
    <cellStyle name="Style 93 5 2 3 3 2" xfId="7501" xr:uid="{3A397108-B488-49E9-94F1-F49A96DCCDA0}"/>
    <cellStyle name="Style 93 5 2 3 3 2 2" xfId="17319" xr:uid="{F3C2619F-DDDF-4E2E-81FE-AEB223013AE0}"/>
    <cellStyle name="Style 93 5 2 3 3 2 2 2" xfId="35860" xr:uid="{29EEFB14-091A-4A1B-82DA-9575AEFA2C87}"/>
    <cellStyle name="Style 93 5 2 3 3 2 3" xfId="17320" xr:uid="{BBBDAD26-6D75-4B59-8D46-170BA5108387}"/>
    <cellStyle name="Style 93 5 2 3 3 2 3 2" xfId="35861" xr:uid="{AC24BBB2-F38F-4A9F-8510-4199C9A08E5A}"/>
    <cellStyle name="Style 93 5 2 3 3 3" xfId="17321" xr:uid="{0B42B33E-4247-4861-8D9D-FFDFFFFBCD59}"/>
    <cellStyle name="Style 93 5 2 3 3 3 2" xfId="35862" xr:uid="{06D775A2-2386-4C34-9989-72020242A28B}"/>
    <cellStyle name="Style 93 5 2 3 3 4" xfId="17322" xr:uid="{4E41C349-BA42-429F-A761-80C882370366}"/>
    <cellStyle name="Style 93 5 2 3 3 4 2" xfId="35863" xr:uid="{EC954FA6-5BA7-41B3-8B21-C9D232D0A436}"/>
    <cellStyle name="Style 93 5 2 3 3 5" xfId="17323" xr:uid="{36ED06BB-2FBE-4BA7-9800-1136861F67E3}"/>
    <cellStyle name="Style 93 5 2 3 3 5 2" xfId="35864" xr:uid="{64A3BC53-FA0A-4CA2-9176-E52CF0AAADB5}"/>
    <cellStyle name="Style 93 5 2 3 3 6" xfId="17324" xr:uid="{0C27F95A-882F-4990-AF66-D0BA7C6D7325}"/>
    <cellStyle name="Style 93 5 2 3 3 6 2" xfId="35865" xr:uid="{02AE081B-BF20-4AA8-AFBD-FD3D31F48DA5}"/>
    <cellStyle name="Style 93 5 2 3 3 7" xfId="24195" xr:uid="{662AE328-047E-4A45-B86D-199A5C0C9CC1}"/>
    <cellStyle name="Style 93 5 2 3 4" xfId="7502" xr:uid="{226B80F2-A8B7-4238-9FB3-584411A28254}"/>
    <cellStyle name="Style 93 5 2 3 4 2" xfId="17325" xr:uid="{A9D3ABC2-4B8F-472D-89D3-49197EC62D25}"/>
    <cellStyle name="Style 93 5 2 3 4 2 2" xfId="35866" xr:uid="{CB2C451D-ABCC-491C-ABA9-385752C9B8EB}"/>
    <cellStyle name="Style 93 5 2 3 4 3" xfId="17326" xr:uid="{46FCA4A2-FFBA-4A26-899C-B7D3C483EBC6}"/>
    <cellStyle name="Style 93 5 2 3 4 3 2" xfId="35867" xr:uid="{81FBA5E8-A031-4AEA-A56E-72AC997B743B}"/>
    <cellStyle name="Style 93 5 2 3 4 4" xfId="17327" xr:uid="{B8B84322-60DB-4339-A476-9916BF122D6E}"/>
    <cellStyle name="Style 93 5 2 3 4 4 2" xfId="35868" xr:uid="{D4C5015C-C693-411A-BF26-5B8DF1BB9FDA}"/>
    <cellStyle name="Style 93 5 2 3 5" xfId="7503" xr:uid="{4D55157D-9163-48D4-874D-50253A3C0525}"/>
    <cellStyle name="Style 93 5 2 3 5 2" xfId="17328" xr:uid="{45188B02-E03A-467B-AA20-AC240F023E35}"/>
    <cellStyle name="Style 93 5 2 3 5 2 2" xfId="35869" xr:uid="{765F30F8-3519-42C3-8DEC-C9256D1A5599}"/>
    <cellStyle name="Style 93 5 2 3 5 3" xfId="17329" xr:uid="{BCDE2B4E-BA7D-425D-A4F9-5E5DB502AC2C}"/>
    <cellStyle name="Style 93 5 2 3 5 3 2" xfId="35870" xr:uid="{96ED192C-C06C-4BFE-92CE-6EA8EB8ACF69}"/>
    <cellStyle name="Style 93 5 2 3 6" xfId="7497" xr:uid="{F230F5B1-F1C0-49CF-B172-F87CCE5956AE}"/>
    <cellStyle name="Style 93 5 2 3 6 2" xfId="17330" xr:uid="{689EE530-E673-40D0-8021-F82F72F7FE51}"/>
    <cellStyle name="Style 93 5 2 3 6 2 2" xfId="35871" xr:uid="{8C1599C0-3090-4D22-B6CA-3FAF0A0D5961}"/>
    <cellStyle name="Style 93 5 2 3 6 3" xfId="17331" xr:uid="{EA0A7E10-052A-4EC0-935E-6413107AFFDB}"/>
    <cellStyle name="Style 93 5 2 3 6 3 2" xfId="35872" xr:uid="{39586BC5-DDD5-4F00-A285-5241C3EF2329}"/>
    <cellStyle name="Style 93 5 2 3 7" xfId="17332" xr:uid="{2C66DE9C-69B2-4B5F-A518-62272F21593A}"/>
    <cellStyle name="Style 93 5 2 3 7 2" xfId="17333" xr:uid="{A1313E5A-D8B1-43D6-9208-B2B90AE6B7E9}"/>
    <cellStyle name="Style 93 5 2 3 7 2 2" xfId="35873" xr:uid="{60253A1C-1305-4B8D-B37E-947A73F82E4E}"/>
    <cellStyle name="Style 93 5 2 3 7 3" xfId="17334" xr:uid="{B2D49B95-47E4-4031-8D74-3F794DBEAEC7}"/>
    <cellStyle name="Style 93 5 2 3 7 3 2" xfId="35874" xr:uid="{7DB70B6E-C972-4CC6-949E-6E9F9B4BAC85}"/>
    <cellStyle name="Style 93 5 2 3 7 4" xfId="28161" xr:uid="{B1E291D9-623D-4B41-A634-83E695C87FA0}"/>
    <cellStyle name="Style 93 5 2 3 8" xfId="17335" xr:uid="{F1911FE1-4590-430F-9D1C-FE99A99C90D0}"/>
    <cellStyle name="Style 93 5 2 3 8 2" xfId="35875" xr:uid="{D301F582-67EF-4FBB-8136-477D00C34947}"/>
    <cellStyle name="Style 93 5 2 3 9" xfId="17336" xr:uid="{E59C212D-4DCC-4AF6-A1E0-178162A7518A}"/>
    <cellStyle name="Style 93 5 2 3 9 2" xfId="35876" xr:uid="{41534767-764E-433F-B583-24F80A71E3BE}"/>
    <cellStyle name="Style 93 5 2 4" xfId="3708" xr:uid="{D69204AA-3075-4645-9050-9DCF15A4D492}"/>
    <cellStyle name="Style 93 5 2 4 10" xfId="17337" xr:uid="{78BB4300-9602-42BE-B6C2-05A6EB1D5C29}"/>
    <cellStyle name="Style 93 5 2 4 10 2" xfId="35877" xr:uid="{AED34464-B471-48AA-8366-A8AF65D16EAE}"/>
    <cellStyle name="Style 93 5 2 4 11" xfId="24196" xr:uid="{0345E066-A9D0-40C0-91FE-E18DB0E9758F}"/>
    <cellStyle name="Style 93 5 2 4 2" xfId="3709" xr:uid="{3ABC23C3-E6B1-46A2-A782-E7F7A4F96106}"/>
    <cellStyle name="Style 93 5 2 4 2 10" xfId="24197" xr:uid="{13DA750D-79A3-421C-9A8F-EADAE3A15A08}"/>
    <cellStyle name="Style 93 5 2 4 2 2" xfId="7506" xr:uid="{102F3DE0-B5DE-4332-9873-319F439CF0CA}"/>
    <cellStyle name="Style 93 5 2 4 2 2 2" xfId="17338" xr:uid="{11A5F463-3FED-44CC-BDAB-187A294D1595}"/>
    <cellStyle name="Style 93 5 2 4 2 2 2 2" xfId="35878" xr:uid="{84CCEC95-9784-4A7E-B155-393762AE6366}"/>
    <cellStyle name="Style 93 5 2 4 2 2 3" xfId="17339" xr:uid="{206E4E77-83FE-4E44-B7E3-A3C9F91FA8DA}"/>
    <cellStyle name="Style 93 5 2 4 2 2 3 2" xfId="35879" xr:uid="{3556AE5B-7550-4880-A6F2-7589BE95F7D9}"/>
    <cellStyle name="Style 93 5 2 4 2 2 4" xfId="17340" xr:uid="{3B5F2078-CD13-4615-98BE-4752692975DC}"/>
    <cellStyle name="Style 93 5 2 4 2 2 4 2" xfId="35880" xr:uid="{5BA48793-3E96-45A9-AF62-43C1CC17BB85}"/>
    <cellStyle name="Style 93 5 2 4 2 3" xfId="7505" xr:uid="{B94B2D54-87AA-42BE-BA11-668437CAF74B}"/>
    <cellStyle name="Style 93 5 2 4 2 3 2" xfId="17341" xr:uid="{391F6528-F49F-455E-8861-DC0BA337AF93}"/>
    <cellStyle name="Style 93 5 2 4 2 3 2 2" xfId="35881" xr:uid="{135BA7B8-FFCC-44FD-9799-064466232BC2}"/>
    <cellStyle name="Style 93 5 2 4 2 3 3" xfId="17342" xr:uid="{F27E2566-D5CA-4770-A7DC-4A4E06AF0CBB}"/>
    <cellStyle name="Style 93 5 2 4 2 3 3 2" xfId="35882" xr:uid="{61CC00CE-FF60-4DA4-81A5-2391E3BE8741}"/>
    <cellStyle name="Style 93 5 2 4 2 4" xfId="17343" xr:uid="{FF79ED28-CC80-4D59-8FA9-571E3F6F1876}"/>
    <cellStyle name="Style 93 5 2 4 2 4 2" xfId="17344" xr:uid="{9EF4D2F4-D662-4ED8-896E-CDA4A0BFFCA9}"/>
    <cellStyle name="Style 93 5 2 4 2 4 2 2" xfId="35883" xr:uid="{D8BA4DF7-E149-4416-9E25-89ADEF31033C}"/>
    <cellStyle name="Style 93 5 2 4 2 4 3" xfId="17345" xr:uid="{069CD58D-45C2-4275-948E-387486561C46}"/>
    <cellStyle name="Style 93 5 2 4 2 4 3 2" xfId="35884" xr:uid="{66305EAC-AFD3-4474-BA74-52F1FE9CE649}"/>
    <cellStyle name="Style 93 5 2 4 2 4 4" xfId="28164" xr:uid="{5ED8BDBE-31B4-4EFB-A203-8DBB837FE21A}"/>
    <cellStyle name="Style 93 5 2 4 2 5" xfId="17346" xr:uid="{7CBD0911-4169-4766-9AC8-FF22BABAD664}"/>
    <cellStyle name="Style 93 5 2 4 2 5 2" xfId="17347" xr:uid="{2661BB69-7433-4FF3-9E69-D989FCC41A9D}"/>
    <cellStyle name="Style 93 5 2 4 2 5 2 2" xfId="35886" xr:uid="{9D7BD073-1E6B-416A-BDD8-3FD84A7C9B1A}"/>
    <cellStyle name="Style 93 5 2 4 2 5 3" xfId="35885" xr:uid="{4F2238D9-6F82-4EC8-A785-66597D7F06CB}"/>
    <cellStyle name="Style 93 5 2 4 2 6" xfId="17348" xr:uid="{C583C7A8-BF5E-4232-8CD8-2C43E2450642}"/>
    <cellStyle name="Style 93 5 2 4 2 6 2" xfId="17349" xr:uid="{486E2A6C-C245-4670-84BD-C1AE707104E3}"/>
    <cellStyle name="Style 93 5 2 4 2 6 2 2" xfId="35888" xr:uid="{4885981A-05F6-4A47-9E80-A1047C883912}"/>
    <cellStyle name="Style 93 5 2 4 2 6 3" xfId="35887" xr:uid="{EE99EC72-D3F2-43F4-AE88-EB31824A162D}"/>
    <cellStyle name="Style 93 5 2 4 2 7" xfId="17350" xr:uid="{75CC90D2-9E08-4632-B0B3-075494BC4E24}"/>
    <cellStyle name="Style 93 5 2 4 2 7 2" xfId="35889" xr:uid="{2BFC9424-29F2-4E4B-AB72-BF892165332B}"/>
    <cellStyle name="Style 93 5 2 4 2 8" xfId="17351" xr:uid="{4C3428C8-466B-4F8C-96A0-B3A25808DB57}"/>
    <cellStyle name="Style 93 5 2 4 2 8 2" xfId="35890" xr:uid="{E8A974AF-FE48-4FF6-A689-A1CEC5104597}"/>
    <cellStyle name="Style 93 5 2 4 2 9" xfId="17352" xr:uid="{4C267C08-1D5E-4495-BA34-2DD61EA35B7C}"/>
    <cellStyle name="Style 93 5 2 4 2 9 2" xfId="35891" xr:uid="{E711B363-87FD-4877-8E95-852C7783C2C7}"/>
    <cellStyle name="Style 93 5 2 4 3" xfId="7507" xr:uid="{BBD72473-9C12-4695-99E6-8714C0A03E5F}"/>
    <cellStyle name="Style 93 5 2 4 3 2" xfId="17353" xr:uid="{2284B3C6-A301-4569-96E8-38D801F0279C}"/>
    <cellStyle name="Style 93 5 2 4 3 2 2" xfId="35892" xr:uid="{6A86D01C-E6E2-4862-993C-68024E3AE84F}"/>
    <cellStyle name="Style 93 5 2 4 3 3" xfId="17354" xr:uid="{88D025CE-DA22-42C2-A4DD-78F6595F4F07}"/>
    <cellStyle name="Style 93 5 2 4 3 3 2" xfId="35893" xr:uid="{8ABC04AF-8637-4649-96FD-C5B5845DF7F1}"/>
    <cellStyle name="Style 93 5 2 4 3 4" xfId="17355" xr:uid="{E8C7B2B5-42D6-4ECF-9B6C-E7E99585B541}"/>
    <cellStyle name="Style 93 5 2 4 3 4 2" xfId="35894" xr:uid="{224FA635-5C6F-4723-8245-21DEF9A64FA8}"/>
    <cellStyle name="Style 93 5 2 4 4" xfId="7504" xr:uid="{5D39EA26-55E0-46C5-89BF-6E5F155305A7}"/>
    <cellStyle name="Style 93 5 2 4 4 2" xfId="17356" xr:uid="{BBA9D48D-354F-4699-B775-0579325B986C}"/>
    <cellStyle name="Style 93 5 2 4 4 2 2" xfId="35895" xr:uid="{480582A7-D33B-4473-AD62-A80E321FC6CC}"/>
    <cellStyle name="Style 93 5 2 4 4 3" xfId="17357" xr:uid="{6E93C229-36EC-4D7A-8C86-4E7F31D02344}"/>
    <cellStyle name="Style 93 5 2 4 4 3 2" xfId="35896" xr:uid="{D893FB26-A604-46B2-8D2B-41715C129F54}"/>
    <cellStyle name="Style 93 5 2 4 5" xfId="17358" xr:uid="{384358AD-3115-4D97-8E26-C80D1340B720}"/>
    <cellStyle name="Style 93 5 2 4 5 2" xfId="17359" xr:uid="{992C42F8-1C5E-4227-AC6F-F5E7182655B5}"/>
    <cellStyle name="Style 93 5 2 4 5 2 2" xfId="35897" xr:uid="{69308CBF-2E9D-4D12-B159-3BED92E1BD51}"/>
    <cellStyle name="Style 93 5 2 4 5 3" xfId="17360" xr:uid="{13AF9397-D7EF-4DBA-840F-488B3C89C408}"/>
    <cellStyle name="Style 93 5 2 4 5 3 2" xfId="35898" xr:uid="{6B288959-AE2E-4C42-9B10-FDE200CF60E2}"/>
    <cellStyle name="Style 93 5 2 4 5 4" xfId="28163" xr:uid="{901B629D-0FC3-4A3B-AE47-BDF24E59CF43}"/>
    <cellStyle name="Style 93 5 2 4 6" xfId="17361" xr:uid="{E0BA9296-38B0-4765-BFCD-D52EECBBC919}"/>
    <cellStyle name="Style 93 5 2 4 6 2" xfId="17362" xr:uid="{1F93738B-AA1F-41D5-BF17-48FBD3BC3B43}"/>
    <cellStyle name="Style 93 5 2 4 6 2 2" xfId="35900" xr:uid="{7577E327-4FC4-40E3-9F71-0EAC58A9375A}"/>
    <cellStyle name="Style 93 5 2 4 6 3" xfId="35899" xr:uid="{FF2C9C3B-010C-47C6-8224-E8AF459D66A1}"/>
    <cellStyle name="Style 93 5 2 4 7" xfId="17363" xr:uid="{6BAD493E-25C6-4AE2-8A8E-734803F24E27}"/>
    <cellStyle name="Style 93 5 2 4 7 2" xfId="17364" xr:uid="{17EACEB9-82D8-439C-8A9B-209BA626F982}"/>
    <cellStyle name="Style 93 5 2 4 7 2 2" xfId="35902" xr:uid="{4FE63E12-AAFB-4BEE-9453-56CC6726807A}"/>
    <cellStyle name="Style 93 5 2 4 7 3" xfId="35901" xr:uid="{CC5D902D-5F51-4AD9-AB1D-8D029E576635}"/>
    <cellStyle name="Style 93 5 2 4 8" xfId="17365" xr:uid="{739A303D-3532-49E3-8F61-6792204A981D}"/>
    <cellStyle name="Style 93 5 2 4 8 2" xfId="35903" xr:uid="{FE9D37A9-7BEC-4CE6-85AC-2649EB81D814}"/>
    <cellStyle name="Style 93 5 2 4 9" xfId="17366" xr:uid="{3C870DA9-EA34-4C08-AB70-06CAE5DBA34C}"/>
    <cellStyle name="Style 93 5 2 4 9 2" xfId="35904" xr:uid="{5C475F2F-EC37-459F-8AA6-469256E735A8}"/>
    <cellStyle name="Style 93 5 2 5" xfId="7508" xr:uid="{17C01DB4-1606-4D8F-8948-9AD91494C824}"/>
    <cellStyle name="Style 93 5 2 5 2" xfId="17367" xr:uid="{F827948D-15F7-42A3-9AC1-30B7DF3050C5}"/>
    <cellStyle name="Style 93 5 2 5 2 2" xfId="35905" xr:uid="{378F59F7-EA99-4710-A378-2C9079ED8D7E}"/>
    <cellStyle name="Style 93 5 2 5 3" xfId="17368" xr:uid="{09B4D0A8-519D-4357-B5BD-291C9E185103}"/>
    <cellStyle name="Style 93 5 2 5 3 2" xfId="35906" xr:uid="{0983BE6B-D142-4BAA-9129-C78D47E054A0}"/>
    <cellStyle name="Style 93 5 2 5 4" xfId="17369" xr:uid="{091D521F-83AE-4139-B158-10F6D66537B3}"/>
    <cellStyle name="Style 93 5 2 5 4 2" xfId="35907" xr:uid="{0DFA3AE3-1ADF-4DD6-93B9-64389171B14C}"/>
    <cellStyle name="Style 93 5 2 6" xfId="7509" xr:uid="{CD77126A-4C84-4C72-876F-608BF71164B4}"/>
    <cellStyle name="Style 93 5 2 6 2" xfId="17370" xr:uid="{E1036ECF-507E-4F58-A2B0-119F9092A7F0}"/>
    <cellStyle name="Style 93 5 2 6 2 2" xfId="35908" xr:uid="{9FA50BE7-E1AE-4EC5-86A9-49A0199901F6}"/>
    <cellStyle name="Style 93 5 2 6 3" xfId="17371" xr:uid="{94CFCF73-065E-4818-B831-7AE86CEBB50D}"/>
    <cellStyle name="Style 93 5 2 6 3 2" xfId="35909" xr:uid="{219C09D3-7B52-49C7-8D32-A78A082A4A3E}"/>
    <cellStyle name="Style 93 5 2 7" xfId="7494" xr:uid="{85A7C386-DB24-466D-8DC5-F5F89834AC60}"/>
    <cellStyle name="Style 93 5 2 7 2" xfId="17372" xr:uid="{37EC9DB4-7EEC-409B-9CE0-DC8A14B98DE6}"/>
    <cellStyle name="Style 93 5 2 7 2 2" xfId="35910" xr:uid="{2CFA7AC5-A059-4991-A6C7-15CC01FEDB41}"/>
    <cellStyle name="Style 93 5 2 7 3" xfId="17373" xr:uid="{537E7E8F-D840-4B75-92C7-95E24DBC020E}"/>
    <cellStyle name="Style 93 5 2 7 3 2" xfId="35911" xr:uid="{788AD776-BA90-46D1-BF3E-EF567E284E2E}"/>
    <cellStyle name="Style 93 5 2 8" xfId="17374" xr:uid="{082E405D-4099-4D11-87F5-A90C28240D83}"/>
    <cellStyle name="Style 93 5 2 8 2" xfId="17375" xr:uid="{0623BAC6-F63E-4661-B224-F29CD516B1C8}"/>
    <cellStyle name="Style 93 5 2 8 2 2" xfId="35912" xr:uid="{77D0E962-30F3-4866-96D2-B9CEE0390C75}"/>
    <cellStyle name="Style 93 5 2 8 3" xfId="17376" xr:uid="{F261B425-22CD-4BE4-8F50-3F232597E596}"/>
    <cellStyle name="Style 93 5 2 8 3 2" xfId="35913" xr:uid="{90B0247E-5F16-4659-BAF3-4EAA33178A97}"/>
    <cellStyle name="Style 93 5 2 8 4" xfId="28159" xr:uid="{FDAFCA0D-32BF-4F2A-A554-E409F8AD352B}"/>
    <cellStyle name="Style 93 5 2 9" xfId="17377" xr:uid="{E5CEBDB5-3BE9-4F02-ADF7-6DF77D0403C4}"/>
    <cellStyle name="Style 93 5 2 9 2" xfId="17378" xr:uid="{613AEE62-F7F0-4EAD-B93D-949B306BF133}"/>
    <cellStyle name="Style 93 5 2 9 2 2" xfId="35915" xr:uid="{1FD90AD0-242C-4B18-819E-761ED3EC457F}"/>
    <cellStyle name="Style 93 5 2 9 3" xfId="35914" xr:uid="{454DC0F0-D08E-4063-ADED-6B7A5109CA98}"/>
    <cellStyle name="Style 93 5 3" xfId="3710" xr:uid="{3CD93F7A-1A29-4A0D-BACC-D7E0A25662F2}"/>
    <cellStyle name="Style 93 5 3 10" xfId="24198" xr:uid="{71E067DC-6D74-4AC2-8A16-4162E8B82A3C}"/>
    <cellStyle name="Style 93 5 3 2" xfId="7511" xr:uid="{B11033CA-C620-4266-8BAA-699B8BC33168}"/>
    <cellStyle name="Style 93 5 3 2 2" xfId="17379" xr:uid="{A5C10509-F7F5-41B3-A0C2-30FB2C3DBCCE}"/>
    <cellStyle name="Style 93 5 3 2 2 2" xfId="35916" xr:uid="{460F2FC1-0179-454A-A168-7CA7A6A5FC1E}"/>
    <cellStyle name="Style 93 5 3 2 3" xfId="17380" xr:uid="{267AE3E6-A207-4466-9E64-F3D515CB7575}"/>
    <cellStyle name="Style 93 5 3 2 3 2" xfId="35917" xr:uid="{3D5BF339-6130-454E-8A7B-6F1E33E03C01}"/>
    <cellStyle name="Style 93 5 3 2 4" xfId="17381" xr:uid="{A3DB5DBB-EDCA-415B-91AD-7ED310CCEA63}"/>
    <cellStyle name="Style 93 5 3 2 4 2" xfId="35918" xr:uid="{9B932D79-5D1D-4900-8A2A-D0825164D5DC}"/>
    <cellStyle name="Style 93 5 3 3" xfId="7510" xr:uid="{C6767015-C594-4ED4-999E-C87EBD6CF03A}"/>
    <cellStyle name="Style 93 5 3 3 2" xfId="17382" xr:uid="{239091E4-7A40-4B78-9261-AE5F337483E4}"/>
    <cellStyle name="Style 93 5 3 3 2 2" xfId="35919" xr:uid="{DB17F7ED-7E49-42E9-BD16-EE4CDD8C7F9F}"/>
    <cellStyle name="Style 93 5 3 3 3" xfId="17383" xr:uid="{B3CF90E2-722C-4A85-B38B-625FC3422911}"/>
    <cellStyle name="Style 93 5 3 3 3 2" xfId="35920" xr:uid="{C37E59A5-2F46-427D-BF8D-914A3E553D7E}"/>
    <cellStyle name="Style 93 5 3 4" xfId="17384" xr:uid="{B01DECF7-D60B-408C-8806-C4AC2E402A81}"/>
    <cellStyle name="Style 93 5 3 4 2" xfId="17385" xr:uid="{8803A6F5-6004-4F59-B63C-DC4D19E6DC87}"/>
    <cellStyle name="Style 93 5 3 4 2 2" xfId="35921" xr:uid="{05A1CDF8-5D9B-4102-ABAD-10DEE1B931A3}"/>
    <cellStyle name="Style 93 5 3 4 3" xfId="17386" xr:uid="{36B8FC66-9CDA-4619-865C-F1AB7DD1BA10}"/>
    <cellStyle name="Style 93 5 3 4 3 2" xfId="35922" xr:uid="{E3949932-F038-48FC-8CFC-A2D57CB48EC3}"/>
    <cellStyle name="Style 93 5 3 4 4" xfId="28165" xr:uid="{230913AB-48F0-48AC-AC73-786C07BF6716}"/>
    <cellStyle name="Style 93 5 3 5" xfId="17387" xr:uid="{F8842A1A-8CF7-4144-AB63-08B4AB52BBF3}"/>
    <cellStyle name="Style 93 5 3 5 2" xfId="17388" xr:uid="{5DA503E9-9D42-41E5-8585-47AC9A739721}"/>
    <cellStyle name="Style 93 5 3 5 2 2" xfId="35924" xr:uid="{B950E680-A2B8-4AEA-A954-4D1D3AC7FE6D}"/>
    <cellStyle name="Style 93 5 3 5 3" xfId="35923" xr:uid="{1FF743E9-C646-4A82-AE38-B1B15E479C72}"/>
    <cellStyle name="Style 93 5 3 6" xfId="17389" xr:uid="{30A480B3-D46F-4366-A5CD-CC2CEC6FFA5B}"/>
    <cellStyle name="Style 93 5 3 6 2" xfId="17390" xr:uid="{E4FDB0BC-11AE-4B1E-BD3D-24C97C5CAEE7}"/>
    <cellStyle name="Style 93 5 3 6 2 2" xfId="35926" xr:uid="{0006B5EB-9950-46B4-ABC2-0AFD2498C95F}"/>
    <cellStyle name="Style 93 5 3 6 3" xfId="35925" xr:uid="{5CD31B83-AA90-4932-B0E6-AA6D82AF41C2}"/>
    <cellStyle name="Style 93 5 3 7" xfId="17391" xr:uid="{9F790C6B-6B8C-4EEC-AEA4-B9675A5702CB}"/>
    <cellStyle name="Style 93 5 3 7 2" xfId="35927" xr:uid="{4D1B82C6-E7B0-4677-9116-34BD846BCD8E}"/>
    <cellStyle name="Style 93 5 3 8" xfId="17392" xr:uid="{274C1B09-4A74-4173-82D9-9BFD0E0A0D26}"/>
    <cellStyle name="Style 93 5 3 8 2" xfId="35928" xr:uid="{ED2AECA4-FFE2-486A-AF4C-5E4631402E59}"/>
    <cellStyle name="Style 93 5 3 9" xfId="17393" xr:uid="{E7539B9E-8BC7-42BD-B62E-C24617FAEFCB}"/>
    <cellStyle name="Style 93 5 3 9 2" xfId="35929" xr:uid="{6B0089ED-4B8A-416C-B311-92D43209F46C}"/>
    <cellStyle name="Style 93 5 4" xfId="7512" xr:uid="{A30A8A50-4219-4E29-8505-2EB26EDD7445}"/>
    <cellStyle name="Style 93 5 4 2" xfId="7513" xr:uid="{BC7891D1-7F9A-4FF7-A988-40A873883627}"/>
    <cellStyle name="Style 93 5 4 2 2" xfId="17394" xr:uid="{EF62C877-7914-4548-8C1A-F30B349632D5}"/>
    <cellStyle name="Style 93 5 4 2 2 2" xfId="35930" xr:uid="{B40EDE67-1F7D-4914-B345-4686B1723AA8}"/>
    <cellStyle name="Style 93 5 4 2 3" xfId="17395" xr:uid="{0B47ADE7-5EED-49F1-8C97-D74696D44E87}"/>
    <cellStyle name="Style 93 5 4 2 3 2" xfId="35931" xr:uid="{A4838D03-6597-4141-8535-2FED25CC3658}"/>
    <cellStyle name="Style 93 5 4 3" xfId="7514" xr:uid="{6FAA0372-A2DD-44CD-B148-AE83264D951C}"/>
    <cellStyle name="Style 93 5 4 3 2" xfId="17396" xr:uid="{5F5945E4-439E-4CB3-B34D-0C988183E0C1}"/>
    <cellStyle name="Style 93 5 4 3 2 2" xfId="35932" xr:uid="{DA26D8DE-2DA3-4C84-95B1-0115C67E70EF}"/>
    <cellStyle name="Style 93 5 4 4" xfId="17397" xr:uid="{086C6A54-1E37-43EF-B882-D48C06A1C216}"/>
    <cellStyle name="Style 93 5 4 4 2" xfId="35933" xr:uid="{96936FA8-3A61-4919-A047-CDDBF4758269}"/>
    <cellStyle name="Style 93 5 4 5" xfId="17398" xr:uid="{FDFCEE59-B0FD-4FD5-86E2-2B82ED872217}"/>
    <cellStyle name="Style 93 5 4 5 2" xfId="35934" xr:uid="{6A0D81D2-C7C0-4A5F-B705-C62B78757571}"/>
    <cellStyle name="Style 93 5 4 6" xfId="17399" xr:uid="{9DC40ACD-03C1-4AE2-A04D-AD18024E0152}"/>
    <cellStyle name="Style 93 5 4 6 2" xfId="35935" xr:uid="{7952A8F1-EE6D-4539-AE79-43FB70B46C98}"/>
    <cellStyle name="Style 93 5 4 7" xfId="24199" xr:uid="{F6A835E0-7049-4886-99E7-0165C8675B7B}"/>
    <cellStyle name="Style 93 5 5" xfId="7515" xr:uid="{8C14C7ED-142C-4167-9440-58A598193DEB}"/>
    <cellStyle name="Style 93 5 5 2" xfId="17400" xr:uid="{8B6261A6-F02D-4B16-92BE-899479D50CBD}"/>
    <cellStyle name="Style 93 5 5 2 2" xfId="35936" xr:uid="{99CEAEEF-315A-410F-B194-5D2D6BF1FB14}"/>
    <cellStyle name="Style 93 5 5 3" xfId="17401" xr:uid="{1609B26C-B234-4BCA-8D70-1718C23858CB}"/>
    <cellStyle name="Style 93 5 5 3 2" xfId="35937" xr:uid="{34EECD75-6DB6-4B1D-90DE-CA51B8A8E90E}"/>
    <cellStyle name="Style 93 5 5 4" xfId="17402" xr:uid="{435C2E34-3362-4021-BD73-89AF1ED64816}"/>
    <cellStyle name="Style 93 5 5 4 2" xfId="35938" xr:uid="{71578FEB-E297-4443-8D3D-237062DF460A}"/>
    <cellStyle name="Style 93 5 6" xfId="7493" xr:uid="{E432723D-69F6-45E6-BFDB-20370DE180CE}"/>
    <cellStyle name="Style 93 5 6 2" xfId="17403" xr:uid="{C3590C4D-B179-4BD5-8A2B-976BBC7AE8B1}"/>
    <cellStyle name="Style 93 5 6 2 2" xfId="35939" xr:uid="{1A5951C4-903D-4BE6-8B46-48997A967776}"/>
    <cellStyle name="Style 93 5 6 3" xfId="17404" xr:uid="{B3A66C0F-67F2-4FA0-AF45-F834198AC0C2}"/>
    <cellStyle name="Style 93 5 6 3 2" xfId="35940" xr:uid="{AD3E83B6-3B94-4566-896D-98F8052E744B}"/>
    <cellStyle name="Style 93 5 7" xfId="4454" xr:uid="{61AE841D-B16A-44EC-A41D-5C3ECBA052EB}"/>
    <cellStyle name="Style 93 5 7 2" xfId="17405" xr:uid="{B95D403D-F993-4B24-AC41-880B26DA949F}"/>
    <cellStyle name="Style 93 5 7 2 2" xfId="35941" xr:uid="{F1B7DDAA-0191-48CE-B797-6CF62127B3A0}"/>
    <cellStyle name="Style 93 5 7 3" xfId="17406" xr:uid="{97EAC7E4-A095-4F7C-870F-2BCBE59E141F}"/>
    <cellStyle name="Style 93 5 7 3 2" xfId="35942" xr:uid="{ECD42997-ED00-45C6-9973-BEA6129E26C1}"/>
    <cellStyle name="Style 93 5 7 4" xfId="26723" xr:uid="{29BACF37-B0A9-4CB6-974E-5B2AF2F32347}"/>
    <cellStyle name="Style 93 5 8" xfId="17407" xr:uid="{033034E6-6D43-4D53-8339-B9B0DEA37F44}"/>
    <cellStyle name="Style 93 5 8 2" xfId="17408" xr:uid="{5ECD96B1-6EC5-461C-BFEE-DE2F25E4719D}"/>
    <cellStyle name="Style 93 5 8 2 2" xfId="35943" xr:uid="{A98D17C7-A02C-43B8-A7A0-959A84A3DD71}"/>
    <cellStyle name="Style 93 5 8 3" xfId="17409" xr:uid="{B58CB2C8-65C0-4858-8A7E-58F1104326B9}"/>
    <cellStyle name="Style 93 5 8 3 2" xfId="35944" xr:uid="{CB1BC4AF-2A7A-4B4A-A241-E773892BF7A7}"/>
    <cellStyle name="Style 93 5 8 4" xfId="28158" xr:uid="{4B3CCF88-B0B3-4829-9631-BFD23E5B163A}"/>
    <cellStyle name="Style 93 5 9" xfId="17410" xr:uid="{87E9075C-3221-494F-BA59-4AB1DA41B715}"/>
    <cellStyle name="Style 93 5 9 2" xfId="35945" xr:uid="{F0BE5AEB-E0D6-46D7-A9F1-3FCA1E36F68B}"/>
    <cellStyle name="Style 93 6" xfId="3711" xr:uid="{CF3D89C7-D5B5-4265-8979-23899FDCA730}"/>
    <cellStyle name="Style 93 6 10" xfId="17411" xr:uid="{24463244-941E-4CF1-875A-6B407B7B96C8}"/>
    <cellStyle name="Style 93 6 10 2" xfId="35946" xr:uid="{370B378B-3082-4839-96C8-27828DF4BE09}"/>
    <cellStyle name="Style 93 6 11" xfId="17412" xr:uid="{C5F6F1AB-68E8-4A9F-A836-89F9AF7D6CB7}"/>
    <cellStyle name="Style 93 6 11 2" xfId="35947" xr:uid="{8EDC1FBE-E9DE-46F8-B878-365A6E02A763}"/>
    <cellStyle name="Style 93 6 12" xfId="17413" xr:uid="{DBDC8358-C13F-4B07-95A1-36348A172DE2}"/>
    <cellStyle name="Style 93 6 12 2" xfId="35948" xr:uid="{59F59EE9-129E-49F2-AA79-E238E27F7A4B}"/>
    <cellStyle name="Style 93 6 13" xfId="17414" xr:uid="{3A5AC443-BB34-4A75-9AE1-8A26220B88F8}"/>
    <cellStyle name="Style 93 6 13 2" xfId="35949" xr:uid="{FBC2D051-46FA-4C74-B608-382BE7A34041}"/>
    <cellStyle name="Style 93 6 14" xfId="24200" xr:uid="{D515EFFF-1A83-40A5-9FF8-A410CC8DFB59}"/>
    <cellStyle name="Style 93 6 2" xfId="3712" xr:uid="{25F369F4-2FBE-4B65-AF38-68B838E7A5D2}"/>
    <cellStyle name="Style 93 6 2 10" xfId="24201" xr:uid="{61B5A9CC-7787-4096-B77B-5191C03B3052}"/>
    <cellStyle name="Style 93 6 2 2" xfId="7518" xr:uid="{D80F4D39-3BE3-4CE1-BA7D-EE99F575D1A5}"/>
    <cellStyle name="Style 93 6 2 2 2" xfId="17415" xr:uid="{06328247-35CA-4892-8FED-3681F6779800}"/>
    <cellStyle name="Style 93 6 2 2 2 2" xfId="35950" xr:uid="{950063DF-DD2E-4978-A3A0-1F62A6A0812A}"/>
    <cellStyle name="Style 93 6 2 2 3" xfId="17416" xr:uid="{600C8041-0A39-4166-8FCA-A6C8E508F638}"/>
    <cellStyle name="Style 93 6 2 2 3 2" xfId="35951" xr:uid="{AD8A4111-3446-47C4-89B2-9927C5F7635D}"/>
    <cellStyle name="Style 93 6 2 2 4" xfId="17417" xr:uid="{54DE6044-61E6-472C-8084-49315A20B49D}"/>
    <cellStyle name="Style 93 6 2 2 4 2" xfId="35952" xr:uid="{C53CAA52-57A0-41E7-B584-FFB14A85FC5F}"/>
    <cellStyle name="Style 93 6 2 3" xfId="7517" xr:uid="{83B1FE97-969B-4F9E-853A-3017B43AD925}"/>
    <cellStyle name="Style 93 6 2 3 2" xfId="17418" xr:uid="{931A64E2-C87A-4995-8DCC-A40407F36C8F}"/>
    <cellStyle name="Style 93 6 2 3 2 2" xfId="35953" xr:uid="{9D3A7B23-3F1F-419A-ACEF-255635D9BF34}"/>
    <cellStyle name="Style 93 6 2 3 3" xfId="17419" xr:uid="{2F60AD71-E08A-4C9D-94DC-436E3E5187AB}"/>
    <cellStyle name="Style 93 6 2 3 3 2" xfId="35954" xr:uid="{0350213C-83A6-4A17-8FA9-D02476B06CA3}"/>
    <cellStyle name="Style 93 6 2 4" xfId="17420" xr:uid="{728F64FD-1A73-49C8-8B07-7236B7B77361}"/>
    <cellStyle name="Style 93 6 2 4 2" xfId="17421" xr:uid="{7FDD01EA-551B-40E9-939A-E2F6C97E3C6A}"/>
    <cellStyle name="Style 93 6 2 4 2 2" xfId="35955" xr:uid="{F278CB58-D52B-4736-9960-3DF18071EF46}"/>
    <cellStyle name="Style 93 6 2 4 3" xfId="17422" xr:uid="{D5D29E98-F9FE-4D9E-BAD7-FC24059479CD}"/>
    <cellStyle name="Style 93 6 2 4 3 2" xfId="35956" xr:uid="{A6905F7C-9811-4CF0-91D7-825DBD01F10A}"/>
    <cellStyle name="Style 93 6 2 4 4" xfId="28167" xr:uid="{8BD55A79-2BA6-4CDE-A892-2413F77D59D6}"/>
    <cellStyle name="Style 93 6 2 5" xfId="17423" xr:uid="{F3FBF2BF-F981-46B3-A199-12A6AAFEB8D8}"/>
    <cellStyle name="Style 93 6 2 5 2" xfId="17424" xr:uid="{00292D8B-2F90-43E3-B09C-F09E20E03F03}"/>
    <cellStyle name="Style 93 6 2 5 2 2" xfId="35958" xr:uid="{01AFB5B1-0C06-4254-BBE8-379772BD75E7}"/>
    <cellStyle name="Style 93 6 2 5 3" xfId="35957" xr:uid="{998875FE-4294-41FB-8220-7B5AB3B26EB6}"/>
    <cellStyle name="Style 93 6 2 6" xfId="17425" xr:uid="{0DA73ACD-302A-41B0-9DD9-281AB6218955}"/>
    <cellStyle name="Style 93 6 2 6 2" xfId="17426" xr:uid="{51EAC9EE-66F2-4533-9BF4-3F32662A4885}"/>
    <cellStyle name="Style 93 6 2 6 2 2" xfId="35960" xr:uid="{41F2B436-5DF8-4590-82A1-0DDD228153A7}"/>
    <cellStyle name="Style 93 6 2 6 3" xfId="35959" xr:uid="{49452357-CD80-45BB-B987-93AC6318A0D1}"/>
    <cellStyle name="Style 93 6 2 7" xfId="17427" xr:uid="{9707CDDA-50CB-4B16-92C6-167EE6170E94}"/>
    <cellStyle name="Style 93 6 2 7 2" xfId="35961" xr:uid="{E0F72BEF-52BA-4FA3-9730-57017AF266E8}"/>
    <cellStyle name="Style 93 6 2 8" xfId="17428" xr:uid="{FFA182DC-7CEB-4F15-9A8E-ACD73F9077F9}"/>
    <cellStyle name="Style 93 6 2 8 2" xfId="35962" xr:uid="{1805DE50-0FBB-4DED-95CF-455A00DFA6B6}"/>
    <cellStyle name="Style 93 6 2 9" xfId="17429" xr:uid="{D0A4C084-058D-4428-917E-1CC1A4CA07E2}"/>
    <cellStyle name="Style 93 6 2 9 2" xfId="35963" xr:uid="{31D9664E-0E88-4857-9A94-164C9D6220F1}"/>
    <cellStyle name="Style 93 6 3" xfId="3713" xr:uid="{BAC55A58-E806-47BA-B272-D61F79745897}"/>
    <cellStyle name="Style 93 6 3 10" xfId="17430" xr:uid="{91F55AF6-80DE-4F03-8F20-C6F06D9B220E}"/>
    <cellStyle name="Style 93 6 3 10 2" xfId="35964" xr:uid="{FA103D6F-BFED-46DD-AD9E-991334C8E24A}"/>
    <cellStyle name="Style 93 6 3 11" xfId="17431" xr:uid="{59BF8ABC-331D-4E4B-B15F-5D5078B38CFE}"/>
    <cellStyle name="Style 93 6 3 11 2" xfId="35965" xr:uid="{1C498B52-5F70-4DB4-A7BC-47F0C1480DF3}"/>
    <cellStyle name="Style 93 6 3 12" xfId="24202" xr:uid="{A4CD4078-12A2-47DA-9736-F69B9957EC91}"/>
    <cellStyle name="Style 93 6 3 2" xfId="3714" xr:uid="{A75A0226-704C-4385-A885-91D6B46F84C7}"/>
    <cellStyle name="Style 93 6 3 2 10" xfId="24203" xr:uid="{03D8F8C2-BF70-415A-B3E0-9673A2FA5039}"/>
    <cellStyle name="Style 93 6 3 2 2" xfId="7521" xr:uid="{A36E0A0C-CCE2-4D47-B884-E7968AABFBAE}"/>
    <cellStyle name="Style 93 6 3 2 2 2" xfId="17432" xr:uid="{9A39133B-EB78-4946-AA56-B0360D595725}"/>
    <cellStyle name="Style 93 6 3 2 2 2 2" xfId="35966" xr:uid="{DAEAE063-F175-41AB-816B-7E5E5C50B465}"/>
    <cellStyle name="Style 93 6 3 2 2 3" xfId="17433" xr:uid="{7E9105EE-01EB-4840-A338-789E3F558185}"/>
    <cellStyle name="Style 93 6 3 2 2 3 2" xfId="35967" xr:uid="{4A90C818-780C-46BE-9035-3BBE6385DA3B}"/>
    <cellStyle name="Style 93 6 3 2 2 4" xfId="17434" xr:uid="{AFB6F11B-ACA7-4DA4-96DF-25FDFF4E26DC}"/>
    <cellStyle name="Style 93 6 3 2 2 4 2" xfId="35968" xr:uid="{74BFA429-6C46-4ABA-9203-9E9217B02A3B}"/>
    <cellStyle name="Style 93 6 3 2 3" xfId="7520" xr:uid="{604C16C9-2D93-41DC-BF61-178C5BD2226A}"/>
    <cellStyle name="Style 93 6 3 2 3 2" xfId="17435" xr:uid="{E6C55303-76EB-4D65-833E-7988DD08A3F5}"/>
    <cellStyle name="Style 93 6 3 2 3 2 2" xfId="35969" xr:uid="{5055791B-A68B-4030-8F35-D7B1AEF67470}"/>
    <cellStyle name="Style 93 6 3 2 3 3" xfId="17436" xr:uid="{9824CEA3-1C8E-4399-8785-CE32971404FE}"/>
    <cellStyle name="Style 93 6 3 2 3 3 2" xfId="35970" xr:uid="{95656EE7-477D-490A-9BFE-A9D434A13C8A}"/>
    <cellStyle name="Style 93 6 3 2 4" xfId="17437" xr:uid="{ED6C4FDF-3EFB-4FB3-97CA-F992B9A1B95F}"/>
    <cellStyle name="Style 93 6 3 2 4 2" xfId="17438" xr:uid="{1CF47DE4-BE41-43D5-B2D6-59F06A80D345}"/>
    <cellStyle name="Style 93 6 3 2 4 2 2" xfId="35971" xr:uid="{5481E0C0-BCD3-473F-81AB-AF9A7EE3DA40}"/>
    <cellStyle name="Style 93 6 3 2 4 3" xfId="17439" xr:uid="{7DC9545B-1433-4EDA-9039-94B5B2E564C4}"/>
    <cellStyle name="Style 93 6 3 2 4 3 2" xfId="35972" xr:uid="{95AB0623-B2EE-438C-9514-98854D49280A}"/>
    <cellStyle name="Style 93 6 3 2 4 4" xfId="28169" xr:uid="{B2F9661B-944E-49FD-926A-E660B773A0A4}"/>
    <cellStyle name="Style 93 6 3 2 5" xfId="17440" xr:uid="{A7FF5F5B-264F-42CF-BA1C-4952A87F4DB6}"/>
    <cellStyle name="Style 93 6 3 2 5 2" xfId="17441" xr:uid="{5C27B160-4A76-4964-9244-7FDD8ADC5C14}"/>
    <cellStyle name="Style 93 6 3 2 5 2 2" xfId="35974" xr:uid="{71BC1762-5253-45E4-9FF5-6468655A95A8}"/>
    <cellStyle name="Style 93 6 3 2 5 3" xfId="35973" xr:uid="{DCDD05A3-0A4B-4CF1-A0E8-10F8FDB0DBA8}"/>
    <cellStyle name="Style 93 6 3 2 6" xfId="17442" xr:uid="{408FE138-4EE3-4B0B-A5E8-E0BE52D47ADF}"/>
    <cellStyle name="Style 93 6 3 2 6 2" xfId="17443" xr:uid="{5D96F1DF-485A-432A-A908-36D8EA5B7359}"/>
    <cellStyle name="Style 93 6 3 2 6 2 2" xfId="35976" xr:uid="{A4436525-F228-4F65-8C3E-9B82ECC98885}"/>
    <cellStyle name="Style 93 6 3 2 6 3" xfId="35975" xr:uid="{A4206D99-9066-467C-9E7E-7FF4C36494AD}"/>
    <cellStyle name="Style 93 6 3 2 7" xfId="17444" xr:uid="{4F133AEB-49E0-492C-A781-BA3C1912AE64}"/>
    <cellStyle name="Style 93 6 3 2 7 2" xfId="35977" xr:uid="{23150B07-6F1B-4EA8-9275-10BCEA237414}"/>
    <cellStyle name="Style 93 6 3 2 8" xfId="17445" xr:uid="{45F72224-D8A4-480F-B211-39EBDEE635B6}"/>
    <cellStyle name="Style 93 6 3 2 8 2" xfId="35978" xr:uid="{F8788FB4-BD39-48CB-9996-12957FC9A0C9}"/>
    <cellStyle name="Style 93 6 3 2 9" xfId="17446" xr:uid="{D0A73F1D-3061-423C-80C7-25BF595B9810}"/>
    <cellStyle name="Style 93 6 3 2 9 2" xfId="35979" xr:uid="{574A04D8-1C6B-4C4E-9969-C95E63A656C1}"/>
    <cellStyle name="Style 93 6 3 3" xfId="7522" xr:uid="{2271E71E-000B-42D3-BFB0-557A25AC7333}"/>
    <cellStyle name="Style 93 6 3 3 2" xfId="7523" xr:uid="{EB7F5A65-8483-49D4-8F2A-887D7B9696CC}"/>
    <cellStyle name="Style 93 6 3 3 2 2" xfId="17447" xr:uid="{92B98992-A941-4585-BFBF-10C8B191174C}"/>
    <cellStyle name="Style 93 6 3 3 2 2 2" xfId="35980" xr:uid="{A5C4C70A-F769-4C09-B026-A97004D29CDC}"/>
    <cellStyle name="Style 93 6 3 3 2 3" xfId="17448" xr:uid="{3D6A32F5-D5B3-4B56-BA71-547A45C35210}"/>
    <cellStyle name="Style 93 6 3 3 2 3 2" xfId="35981" xr:uid="{3B5CDE13-C61D-4684-A78E-F82DDC539505}"/>
    <cellStyle name="Style 93 6 3 3 3" xfId="17449" xr:uid="{BF0A2FF4-8BED-4AAC-AA01-CC2B8A02C5E8}"/>
    <cellStyle name="Style 93 6 3 3 3 2" xfId="35982" xr:uid="{C5A07D2B-EA5F-47CD-9D44-1403BB732544}"/>
    <cellStyle name="Style 93 6 3 3 4" xfId="17450" xr:uid="{FEC1934E-3D00-41A9-9B99-37085C83E861}"/>
    <cellStyle name="Style 93 6 3 3 4 2" xfId="35983" xr:uid="{7943F26C-4B3C-4494-BA21-393928A9D994}"/>
    <cellStyle name="Style 93 6 3 3 5" xfId="17451" xr:uid="{7530E560-DA28-42F8-97F5-2492FD06D485}"/>
    <cellStyle name="Style 93 6 3 3 5 2" xfId="35984" xr:uid="{681FCC96-3B2F-4377-A377-28F562F6BFD9}"/>
    <cellStyle name="Style 93 6 3 3 6" xfId="17452" xr:uid="{A34E381F-3CAD-4D3E-9805-503BAEDA4F8A}"/>
    <cellStyle name="Style 93 6 3 3 6 2" xfId="35985" xr:uid="{9414E4EF-8DA9-4766-8262-A5CE1B48B4BF}"/>
    <cellStyle name="Style 93 6 3 3 7" xfId="24204" xr:uid="{CBE5BD73-ECF6-4A26-AD09-BCB9948CB8ED}"/>
    <cellStyle name="Style 93 6 3 4" xfId="7524" xr:uid="{30FCACE1-B48A-4D89-954F-E0198B53A237}"/>
    <cellStyle name="Style 93 6 3 4 2" xfId="17453" xr:uid="{8F59FFA8-15BA-4EF8-A966-AF5216D94D49}"/>
    <cellStyle name="Style 93 6 3 4 2 2" xfId="35986" xr:uid="{FE78CE47-8B5D-4A2D-9D76-235A14394C6E}"/>
    <cellStyle name="Style 93 6 3 4 3" xfId="17454" xr:uid="{C087EEC1-7097-4744-BBDE-73F476B3ECEF}"/>
    <cellStyle name="Style 93 6 3 4 3 2" xfId="35987" xr:uid="{32B878F2-F0DC-4980-B7F4-D6B648AB69A8}"/>
    <cellStyle name="Style 93 6 3 4 4" xfId="17455" xr:uid="{55AEF334-FB95-4135-80D5-BDBC6F7B336A}"/>
    <cellStyle name="Style 93 6 3 4 4 2" xfId="35988" xr:uid="{1E59EA2B-6A06-439A-A177-BB2DF3593EB4}"/>
    <cellStyle name="Style 93 6 3 5" xfId="7525" xr:uid="{262AE78D-32C6-4ABD-A634-62DBE67C02DB}"/>
    <cellStyle name="Style 93 6 3 5 2" xfId="17456" xr:uid="{79667A18-E8D5-4B3D-A3C0-1987CDC13E66}"/>
    <cellStyle name="Style 93 6 3 5 2 2" xfId="35989" xr:uid="{FFD66C47-D698-4C73-BBB1-784120D65DD3}"/>
    <cellStyle name="Style 93 6 3 5 3" xfId="17457" xr:uid="{6CBFB79B-1942-4AFF-A882-9A38260A3B1D}"/>
    <cellStyle name="Style 93 6 3 5 3 2" xfId="35990" xr:uid="{CFDB39B4-0985-4101-AF46-F412222751C6}"/>
    <cellStyle name="Style 93 6 3 6" xfId="7519" xr:uid="{13E2E798-E0B5-4711-B66D-D670AE6B8AD5}"/>
    <cellStyle name="Style 93 6 3 6 2" xfId="17458" xr:uid="{8AF840FB-95D8-4647-A702-D04DD825CC6A}"/>
    <cellStyle name="Style 93 6 3 6 2 2" xfId="35991" xr:uid="{999C4C1F-9267-448A-807C-3393D422BBCD}"/>
    <cellStyle name="Style 93 6 3 6 3" xfId="17459" xr:uid="{D8FA29E6-BF2D-449D-9C7A-AF26C05E2CE7}"/>
    <cellStyle name="Style 93 6 3 6 3 2" xfId="35992" xr:uid="{0AEE32C0-C198-4423-9091-2FDFF040D548}"/>
    <cellStyle name="Style 93 6 3 7" xfId="17460" xr:uid="{79720597-EF26-4174-868B-1536CE4921A7}"/>
    <cellStyle name="Style 93 6 3 7 2" xfId="17461" xr:uid="{57C084F8-79BE-4ACF-84A0-684A260E8F83}"/>
    <cellStyle name="Style 93 6 3 7 2 2" xfId="35993" xr:uid="{C50A13A8-4EE5-424B-BEAE-831C834FD1D5}"/>
    <cellStyle name="Style 93 6 3 7 3" xfId="17462" xr:uid="{DCED25A2-DC04-4A99-9F45-01422471D565}"/>
    <cellStyle name="Style 93 6 3 7 3 2" xfId="35994" xr:uid="{BAACA7C7-DBBC-454C-AE6C-2C90EBD44A08}"/>
    <cellStyle name="Style 93 6 3 7 4" xfId="28168" xr:uid="{F746C0F7-B490-4581-80A5-88C272012022}"/>
    <cellStyle name="Style 93 6 3 8" xfId="17463" xr:uid="{1FEE616E-1A13-4725-B463-8876DCEC7912}"/>
    <cellStyle name="Style 93 6 3 8 2" xfId="35995" xr:uid="{93254176-BC92-4F7B-879F-33B7D3E33812}"/>
    <cellStyle name="Style 93 6 3 9" xfId="17464" xr:uid="{ED199277-769F-4007-9FCB-4892DD1A24A2}"/>
    <cellStyle name="Style 93 6 3 9 2" xfId="35996" xr:uid="{EBC1C0C9-034C-4472-8F57-0A5C24416473}"/>
    <cellStyle name="Style 93 6 4" xfId="3715" xr:uid="{8A57FF0D-C3DA-4A37-8E44-9B01FC17E95A}"/>
    <cellStyle name="Style 93 6 4 10" xfId="17465" xr:uid="{313DA5EE-8401-49BD-8FD3-8088A6688C1A}"/>
    <cellStyle name="Style 93 6 4 10 2" xfId="35997" xr:uid="{7D290787-9FC8-4A4D-9B1A-0A61AFB5D716}"/>
    <cellStyle name="Style 93 6 4 11" xfId="24205" xr:uid="{2E765FFC-E868-4FAA-8731-44122BB62766}"/>
    <cellStyle name="Style 93 6 4 2" xfId="3716" xr:uid="{F81557B7-165D-4519-A777-8F3975933B74}"/>
    <cellStyle name="Style 93 6 4 2 10" xfId="24206" xr:uid="{93029B47-8A0F-4EBB-B08F-88415480CB55}"/>
    <cellStyle name="Style 93 6 4 2 2" xfId="7528" xr:uid="{9F12D0E9-CD78-4907-9A9B-C362E754BC69}"/>
    <cellStyle name="Style 93 6 4 2 2 2" xfId="17466" xr:uid="{4390D592-E052-4608-BBD8-70F5443A2B51}"/>
    <cellStyle name="Style 93 6 4 2 2 2 2" xfId="35998" xr:uid="{34242848-1F0A-4F74-979F-1A447476BB72}"/>
    <cellStyle name="Style 93 6 4 2 2 3" xfId="17467" xr:uid="{5EF9C9A8-6327-4A1B-A861-E8643D31B8D9}"/>
    <cellStyle name="Style 93 6 4 2 2 3 2" xfId="35999" xr:uid="{D722E451-158E-427E-8D20-4A15DB31F4AB}"/>
    <cellStyle name="Style 93 6 4 2 2 4" xfId="17468" xr:uid="{CBE8E25F-9085-44D2-8FFE-8EDF6954A160}"/>
    <cellStyle name="Style 93 6 4 2 2 4 2" xfId="36000" xr:uid="{98595CF2-E82A-4A0D-A2C8-1EB3D6E79628}"/>
    <cellStyle name="Style 93 6 4 2 3" xfId="7527" xr:uid="{4EFE76A5-F016-4EE0-B527-71711A888362}"/>
    <cellStyle name="Style 93 6 4 2 3 2" xfId="17469" xr:uid="{48A4B3DD-A263-4168-9FBF-C044D0597B37}"/>
    <cellStyle name="Style 93 6 4 2 3 2 2" xfId="36001" xr:uid="{51ABA127-5BF8-402D-811C-114870D17288}"/>
    <cellStyle name="Style 93 6 4 2 3 3" xfId="17470" xr:uid="{AA99E71D-30AD-41DE-8E28-0C3FAD49E370}"/>
    <cellStyle name="Style 93 6 4 2 3 3 2" xfId="36002" xr:uid="{598AAC12-2A9B-471E-AD92-A94FA8E106FE}"/>
    <cellStyle name="Style 93 6 4 2 4" xfId="17471" xr:uid="{E134585F-7233-465B-BF94-2F5F034B5E01}"/>
    <cellStyle name="Style 93 6 4 2 4 2" xfId="17472" xr:uid="{7266C259-9CD6-4801-B316-7053F8FB2AE8}"/>
    <cellStyle name="Style 93 6 4 2 4 2 2" xfId="36003" xr:uid="{22F713FA-582B-47BA-9798-804F2C4620B5}"/>
    <cellStyle name="Style 93 6 4 2 4 3" xfId="17473" xr:uid="{AC15CD9C-0FC8-459F-89DE-BDE32B604DA9}"/>
    <cellStyle name="Style 93 6 4 2 4 3 2" xfId="36004" xr:uid="{38947819-FD23-438E-8FA9-E1C5D6CD6431}"/>
    <cellStyle name="Style 93 6 4 2 4 4" xfId="28171" xr:uid="{CF0CCCCF-EA6C-4C68-B3A8-C9F1EBA8DDFD}"/>
    <cellStyle name="Style 93 6 4 2 5" xfId="17474" xr:uid="{588F3A55-E2D2-4FF7-BF63-6E8EFB1AD464}"/>
    <cellStyle name="Style 93 6 4 2 5 2" xfId="17475" xr:uid="{AD855B06-09EC-4B99-B93E-75D8E236F8B6}"/>
    <cellStyle name="Style 93 6 4 2 5 2 2" xfId="36006" xr:uid="{358E3362-ECFC-4B70-8FE0-0EE2D178DCCC}"/>
    <cellStyle name="Style 93 6 4 2 5 3" xfId="36005" xr:uid="{81A481F5-D7A9-4A5D-95BF-23D35A1AE664}"/>
    <cellStyle name="Style 93 6 4 2 6" xfId="17476" xr:uid="{6ABAD531-0882-4959-936F-9AAA7D3C3021}"/>
    <cellStyle name="Style 93 6 4 2 6 2" xfId="17477" xr:uid="{659F57FB-BDB4-42EA-B649-4EF168895605}"/>
    <cellStyle name="Style 93 6 4 2 6 2 2" xfId="36008" xr:uid="{EB747411-5470-4846-B8AF-9503622BF723}"/>
    <cellStyle name="Style 93 6 4 2 6 3" xfId="36007" xr:uid="{E89D5B32-C58C-41ED-A460-9C6AB697C66B}"/>
    <cellStyle name="Style 93 6 4 2 7" xfId="17478" xr:uid="{DB0E1715-90E7-46A8-BA79-363BDE833B37}"/>
    <cellStyle name="Style 93 6 4 2 7 2" xfId="36009" xr:uid="{6CCEC76F-FAD4-41B1-9F12-1321C13E6155}"/>
    <cellStyle name="Style 93 6 4 2 8" xfId="17479" xr:uid="{1C9F68E0-24C7-4E17-8B94-E4C6DF1B588E}"/>
    <cellStyle name="Style 93 6 4 2 8 2" xfId="36010" xr:uid="{B844255B-4F18-4990-9D78-A5F04E619669}"/>
    <cellStyle name="Style 93 6 4 2 9" xfId="17480" xr:uid="{A85475C7-7B5D-4C9F-9277-A65011A28EF5}"/>
    <cellStyle name="Style 93 6 4 2 9 2" xfId="36011" xr:uid="{AF8EC514-7E09-4FD2-8E2B-80D48D4E2CBD}"/>
    <cellStyle name="Style 93 6 4 3" xfId="7529" xr:uid="{23A9E135-FD63-4CF3-B49A-41A69A859BB3}"/>
    <cellStyle name="Style 93 6 4 3 2" xfId="17481" xr:uid="{33E7E631-2CA7-47DF-8D73-6F8F182103CD}"/>
    <cellStyle name="Style 93 6 4 3 2 2" xfId="36012" xr:uid="{1328AB81-ED6C-485A-8BF7-9C9EC19AAB61}"/>
    <cellStyle name="Style 93 6 4 3 3" xfId="17482" xr:uid="{89CC0397-5C13-4B66-A38B-80E1F097833E}"/>
    <cellStyle name="Style 93 6 4 3 3 2" xfId="36013" xr:uid="{4BB78259-55C5-41F5-967A-98ECF6FC85CD}"/>
    <cellStyle name="Style 93 6 4 3 4" xfId="17483" xr:uid="{A1C43FE7-304E-4633-B93B-56E939BD4AA0}"/>
    <cellStyle name="Style 93 6 4 3 4 2" xfId="36014" xr:uid="{638DC1F7-94A5-4267-8483-7717EC31F94E}"/>
    <cellStyle name="Style 93 6 4 4" xfId="7526" xr:uid="{F25EAE8F-F8F1-42EA-AFD2-FF69ADA28281}"/>
    <cellStyle name="Style 93 6 4 4 2" xfId="17484" xr:uid="{BC17388D-853F-4DEF-8B3D-B2E17694CADB}"/>
    <cellStyle name="Style 93 6 4 4 2 2" xfId="36015" xr:uid="{C86DFFEE-2BCB-4F68-AF9A-09DACAF3FE16}"/>
    <cellStyle name="Style 93 6 4 4 3" xfId="17485" xr:uid="{ABB22D62-7067-480B-B56F-EA80A4392962}"/>
    <cellStyle name="Style 93 6 4 4 3 2" xfId="36016" xr:uid="{DCBD371A-48DE-452E-B30B-51586CE267AE}"/>
    <cellStyle name="Style 93 6 4 5" xfId="17486" xr:uid="{27F93770-BE83-4C59-98D2-6AE8C199CDF7}"/>
    <cellStyle name="Style 93 6 4 5 2" xfId="17487" xr:uid="{9381EB16-E660-4049-A985-1E50DE45D599}"/>
    <cellStyle name="Style 93 6 4 5 2 2" xfId="36017" xr:uid="{AEE79070-0F97-45E4-BAC2-2FF47DDFFD62}"/>
    <cellStyle name="Style 93 6 4 5 3" xfId="17488" xr:uid="{0749EC95-6D87-4F6C-8F4E-437BDBB07496}"/>
    <cellStyle name="Style 93 6 4 5 3 2" xfId="36018" xr:uid="{585DC305-E504-4627-AD3A-F932523B3696}"/>
    <cellStyle name="Style 93 6 4 5 4" xfId="28170" xr:uid="{9E6D0F51-0E47-4909-9D2C-FF9E356141B6}"/>
    <cellStyle name="Style 93 6 4 6" xfId="17489" xr:uid="{6B99C8B7-D84C-4778-8C08-4B17F9917418}"/>
    <cellStyle name="Style 93 6 4 6 2" xfId="17490" xr:uid="{781EAB3A-6F3C-47E6-9130-0D7A4A340EAA}"/>
    <cellStyle name="Style 93 6 4 6 2 2" xfId="36020" xr:uid="{B1CCCE8B-369E-4CB1-BC98-CF06FC5D3E2E}"/>
    <cellStyle name="Style 93 6 4 6 3" xfId="36019" xr:uid="{812FCAEE-1715-483B-B528-A76FD730F55D}"/>
    <cellStyle name="Style 93 6 4 7" xfId="17491" xr:uid="{71A2B353-6AF9-450C-ADFA-ED746E915422}"/>
    <cellStyle name="Style 93 6 4 7 2" xfId="17492" xr:uid="{AFD3CCDE-08F1-413E-8045-6784AC68EC37}"/>
    <cellStyle name="Style 93 6 4 7 2 2" xfId="36022" xr:uid="{3BC0024F-519A-4A8D-959A-D8FF03A9A14D}"/>
    <cellStyle name="Style 93 6 4 7 3" xfId="36021" xr:uid="{1D15AEC4-7FCE-4FBA-B309-8E7E348DAB20}"/>
    <cellStyle name="Style 93 6 4 8" xfId="17493" xr:uid="{087D276F-3290-4B2B-AD0F-A00234BB12B9}"/>
    <cellStyle name="Style 93 6 4 8 2" xfId="36023" xr:uid="{E0EB3429-2542-4A1C-B2E0-B33BCFB3BD07}"/>
    <cellStyle name="Style 93 6 4 9" xfId="17494" xr:uid="{3220CD70-973C-4938-89F6-C14D65F7F152}"/>
    <cellStyle name="Style 93 6 4 9 2" xfId="36024" xr:uid="{9CC4A418-FAD5-4DB6-A6A3-993E5DADF316}"/>
    <cellStyle name="Style 93 6 5" xfId="7530" xr:uid="{A9867265-D7C1-4644-837D-02F88F03B7F0}"/>
    <cellStyle name="Style 93 6 5 2" xfId="17495" xr:uid="{F8C527FB-B950-41B8-82DA-56501F1FA2BF}"/>
    <cellStyle name="Style 93 6 5 2 2" xfId="17496" xr:uid="{0CF909D0-DA59-48BA-9AAC-8A9BAE4A7D1A}"/>
    <cellStyle name="Style 93 6 5 2 2 2" xfId="36026" xr:uid="{6576198B-DBD9-402B-BA46-6B751D6B95B0}"/>
    <cellStyle name="Style 93 6 5 2 3" xfId="36025" xr:uid="{CD74FE1F-6549-4F05-B697-FAF1D326D829}"/>
    <cellStyle name="Style 93 6 5 3" xfId="17497" xr:uid="{CD693FBB-C6D4-49D9-B71C-7FD5157A0ECF}"/>
    <cellStyle name="Style 93 6 5 3 2" xfId="36027" xr:uid="{1DDB0118-4C98-4CE4-B312-52BD46DD8130}"/>
    <cellStyle name="Style 93 6 5 4" xfId="17498" xr:uid="{5469E07A-EBFA-4D2D-B146-95A89AB2137D}"/>
    <cellStyle name="Style 93 6 5 4 2" xfId="36028" xr:uid="{3C5C5A06-0F06-442C-AC18-C9AD1140F287}"/>
    <cellStyle name="Style 93 6 5 5" xfId="17499" xr:uid="{720F5DB8-E5A2-4673-8AA8-23C847E3980E}"/>
    <cellStyle name="Style 93 6 5 5 2" xfId="36029" xr:uid="{6ACD35A2-AA15-4AF0-9F7E-A3AE7B93C8AB}"/>
    <cellStyle name="Style 93 6 5 6" xfId="17500" xr:uid="{C3DA55CA-656F-489F-B6A2-9F8CAE1D29FF}"/>
    <cellStyle name="Style 93 6 5 6 2" xfId="36030" xr:uid="{E67DB53E-92D2-453A-B507-C73BDF012D9B}"/>
    <cellStyle name="Style 93 6 6" xfId="7531" xr:uid="{F4051FA2-EC51-4FCE-9DA1-F443FDFCCDD5}"/>
    <cellStyle name="Style 93 6 6 2" xfId="17501" xr:uid="{005B0EBB-756C-46A0-A60E-8B7B1335B342}"/>
    <cellStyle name="Style 93 6 6 2 2" xfId="36031" xr:uid="{CC15AE4D-D77F-44C1-9F91-58AFAE2EE10D}"/>
    <cellStyle name="Style 93 6 6 3" xfId="17502" xr:uid="{9CBF4896-8F8B-44F2-B736-98B6E4C41602}"/>
    <cellStyle name="Style 93 6 6 3 2" xfId="36032" xr:uid="{94E8D09F-A46A-42D8-95A5-4DBDD48F69C5}"/>
    <cellStyle name="Style 93 6 6 4" xfId="17503" xr:uid="{7AAC170B-EB70-494F-992A-CC38F64AF694}"/>
    <cellStyle name="Style 93 6 6 4 2" xfId="36033" xr:uid="{E0E6EDE6-F58C-4DE2-AD8B-202170CABF03}"/>
    <cellStyle name="Style 93 6 7" xfId="7516" xr:uid="{FB4812D2-457D-4628-AA5A-14EB4E0BF60E}"/>
    <cellStyle name="Style 93 6 7 2" xfId="17504" xr:uid="{C3DBC64C-DE68-4AB4-AF0D-92126AE41379}"/>
    <cellStyle name="Style 93 6 7 2 2" xfId="36034" xr:uid="{6618ED44-4715-4873-B384-87DB4F93FBAB}"/>
    <cellStyle name="Style 93 6 7 3" xfId="17505" xr:uid="{83BB80F2-394D-45DD-8DDC-D637B0312226}"/>
    <cellStyle name="Style 93 6 7 3 2" xfId="36035" xr:uid="{FE650CEA-00DF-4213-A4E6-C96B3283D5CC}"/>
    <cellStyle name="Style 93 6 8" xfId="17506" xr:uid="{61066802-A369-4DC1-9AF6-5EB8A48CF06F}"/>
    <cellStyle name="Style 93 6 8 2" xfId="17507" xr:uid="{88DEFBCD-D881-436B-A2BF-6CA09DD80D53}"/>
    <cellStyle name="Style 93 6 8 2 2" xfId="36036" xr:uid="{3C04CD6F-69A1-401C-BFDB-729B535E1139}"/>
    <cellStyle name="Style 93 6 8 3" xfId="17508" xr:uid="{5BFB2654-6DE0-4154-883B-57226CA48E50}"/>
    <cellStyle name="Style 93 6 8 3 2" xfId="36037" xr:uid="{81CF0391-E0D6-47C2-808A-983113879344}"/>
    <cellStyle name="Style 93 6 8 4" xfId="28166" xr:uid="{3C216414-9180-44A5-A1AD-988831F13CC6}"/>
    <cellStyle name="Style 93 6 9" xfId="17509" xr:uid="{C2BFADF9-43BE-4EF5-A1B1-07D25347C4D9}"/>
    <cellStyle name="Style 93 6 9 2" xfId="17510" xr:uid="{BBED39DD-8EA5-42BD-AF7F-FB7AAC7694B9}"/>
    <cellStyle name="Style 93 6 9 2 2" xfId="36039" xr:uid="{C35AFBBF-DF63-4740-BEC3-D03CE7C38F0D}"/>
    <cellStyle name="Style 93 6 9 3" xfId="36038" xr:uid="{98BA86FF-0489-4F13-B201-F327A847A3E3}"/>
    <cellStyle name="Style 93 7" xfId="3717" xr:uid="{12FC8CD4-547B-4CE8-B87D-08868A5B50FB}"/>
    <cellStyle name="Style 93 7 10" xfId="17511" xr:uid="{F7C07F35-FB9D-4882-9127-23C189AD963C}"/>
    <cellStyle name="Style 93 7 10 2" xfId="36040" xr:uid="{54135C6F-B228-4320-8C44-11C8F31D3328}"/>
    <cellStyle name="Style 93 7 11" xfId="17512" xr:uid="{313BEF76-1436-41FC-9A17-2F87AE7BC88A}"/>
    <cellStyle name="Style 93 7 11 2" xfId="36041" xr:uid="{D87D4118-47A0-4E80-9CCE-59BB852AB102}"/>
    <cellStyle name="Style 93 7 12" xfId="24207" xr:uid="{58FC1EE9-3618-4A03-A733-F2F2C229B034}"/>
    <cellStyle name="Style 93 7 2" xfId="3718" xr:uid="{6FDC8793-5DA9-4FCD-A3FF-97838EEF337A}"/>
    <cellStyle name="Style 93 7 2 10" xfId="24208" xr:uid="{E3788E31-7E53-4009-9B78-82C37D1B0AFB}"/>
    <cellStyle name="Style 93 7 2 2" xfId="7534" xr:uid="{D115B531-E3C1-44E4-BF14-0E3CFFFEC747}"/>
    <cellStyle name="Style 93 7 2 2 2" xfId="17513" xr:uid="{2C94D965-6D67-4E24-BBBE-CFDF682C7ABE}"/>
    <cellStyle name="Style 93 7 2 2 2 2" xfId="36042" xr:uid="{CE9A4DD6-3BC8-44AA-80EE-62D2443DD510}"/>
    <cellStyle name="Style 93 7 2 2 3" xfId="17514" xr:uid="{7E3C1287-95B9-4A09-8580-ED8FBDA4F1F8}"/>
    <cellStyle name="Style 93 7 2 2 3 2" xfId="36043" xr:uid="{8DCCC815-1C0D-414B-B738-5B098FE23E1E}"/>
    <cellStyle name="Style 93 7 2 2 4" xfId="17515" xr:uid="{B75F43AB-307E-4462-8749-FF90C2A06E0A}"/>
    <cellStyle name="Style 93 7 2 2 4 2" xfId="36044" xr:uid="{D7E7B0EE-3E3A-4A93-9AE4-B1DC67C3CCC7}"/>
    <cellStyle name="Style 93 7 2 3" xfId="7533" xr:uid="{63EEA6C2-4CB4-4890-91B2-A63E23DD8728}"/>
    <cellStyle name="Style 93 7 2 3 2" xfId="17516" xr:uid="{9B6ECF50-8A17-4558-B36C-DC97EA91B7FC}"/>
    <cellStyle name="Style 93 7 2 3 2 2" xfId="36045" xr:uid="{D1E14A9D-7234-48A7-8D49-A2B1FEA33EF2}"/>
    <cellStyle name="Style 93 7 2 3 3" xfId="17517" xr:uid="{459E3950-CA9E-4141-B067-65B2EF79415F}"/>
    <cellStyle name="Style 93 7 2 3 3 2" xfId="36046" xr:uid="{5B61FCEF-1790-47AF-8903-3F65FE48F85E}"/>
    <cellStyle name="Style 93 7 2 4" xfId="17518" xr:uid="{701ADD82-F268-48D8-B78B-10E8442D69BA}"/>
    <cellStyle name="Style 93 7 2 4 2" xfId="17519" xr:uid="{C2CDBEE1-D5A0-409B-96C3-BB55BBBDD92F}"/>
    <cellStyle name="Style 93 7 2 4 2 2" xfId="36047" xr:uid="{756CF4CA-7A5C-4E48-9A98-E15DDF63B5BA}"/>
    <cellStyle name="Style 93 7 2 4 3" xfId="17520" xr:uid="{343B3120-8613-42A7-AC84-4E83BB7D1692}"/>
    <cellStyle name="Style 93 7 2 4 3 2" xfId="36048" xr:uid="{44EC4729-7C40-413B-A763-DA491D6BDFD1}"/>
    <cellStyle name="Style 93 7 2 4 4" xfId="28173" xr:uid="{798F6596-B04A-4850-9971-148E33B50CA3}"/>
    <cellStyle name="Style 93 7 2 5" xfId="17521" xr:uid="{69853EF3-CD75-42AA-9E7A-058DF5414CE5}"/>
    <cellStyle name="Style 93 7 2 5 2" xfId="17522" xr:uid="{B6915CE2-F6E7-4525-BA6D-063E75E53263}"/>
    <cellStyle name="Style 93 7 2 5 2 2" xfId="36050" xr:uid="{10830ECC-87B5-40C8-AAFF-9BF8A9DBCF53}"/>
    <cellStyle name="Style 93 7 2 5 3" xfId="36049" xr:uid="{4C808930-01B2-41EF-845E-3CD1387AA776}"/>
    <cellStyle name="Style 93 7 2 6" xfId="17523" xr:uid="{8664AFF7-C2D4-4B70-8076-E6026CC654B7}"/>
    <cellStyle name="Style 93 7 2 6 2" xfId="17524" xr:uid="{01BF0EFE-8E40-423F-857D-69CEFDBEFFB2}"/>
    <cellStyle name="Style 93 7 2 6 2 2" xfId="36052" xr:uid="{BA93D454-BC53-4B4E-BE03-6DFE9D6AC0F8}"/>
    <cellStyle name="Style 93 7 2 6 3" xfId="36051" xr:uid="{928AC28A-591D-4317-99ED-0E676CD26352}"/>
    <cellStyle name="Style 93 7 2 7" xfId="17525" xr:uid="{46EC2C3E-A087-4421-ABC6-EA81E3829C4B}"/>
    <cellStyle name="Style 93 7 2 7 2" xfId="36053" xr:uid="{7C858D80-1C90-49A3-B01F-8FAD978964E6}"/>
    <cellStyle name="Style 93 7 2 8" xfId="17526" xr:uid="{4B97558F-EEE9-4B22-AD89-63EC5EB6202D}"/>
    <cellStyle name="Style 93 7 2 8 2" xfId="36054" xr:uid="{9B969F48-66FB-4C8B-AF4E-B58D49EA6556}"/>
    <cellStyle name="Style 93 7 2 9" xfId="17527" xr:uid="{A924B076-9BDC-4F30-9C63-BC495F84BEF2}"/>
    <cellStyle name="Style 93 7 2 9 2" xfId="36055" xr:uid="{2B1B523A-C213-4FDC-AF9D-5D0CB3CA0207}"/>
    <cellStyle name="Style 93 7 3" xfId="7535" xr:uid="{D31376CE-10FA-40BC-B8D3-204D92BA47F4}"/>
    <cellStyle name="Style 93 7 3 2" xfId="7536" xr:uid="{E403BBD6-1D41-4A5D-82BF-B84254F9A180}"/>
    <cellStyle name="Style 93 7 3 2 2" xfId="17528" xr:uid="{D654CCEE-BBFA-4FC1-B10B-22E470FC56DF}"/>
    <cellStyle name="Style 93 7 3 2 2 2" xfId="36056" xr:uid="{40CD7076-C254-4032-98EE-80A873033AC9}"/>
    <cellStyle name="Style 93 7 3 2 3" xfId="17529" xr:uid="{B4F23F6D-B6FC-4539-8B8A-BECA859600AB}"/>
    <cellStyle name="Style 93 7 3 2 3 2" xfId="36057" xr:uid="{635E8B4A-7958-497D-A28E-0D17730D8839}"/>
    <cellStyle name="Style 93 7 3 3" xfId="17530" xr:uid="{41D59AAD-0E91-4DB7-BBB1-16F1610F81AE}"/>
    <cellStyle name="Style 93 7 3 3 2" xfId="36058" xr:uid="{7FCF37E4-708E-46AA-855A-58D22A370DEA}"/>
    <cellStyle name="Style 93 7 3 4" xfId="17531" xr:uid="{F2F197EF-5359-436E-98E5-A04C725ABF0F}"/>
    <cellStyle name="Style 93 7 3 4 2" xfId="36059" xr:uid="{73E8F2B6-94B4-48AC-AE0B-FEFF7A8E09CD}"/>
    <cellStyle name="Style 93 7 3 5" xfId="17532" xr:uid="{C834CC1F-ACA5-4229-83AF-CE68ECA15E99}"/>
    <cellStyle name="Style 93 7 3 5 2" xfId="36060" xr:uid="{7816B745-F81F-4567-8B33-7B9467D5D73E}"/>
    <cellStyle name="Style 93 7 3 6" xfId="17533" xr:uid="{A168C58E-7E94-439F-BD5B-F71428785B40}"/>
    <cellStyle name="Style 93 7 3 6 2" xfId="36061" xr:uid="{4932828E-A27F-4EC7-96E6-9633D456D2CD}"/>
    <cellStyle name="Style 93 7 3 7" xfId="24209" xr:uid="{578AA978-7252-43D1-940C-6183D07C4BC3}"/>
    <cellStyle name="Style 93 7 4" xfId="7537" xr:uid="{2BAE0BCC-165B-44CF-990F-C0999AB0CF77}"/>
    <cellStyle name="Style 93 7 4 2" xfId="17534" xr:uid="{99B61FA8-6FC7-4832-B71C-114B6813FD6C}"/>
    <cellStyle name="Style 93 7 4 2 2" xfId="36062" xr:uid="{116CFAAA-278D-4BFC-9721-0CD7CFBF4E31}"/>
    <cellStyle name="Style 93 7 4 3" xfId="17535" xr:uid="{5E384760-8CA9-46EB-AC7E-9506D2E3F08A}"/>
    <cellStyle name="Style 93 7 4 3 2" xfId="36063" xr:uid="{ED192311-B65C-43BD-9599-E956ADBAE0FA}"/>
    <cellStyle name="Style 93 7 4 4" xfId="17536" xr:uid="{07515A3D-F673-4FC0-8FB6-63DF8F29061B}"/>
    <cellStyle name="Style 93 7 4 4 2" xfId="36064" xr:uid="{485C304A-E04D-4809-A25C-3CCC26CDCCEF}"/>
    <cellStyle name="Style 93 7 5" xfId="7538" xr:uid="{4DC91E93-0A4D-4DB4-BB09-5389239EE617}"/>
    <cellStyle name="Style 93 7 5 2" xfId="17537" xr:uid="{8407704B-D5B7-487A-AF23-90FEEF453CA1}"/>
    <cellStyle name="Style 93 7 5 2 2" xfId="36065" xr:uid="{9CC27D60-6E73-43A0-AD82-381A9724A610}"/>
    <cellStyle name="Style 93 7 5 3" xfId="17538" xr:uid="{D654A61A-530A-4303-80BA-6C3F823B15E1}"/>
    <cellStyle name="Style 93 7 5 3 2" xfId="36066" xr:uid="{20EC9564-7159-4F25-B62A-F3196F5BD855}"/>
    <cellStyle name="Style 93 7 6" xfId="7532" xr:uid="{83EEDF24-AD03-47E8-9EBB-5997601DD8BB}"/>
    <cellStyle name="Style 93 7 6 2" xfId="17539" xr:uid="{7E8D898C-2312-4671-95C7-F32BB2E42FF7}"/>
    <cellStyle name="Style 93 7 6 2 2" xfId="36067" xr:uid="{594F6A2C-A79E-4F1D-AE53-AA8987E29AA6}"/>
    <cellStyle name="Style 93 7 6 3" xfId="17540" xr:uid="{34504F00-85F7-4D03-BE38-CF6DD0ACDC86}"/>
    <cellStyle name="Style 93 7 6 3 2" xfId="36068" xr:uid="{A4793819-4395-4C83-8FB4-414BC0B15119}"/>
    <cellStyle name="Style 93 7 7" xfId="17541" xr:uid="{17CAAEC6-40A8-4A0B-B271-40BABA68400A}"/>
    <cellStyle name="Style 93 7 7 2" xfId="17542" xr:uid="{5D5C901A-D523-4BF7-A222-E27BCC90D79C}"/>
    <cellStyle name="Style 93 7 7 2 2" xfId="36069" xr:uid="{BA8E2E77-F06D-469A-B431-E58776BAD3E9}"/>
    <cellStyle name="Style 93 7 7 3" xfId="17543" xr:uid="{064368A3-DF62-458D-8206-1A409B4FFBA0}"/>
    <cellStyle name="Style 93 7 7 3 2" xfId="36070" xr:uid="{6079DFEE-A20A-4DA2-A185-FA8A04EE51CE}"/>
    <cellStyle name="Style 93 7 7 4" xfId="28172" xr:uid="{17B7880B-EDE3-4670-A815-1E3E7EB17FC6}"/>
    <cellStyle name="Style 93 7 8" xfId="17544" xr:uid="{CDDB4D81-DEDE-426C-9144-03B438540747}"/>
    <cellStyle name="Style 93 7 8 2" xfId="36071" xr:uid="{86F5CFC0-2D14-4BAD-9399-48DC7148996A}"/>
    <cellStyle name="Style 93 7 9" xfId="17545" xr:uid="{D1344132-A99E-4870-A7F8-6C6AEB8F2775}"/>
    <cellStyle name="Style 93 7 9 2" xfId="36072" xr:uid="{5DCAB4B2-A01E-4BA9-BD78-226038178165}"/>
    <cellStyle name="Style 93 8" xfId="3719" xr:uid="{AB50FE61-E213-4336-9347-E6C87B22C322}"/>
    <cellStyle name="Style 93 8 10" xfId="17546" xr:uid="{909E6DEA-3DD2-4FD1-AB06-BB32E3E6EEDC}"/>
    <cellStyle name="Style 93 8 10 2" xfId="36073" xr:uid="{2120288B-97EF-40C4-9CB7-A4739D999D50}"/>
    <cellStyle name="Style 93 8 11" xfId="24210" xr:uid="{FAAC4045-8721-410C-BD82-7032D67FA8BD}"/>
    <cellStyle name="Style 93 8 2" xfId="3720" xr:uid="{941B62AB-98CD-4538-A681-247E768D1E92}"/>
    <cellStyle name="Style 93 8 2 10" xfId="24211" xr:uid="{0F801707-7E79-4787-BB3D-A09933E35E59}"/>
    <cellStyle name="Style 93 8 2 2" xfId="7541" xr:uid="{E2A081BD-B800-4BBE-9F8E-6572526BE564}"/>
    <cellStyle name="Style 93 8 2 2 2" xfId="17547" xr:uid="{3FBC842B-D282-4DF9-BDAC-73880A86D99F}"/>
    <cellStyle name="Style 93 8 2 2 2 2" xfId="36074" xr:uid="{37CE3167-BD7F-40C4-98FA-0C82E514D54D}"/>
    <cellStyle name="Style 93 8 2 2 3" xfId="17548" xr:uid="{7F4FCE5E-81FE-48AB-BB56-A7FD54DCCEA9}"/>
    <cellStyle name="Style 93 8 2 2 3 2" xfId="36075" xr:uid="{F93E6568-9311-47F8-9931-0C68C7BAD9FA}"/>
    <cellStyle name="Style 93 8 2 2 4" xfId="17549" xr:uid="{F344AE60-744D-49E6-A6DD-90AC124B5785}"/>
    <cellStyle name="Style 93 8 2 2 4 2" xfId="36076" xr:uid="{FCD2A4EE-5B9B-4A35-9EA6-F534CC805B3A}"/>
    <cellStyle name="Style 93 8 2 3" xfId="7540" xr:uid="{B86C39BB-0938-4DAA-8644-4E68DB78233C}"/>
    <cellStyle name="Style 93 8 2 3 2" xfId="17550" xr:uid="{9A9FA5C4-0261-427C-88D4-42186B176BCE}"/>
    <cellStyle name="Style 93 8 2 3 2 2" xfId="36077" xr:uid="{2499F267-9E88-47BD-B640-20878397580E}"/>
    <cellStyle name="Style 93 8 2 3 3" xfId="17551" xr:uid="{CE648612-F9A0-4304-967E-5FB91714E1D9}"/>
    <cellStyle name="Style 93 8 2 3 3 2" xfId="36078" xr:uid="{DFF3508A-58C2-4952-BFFA-52D126ACCB18}"/>
    <cellStyle name="Style 93 8 2 4" xfId="17552" xr:uid="{54E0B0A1-A200-4C2F-9DEF-77DEE81228A7}"/>
    <cellStyle name="Style 93 8 2 4 2" xfId="17553" xr:uid="{4AE96AA5-8F48-4F1F-BEE2-1349F83DD8FC}"/>
    <cellStyle name="Style 93 8 2 4 2 2" xfId="36079" xr:uid="{E138A52C-6744-4D99-A499-A694209F83FD}"/>
    <cellStyle name="Style 93 8 2 4 3" xfId="17554" xr:uid="{610DD683-3350-446B-A0EC-4A459DB67439}"/>
    <cellStyle name="Style 93 8 2 4 3 2" xfId="36080" xr:uid="{2DBB0729-4D5B-49B5-9D2B-FE2411F49D34}"/>
    <cellStyle name="Style 93 8 2 4 4" xfId="28175" xr:uid="{DCB30B41-2DDB-4404-965D-0055DBE02E74}"/>
    <cellStyle name="Style 93 8 2 5" xfId="17555" xr:uid="{0F27C449-7562-4F19-92DD-6BC1318B662B}"/>
    <cellStyle name="Style 93 8 2 5 2" xfId="17556" xr:uid="{0DBEC8AE-231B-45F3-9A9A-6DA690EE346B}"/>
    <cellStyle name="Style 93 8 2 5 2 2" xfId="36082" xr:uid="{6597DC21-2AD5-4C6C-A146-8A92F39E2F8E}"/>
    <cellStyle name="Style 93 8 2 5 3" xfId="36081" xr:uid="{95707A23-8F27-407B-8625-B6A8C42B751E}"/>
    <cellStyle name="Style 93 8 2 6" xfId="17557" xr:uid="{DE6AA710-100B-45FF-AC0A-F634A46E9F5A}"/>
    <cellStyle name="Style 93 8 2 6 2" xfId="17558" xr:uid="{16371E2A-14EE-48E4-A2C5-C61350877E37}"/>
    <cellStyle name="Style 93 8 2 6 2 2" xfId="36084" xr:uid="{B0CD16D4-7EAB-4A5D-88BD-8BBAE3FC617D}"/>
    <cellStyle name="Style 93 8 2 6 3" xfId="36083" xr:uid="{EAFD2869-E101-4B19-A95E-15F013C29152}"/>
    <cellStyle name="Style 93 8 2 7" xfId="17559" xr:uid="{64542881-2DB9-4AE4-BE94-02B0FB9FADAE}"/>
    <cellStyle name="Style 93 8 2 7 2" xfId="36085" xr:uid="{C70C0CEC-6B07-483A-AEC0-76D33368ADCC}"/>
    <cellStyle name="Style 93 8 2 8" xfId="17560" xr:uid="{B74ECBF9-8D0A-46A0-BEEB-BAAEBABA563C}"/>
    <cellStyle name="Style 93 8 2 8 2" xfId="36086" xr:uid="{877DD969-244E-4CE1-95C3-73166FE2862F}"/>
    <cellStyle name="Style 93 8 2 9" xfId="17561" xr:uid="{4B83551A-4774-4EE8-B9C0-BB43AD3A09BE}"/>
    <cellStyle name="Style 93 8 2 9 2" xfId="36087" xr:uid="{31C138C7-8989-4267-9310-A54106D75DB8}"/>
    <cellStyle name="Style 93 8 3" xfId="7542" xr:uid="{4C121D65-970A-4B43-9254-7942DEDEF4BB}"/>
    <cellStyle name="Style 93 8 3 2" xfId="7543" xr:uid="{E35D8CD1-18D5-451F-8232-ABB022E9D455}"/>
    <cellStyle name="Style 93 8 3 2 2" xfId="17562" xr:uid="{B907EAA3-B68B-4E68-ABAC-B171564A4BF0}"/>
    <cellStyle name="Style 93 8 3 2 2 2" xfId="36088" xr:uid="{9F766098-45C7-43D1-BFE3-EE564C280250}"/>
    <cellStyle name="Style 93 8 3 3" xfId="17563" xr:uid="{DCDD1F42-66B6-4EDE-938D-CC909B12BCB4}"/>
    <cellStyle name="Style 93 8 3 3 2" xfId="36089" xr:uid="{4C2449F9-C17A-492E-81C5-1CBD12F3A620}"/>
    <cellStyle name="Style 93 8 3 4" xfId="17564" xr:uid="{5EEAB7C5-F895-4F2A-81A9-93302C3DD211}"/>
    <cellStyle name="Style 93 8 3 4 2" xfId="36090" xr:uid="{531F2C9B-A875-4E79-B5B2-4B47A4868B6C}"/>
    <cellStyle name="Style 93 8 3 5" xfId="24212" xr:uid="{A1E6AD16-750F-4AD9-AECD-35A00EE806DC}"/>
    <cellStyle name="Style 93 8 4" xfId="7544" xr:uid="{42D16A22-3D06-4464-9027-FC421F11DAB8}"/>
    <cellStyle name="Style 93 8 4 2" xfId="17565" xr:uid="{6B78BA7A-5CBB-4BDB-920D-8E22BF6C9B1D}"/>
    <cellStyle name="Style 93 8 4 2 2" xfId="36091" xr:uid="{B269CCEC-B66E-4D86-AAA0-BAC05CA91EF3}"/>
    <cellStyle name="Style 93 8 4 3" xfId="17566" xr:uid="{BB440C45-7BC8-423C-9EB8-0C1E684458C2}"/>
    <cellStyle name="Style 93 8 4 3 2" xfId="36092" xr:uid="{C69D5938-9C5C-4C11-A888-6F777AA4CF51}"/>
    <cellStyle name="Style 93 8 5" xfId="7545" xr:uid="{5F67CC6F-0970-42A1-9536-8CEB755EAB34}"/>
    <cellStyle name="Style 93 8 5 2" xfId="17567" xr:uid="{01F0F03E-E462-4BB1-88AE-F477DEEC410B}"/>
    <cellStyle name="Style 93 8 5 2 2" xfId="36093" xr:uid="{9D57935D-E6A0-4B63-8731-8AD00ED842D9}"/>
    <cellStyle name="Style 93 8 5 3" xfId="17568" xr:uid="{D812C8FF-960A-4447-88D5-8462E564CD41}"/>
    <cellStyle name="Style 93 8 5 3 2" xfId="36094" xr:uid="{C8E2EA8A-DB47-43B3-B9B4-6E1B59A8D552}"/>
    <cellStyle name="Style 93 8 6" xfId="7539" xr:uid="{B7794E4D-DC68-4B2E-B505-73D734E14CC4}"/>
    <cellStyle name="Style 93 8 6 2" xfId="17569" xr:uid="{1C363558-C22D-4C22-A931-402BA4C6A641}"/>
    <cellStyle name="Style 93 8 6 2 2" xfId="36095" xr:uid="{21BA0821-E694-4DB7-AA07-77B2057B1ADD}"/>
    <cellStyle name="Style 93 8 6 3" xfId="17570" xr:uid="{8F42F730-7F3E-4AE9-B449-1BC00811FAC2}"/>
    <cellStyle name="Style 93 8 6 3 2" xfId="36096" xr:uid="{A16218AF-BA4E-403D-8BEF-8C4CDF0DF083}"/>
    <cellStyle name="Style 93 8 7" xfId="17571" xr:uid="{3DB0C96E-F77A-466C-B86C-A45D8E416706}"/>
    <cellStyle name="Style 93 8 7 2" xfId="17572" xr:uid="{2A0FB5A2-2B88-4E1D-85D5-656AE64FFB78}"/>
    <cellStyle name="Style 93 8 7 2 2" xfId="36097" xr:uid="{BEF85836-4509-425D-BB4D-BCB824E25B4C}"/>
    <cellStyle name="Style 93 8 7 3" xfId="17573" xr:uid="{1871F0C1-193B-4746-B88D-EFC5CF9437DC}"/>
    <cellStyle name="Style 93 8 7 3 2" xfId="36098" xr:uid="{285BAD2F-189C-4157-99B7-413EF211CB80}"/>
    <cellStyle name="Style 93 8 7 4" xfId="28174" xr:uid="{55B16E05-7D34-433A-B0BA-735178A26DCC}"/>
    <cellStyle name="Style 93 8 8" xfId="17574" xr:uid="{AD64F864-2D9F-494C-96A6-778036CEE867}"/>
    <cellStyle name="Style 93 8 8 2" xfId="36099" xr:uid="{569352E8-3F79-4BAF-89C9-92A4E4025415}"/>
    <cellStyle name="Style 93 8 9" xfId="17575" xr:uid="{FA145723-F547-4B51-B60D-B0AC8CA8263D}"/>
    <cellStyle name="Style 93 8 9 2" xfId="36100" xr:uid="{BE471827-E089-44BD-BFAA-FAF149453FD1}"/>
    <cellStyle name="Style 93 9" xfId="3721" xr:uid="{290BD2AE-DECE-4E3A-9EB9-18A268F78B4A}"/>
    <cellStyle name="Style 93 9 10" xfId="17576" xr:uid="{180885E0-A08B-4FCA-B86B-8162E2896B9B}"/>
    <cellStyle name="Style 93 9 10 2" xfId="36101" xr:uid="{514F7218-6EE0-4CC9-B63F-61D2E9233F62}"/>
    <cellStyle name="Style 93 9 11" xfId="24213" xr:uid="{6F0A11BC-B8EE-45C7-A2BE-06015D2FAF0A}"/>
    <cellStyle name="Style 93 9 2" xfId="3722" xr:uid="{9D02ECBD-38CE-4BE9-AE9A-67879915C017}"/>
    <cellStyle name="Style 93 9 2 2" xfId="7547" xr:uid="{3D0067BF-AF8C-483E-9560-D21FB735CE01}"/>
    <cellStyle name="Style 93 9 2 2 2" xfId="17577" xr:uid="{75782062-F2F9-4F63-858A-040434446A83}"/>
    <cellStyle name="Style 93 9 2 2 2 2" xfId="36102" xr:uid="{469C7590-01BD-4AC4-A4C3-C64419256469}"/>
    <cellStyle name="Style 93 9 2 2 3" xfId="17578" xr:uid="{CA19F12F-846A-4486-B37A-77047AA29FD8}"/>
    <cellStyle name="Style 93 9 2 2 3 2" xfId="36103" xr:uid="{C9B3C108-1C5C-4802-9184-8900C54198BE}"/>
    <cellStyle name="Style 93 9 2 2 4" xfId="17579" xr:uid="{CACADABF-4A5F-4126-A87F-20FD0D7221EA}"/>
    <cellStyle name="Style 93 9 2 2 4 2" xfId="36104" xr:uid="{DBAD6C13-BF81-49B8-995D-92F6586CBCE0}"/>
    <cellStyle name="Style 93 9 2 3" xfId="17580" xr:uid="{24A3B12C-2DA8-415D-81BA-B5595D5E25E7}"/>
    <cellStyle name="Style 93 9 2 3 2" xfId="17581" xr:uid="{7E0E2EF5-04F1-44CF-B239-EEC86A6FAD2A}"/>
    <cellStyle name="Style 93 9 2 3 2 2" xfId="36105" xr:uid="{419303F4-741B-4B9B-BB0F-7EAC0C25D5F5}"/>
    <cellStyle name="Style 93 9 2 3 3" xfId="17582" xr:uid="{EC979416-4635-4CC6-963C-564CD7CB7589}"/>
    <cellStyle name="Style 93 9 2 3 3 2" xfId="36106" xr:uid="{00337104-F096-4FFA-88BD-1B21EABE0605}"/>
    <cellStyle name="Style 93 9 2 3 4" xfId="28177" xr:uid="{68C911AF-0248-4BF0-9F94-D9F851FAF902}"/>
    <cellStyle name="Style 93 9 2 4" xfId="17583" xr:uid="{3003A173-A8D1-4FF6-A2C9-30F001081154}"/>
    <cellStyle name="Style 93 9 2 4 2" xfId="17584" xr:uid="{3ED08ED9-3CB4-458C-9165-524D8ABD27CB}"/>
    <cellStyle name="Style 93 9 2 4 2 2" xfId="36108" xr:uid="{3B6AC0AD-11AC-46D7-847F-FEE80AF86874}"/>
    <cellStyle name="Style 93 9 2 4 3" xfId="36107" xr:uid="{8BC10ECF-821F-459D-B63C-49D4BFBA39A7}"/>
    <cellStyle name="Style 93 9 2 5" xfId="17585" xr:uid="{5D719BD7-353F-42B6-AC37-97193F55E7D7}"/>
    <cellStyle name="Style 93 9 2 5 2" xfId="17586" xr:uid="{64DE4E91-2351-4918-B5BA-E05E25638F8B}"/>
    <cellStyle name="Style 93 9 2 5 2 2" xfId="36110" xr:uid="{B46450F1-31F6-494D-87B5-F1FF2C570FEE}"/>
    <cellStyle name="Style 93 9 2 5 3" xfId="36109" xr:uid="{BEDCAC7B-0FD2-4037-B8BD-55F53D6B98B0}"/>
    <cellStyle name="Style 93 9 2 6" xfId="17587" xr:uid="{70ED00CD-D7E0-40EE-9DC9-1BFD5ACCBC3E}"/>
    <cellStyle name="Style 93 9 2 6 2" xfId="36111" xr:uid="{DE2ED9B5-6952-45D3-BA68-5AC6693A5C1C}"/>
    <cellStyle name="Style 93 9 2 7" xfId="17588" xr:uid="{FCEF75D8-C635-4819-AD8A-1B3B25436F6D}"/>
    <cellStyle name="Style 93 9 2 7 2" xfId="36112" xr:uid="{79546C82-106D-4180-9355-EF7123501AAC}"/>
    <cellStyle name="Style 93 9 2 8" xfId="17589" xr:uid="{8606AE70-A4A4-4742-9543-3C45F93DA179}"/>
    <cellStyle name="Style 93 9 2 8 2" xfId="36113" xr:uid="{AF5964FA-63AD-44F6-8A02-CB877CBDF51E}"/>
    <cellStyle name="Style 93 9 3" xfId="4221" xr:uid="{D8AF9485-541B-41D6-9757-0A076BF92C2A}"/>
    <cellStyle name="Style 93 9 3 2" xfId="7548" xr:uid="{21E6132A-5FF8-4B25-AF8C-B7981AF49137}"/>
    <cellStyle name="Style 93 9 3 2 2" xfId="17590" xr:uid="{04D4742F-B63D-42C5-A827-0FDB0DFC1040}"/>
    <cellStyle name="Style 93 9 3 2 2 2" xfId="36114" xr:uid="{D627E3C5-54DE-4ED0-87F8-A76181C1DF0F}"/>
    <cellStyle name="Style 93 9 3 2 3" xfId="28354" xr:uid="{F49D876E-13E0-409E-AB51-0DA6EEE548B2}"/>
    <cellStyle name="Style 93 9 3 3" xfId="17591" xr:uid="{AD63DBED-524E-49B2-A495-05B2705D84A4}"/>
    <cellStyle name="Style 93 9 3 3 2" xfId="36115" xr:uid="{B79E4FF6-500F-4955-9149-F141E668FE95}"/>
    <cellStyle name="Style 93 9 3 4" xfId="17592" xr:uid="{3CDE49F1-3762-4DD3-846F-DB3BA147D849}"/>
    <cellStyle name="Style 93 9 3 4 2" xfId="36116" xr:uid="{ADC5A536-FC5A-4BD0-A646-4B15D600DD9B}"/>
    <cellStyle name="Style 93 9 4" xfId="7546" xr:uid="{4E23A9BA-D27A-4DBD-A565-38478C0E1041}"/>
    <cellStyle name="Style 93 9 4 2" xfId="17593" xr:uid="{8C2BA5C1-4FE1-4F99-8EA8-74A6CC6FE356}"/>
    <cellStyle name="Style 93 9 4 2 2" xfId="36117" xr:uid="{EB4AAEE2-244F-4EDA-B21F-81583B6DE033}"/>
    <cellStyle name="Style 93 9 4 3" xfId="17594" xr:uid="{5AC84AE9-56E4-4BCB-83F7-0C61EAA34924}"/>
    <cellStyle name="Style 93 9 4 3 2" xfId="36118" xr:uid="{B9E03CA9-EED5-4CC3-89F1-FFD28C2A625B}"/>
    <cellStyle name="Style 93 9 5" xfId="17595" xr:uid="{F2AC05F0-271D-4EDA-9586-5E50950B40B7}"/>
    <cellStyle name="Style 93 9 5 2" xfId="17596" xr:uid="{CC1E4715-A906-4064-892C-E894FAABE2D4}"/>
    <cellStyle name="Style 93 9 5 2 2" xfId="36119" xr:uid="{BDFD6128-E2A4-49EF-8EE8-126D5C8ED53E}"/>
    <cellStyle name="Style 93 9 5 3" xfId="17597" xr:uid="{D8ED5287-FA24-47BA-B766-027F4EE7A0DA}"/>
    <cellStyle name="Style 93 9 5 3 2" xfId="36120" xr:uid="{DD459E76-D317-426D-BBA2-E2D00C648FCB}"/>
    <cellStyle name="Style 93 9 5 4" xfId="28176" xr:uid="{68E07514-906D-4B55-B9DA-F3EC19BA02B3}"/>
    <cellStyle name="Style 93 9 6" xfId="17598" xr:uid="{7D664A8D-5618-47FE-B78A-B1067977AD67}"/>
    <cellStyle name="Style 93 9 6 2" xfId="17599" xr:uid="{A30F499A-A37E-44BA-BDF9-825F39160C31}"/>
    <cellStyle name="Style 93 9 6 2 2" xfId="36122" xr:uid="{0A71E528-D22A-4EFD-ADC0-DEA8A6040539}"/>
    <cellStyle name="Style 93 9 6 3" xfId="36121" xr:uid="{4E2C3FA9-DF46-49F7-A668-CBE46174C0CB}"/>
    <cellStyle name="Style 93 9 7" xfId="17600" xr:uid="{E96F5429-5766-4E53-B11E-75B1571246E4}"/>
    <cellStyle name="Style 93 9 7 2" xfId="17601" xr:uid="{8BCD70BA-8F83-4878-BA0C-D4134D46421D}"/>
    <cellStyle name="Style 93 9 7 2 2" xfId="36124" xr:uid="{D9080069-5DC7-4657-8CAB-3A34A9C9F08E}"/>
    <cellStyle name="Style 93 9 7 3" xfId="36123" xr:uid="{D06EA1B1-D42A-43CC-B39B-681298526167}"/>
    <cellStyle name="Style 93 9 8" xfId="17602" xr:uid="{811AE95A-FFE6-4545-9D14-A05D71EEDF5C}"/>
    <cellStyle name="Style 93 9 8 2" xfId="36125" xr:uid="{043228DC-1C7F-426A-9E37-EA6108800B79}"/>
    <cellStyle name="Style 93 9 9" xfId="17603" xr:uid="{32EBE284-9E45-45C3-84F0-F45542FB8A11}"/>
    <cellStyle name="Style 93 9 9 2" xfId="36126" xr:uid="{C45E6929-BBF8-45CA-87DD-26DC05B4C92B}"/>
    <cellStyle name="Style 93_ADDON" xfId="25815" xr:uid="{8ECF1B02-2D1B-4E4F-B7A7-25E648FDF5E7}"/>
    <cellStyle name="Style 94" xfId="3723" xr:uid="{CB7DF262-CD39-4386-BCD5-3C49D9216ADD}"/>
    <cellStyle name="Style 94 10" xfId="7549" xr:uid="{23C67929-9467-4674-96BF-5A1F7EE99E2E}"/>
    <cellStyle name="Style 94 10 2" xfId="17604" xr:uid="{30217BAC-4BA2-48D1-8FC8-8A6B4056D8F4}"/>
    <cellStyle name="Style 94 10 2 2" xfId="36127" xr:uid="{65194B95-B4CD-4F60-BA6D-3D06201E599B}"/>
    <cellStyle name="Style 94 10 3" xfId="17605" xr:uid="{9EBE65E3-8B85-4ED0-A0A7-DD405E75441F}"/>
    <cellStyle name="Style 94 10 3 2" xfId="36128" xr:uid="{E0ED7527-5FF7-4A27-BCE8-34D2964B1F4F}"/>
    <cellStyle name="Style 94 11" xfId="17606" xr:uid="{D8800A3A-46BC-4F60-BAFE-69B35ED02D1A}"/>
    <cellStyle name="Style 94 11 2" xfId="17607" xr:uid="{A4AAC9CF-F33A-4449-9759-44875EF2261B}"/>
    <cellStyle name="Style 94 11 2 2" xfId="36129" xr:uid="{7E61D97F-AA8A-4029-8ABD-8DF3C681CFA2}"/>
    <cellStyle name="Style 94 11 3" xfId="17608" xr:uid="{6FBD82F3-EDCE-4588-B94D-89C0F002A201}"/>
    <cellStyle name="Style 94 11 3 2" xfId="36130" xr:uid="{F66C68C7-3AF0-468B-AB95-3112E5908584}"/>
    <cellStyle name="Style 94 11 4" xfId="26724" xr:uid="{5986BD8F-FA79-4613-8DC6-B8F1982538B1}"/>
    <cellStyle name="Style 94 12" xfId="17609" xr:uid="{7D1DBB19-0BD7-4FA9-8B02-30D6AC55B86B}"/>
    <cellStyle name="Style 94 12 2" xfId="36131" xr:uid="{52650AF5-2911-4BC3-A984-99D06A4A9962}"/>
    <cellStyle name="Style 94 13" xfId="17610" xr:uid="{D9450703-B56A-4433-8163-9C93D004465D}"/>
    <cellStyle name="Style 94 13 2" xfId="36132" xr:uid="{7D1F1385-748A-4D27-8100-8604AA54FDDA}"/>
    <cellStyle name="Style 94 14" xfId="17611" xr:uid="{7A369B13-625B-4596-B25B-FC94E24CD1DB}"/>
    <cellStyle name="Style 94 14 2" xfId="36133" xr:uid="{9E76C215-82EC-41C2-8953-73277DC90A75}"/>
    <cellStyle name="Style 94 15" xfId="17612" xr:uid="{BB8770D9-A683-4986-9D0C-769AA2C76519}"/>
    <cellStyle name="Style 94 15 2" xfId="36134" xr:uid="{F9CE6A07-C238-4D32-ADD4-A1DF7AA5909A}"/>
    <cellStyle name="Style 94 16" xfId="24214" xr:uid="{8FC067CB-A65E-4A32-BF6F-A570C3E74D6E}"/>
    <cellStyle name="Style 94 2" xfId="3724" xr:uid="{48061ECA-85B6-43BA-B378-00B7D8F51C9F}"/>
    <cellStyle name="Style 94 2 10" xfId="17613" xr:uid="{87FBA0C7-69B1-4E4E-B0FC-F4E77DD754AC}"/>
    <cellStyle name="Style 94 2 10 2" xfId="36135" xr:uid="{6924E003-EB4D-4FA8-BD65-AE691D74521C}"/>
    <cellStyle name="Style 94 2 11" xfId="17614" xr:uid="{E43FEE1C-3468-49FD-B5B5-8DC2D0AB844B}"/>
    <cellStyle name="Style 94 2 11 2" xfId="36136" xr:uid="{4455B93E-00C2-4BAF-BBC6-BE9D6216430C}"/>
    <cellStyle name="Style 94 2 12" xfId="24215" xr:uid="{9EB6B17E-6D21-4707-89F8-28E717214CBB}"/>
    <cellStyle name="Style 94 2 2" xfId="7551" xr:uid="{A57E377E-5FFC-43AF-B391-5C823C85C516}"/>
    <cellStyle name="Style 94 2 2 2" xfId="17615" xr:uid="{89F9EA98-E3FB-4946-A011-E18A2A973149}"/>
    <cellStyle name="Style 94 2 2 2 2" xfId="17616" xr:uid="{2AF50A21-4E5A-4A42-BBC8-55459FF6F3D7}"/>
    <cellStyle name="Style 94 2 2 2 2 2" xfId="36138" xr:uid="{40C2F479-4973-4273-B857-260B55A58A0F}"/>
    <cellStyle name="Style 94 2 2 2 3" xfId="36137" xr:uid="{6C303384-2008-423B-AB4F-B55C462BCDB7}"/>
    <cellStyle name="Style 94 2 2 3" xfId="17617" xr:uid="{268EDCBF-4C58-4E5F-9031-E0746BEFCC3B}"/>
    <cellStyle name="Style 94 2 2 3 2" xfId="36139" xr:uid="{58C51A0B-679F-4BE8-B025-A5A2D7FF8B05}"/>
    <cellStyle name="Style 94 2 2 4" xfId="17618" xr:uid="{0BC43547-279A-4979-9A0A-AC28B944D552}"/>
    <cellStyle name="Style 94 2 2 4 2" xfId="36140" xr:uid="{9123EEEA-4761-448F-8BD3-7E6048DDBE3D}"/>
    <cellStyle name="Style 94 2 2 5" xfId="17619" xr:uid="{678B1265-CE5D-47C3-A836-54E37C0BC37A}"/>
    <cellStyle name="Style 94 2 2 5 2" xfId="36141" xr:uid="{86DF8ADE-5B71-4F8E-8DDA-0A43D96DD3ED}"/>
    <cellStyle name="Style 94 2 2 6" xfId="17620" xr:uid="{0DCE58AA-AA7D-4A03-BEB3-56E321B8EAE0}"/>
    <cellStyle name="Style 94 2 2 6 2" xfId="36142" xr:uid="{6C31EC31-8E79-4EF9-B0AE-2A1653325D79}"/>
    <cellStyle name="Style 94 2 3" xfId="7550" xr:uid="{7B5D82BA-62D9-4724-B289-6491FD4975BD}"/>
    <cellStyle name="Style 94 2 3 2" xfId="17621" xr:uid="{87F95D2D-D8C7-48C2-B844-6DBB84754045}"/>
    <cellStyle name="Style 94 2 3 2 2" xfId="36143" xr:uid="{D03D6008-AFCF-4B67-9A4D-728DAC17DEEF}"/>
    <cellStyle name="Style 94 2 3 3" xfId="17622" xr:uid="{A2DE14AA-4E1D-420D-AA4E-E9CF7695D23A}"/>
    <cellStyle name="Style 94 2 3 3 2" xfId="36144" xr:uid="{47E4EE76-B09F-4143-8E6B-A1DC3BFA8A02}"/>
    <cellStyle name="Style 94 2 3 4" xfId="17623" xr:uid="{FFE04B0D-3AC9-48F6-95B7-6F83B156D187}"/>
    <cellStyle name="Style 94 2 3 4 2" xfId="36145" xr:uid="{1CB395B2-49A6-4EF6-A2A7-09B23CB959F3}"/>
    <cellStyle name="Style 94 2 4" xfId="17624" xr:uid="{7F7ED420-0177-4DED-AAE9-C3C586FAD150}"/>
    <cellStyle name="Style 94 2 4 2" xfId="17625" xr:uid="{B8FF3CA3-F57C-4146-BEB2-DBA28A17426E}"/>
    <cellStyle name="Style 94 2 4 2 2" xfId="36147" xr:uid="{72B05934-B726-4E1E-8E74-10EC327ED410}"/>
    <cellStyle name="Style 94 2 4 3" xfId="36146" xr:uid="{862BCA3F-7465-4AC0-AA79-3E7FE7DAD35E}"/>
    <cellStyle name="Style 94 2 5" xfId="17626" xr:uid="{E2FF6DBB-6D10-4B7F-BA06-AD83D29039DC}"/>
    <cellStyle name="Style 94 2 5 2" xfId="17627" xr:uid="{F917065C-F9D8-4E2A-A715-141CAF07C021}"/>
    <cellStyle name="Style 94 2 5 2 2" xfId="36149" xr:uid="{EE96C0C3-E078-41CF-86BE-F2CC51FAC794}"/>
    <cellStyle name="Style 94 2 5 3" xfId="36148" xr:uid="{1C559A78-DD66-4CCF-AD2C-0812AB1124B4}"/>
    <cellStyle name="Style 94 2 6" xfId="17628" xr:uid="{B7180CAB-D7AD-404D-AE52-A63D55939166}"/>
    <cellStyle name="Style 94 2 6 2" xfId="17629" xr:uid="{25BABF2C-4DB2-4670-9C2E-CD430A157DEA}"/>
    <cellStyle name="Style 94 2 6 2 2" xfId="36151" xr:uid="{CA298499-C229-4483-8630-8283A813352C}"/>
    <cellStyle name="Style 94 2 6 3" xfId="36150" xr:uid="{D4D7B9B4-E04C-4B67-B60E-14D5E8BBAC04}"/>
    <cellStyle name="Style 94 2 7" xfId="17630" xr:uid="{6684BD85-1389-40B2-B7A7-3DFD6A86637A}"/>
    <cellStyle name="Style 94 2 7 2" xfId="36152" xr:uid="{DEADE0C3-EAE0-45CB-AB9A-46BBB2BDB8F7}"/>
    <cellStyle name="Style 94 2 8" xfId="17631" xr:uid="{611099D3-9EE6-435A-A7D7-99B8F22154D7}"/>
    <cellStyle name="Style 94 2 8 2" xfId="36153" xr:uid="{FEF3812F-7F4F-4011-9070-E6A3F0305837}"/>
    <cellStyle name="Style 94 2 9" xfId="17632" xr:uid="{29830FE2-922C-4535-9825-7EEEB4491CAB}"/>
    <cellStyle name="Style 94 2 9 2" xfId="36154" xr:uid="{B1284023-E9F3-47DA-9982-69A494648B74}"/>
    <cellStyle name="Style 94 3" xfId="3725" xr:uid="{03A4F253-4026-4FFA-8506-EF5296C1B71B}"/>
    <cellStyle name="Style 94 3 10" xfId="17633" xr:uid="{DB59C2E5-31FD-41DC-9AA1-16F9740F7209}"/>
    <cellStyle name="Style 94 3 10 2" xfId="36155" xr:uid="{7FCFBE27-F3C4-46BA-8647-2F0BF188C045}"/>
    <cellStyle name="Style 94 3 11" xfId="17634" xr:uid="{A57026C5-11A2-43BA-96FC-D499555B44A6}"/>
    <cellStyle name="Style 94 3 11 2" xfId="36156" xr:uid="{F23E3AA0-E892-46FD-BBD4-BC461D476A04}"/>
    <cellStyle name="Style 94 3 12" xfId="17635" xr:uid="{323354BB-5422-4AC8-A1DE-E8E58FDDE740}"/>
    <cellStyle name="Style 94 3 12 2" xfId="36157" xr:uid="{9D5F3146-E831-425E-8C01-AF1B91873544}"/>
    <cellStyle name="Style 94 3 13" xfId="17636" xr:uid="{177B9A59-3D14-4FBE-83B8-B46B707B60C9}"/>
    <cellStyle name="Style 94 3 13 2" xfId="36158" xr:uid="{217E8C86-B19E-4C86-8BEE-764BD2F2D039}"/>
    <cellStyle name="Style 94 3 14" xfId="24216" xr:uid="{9FD830D3-DD55-42B6-86E4-6E6DC0D68052}"/>
    <cellStyle name="Style 94 3 2" xfId="3726" xr:uid="{B1491E6F-7739-4671-896D-DCA793202209}"/>
    <cellStyle name="Style 94 3 2 10" xfId="24217" xr:uid="{BE120C96-7F31-482D-8613-BB16A1F229DB}"/>
    <cellStyle name="Style 94 3 2 2" xfId="7554" xr:uid="{660A8784-02F9-46CC-86D2-4A048CA5E83E}"/>
    <cellStyle name="Style 94 3 2 2 2" xfId="17637" xr:uid="{8B06CB63-BDB4-4AFA-BE42-0D54C6209062}"/>
    <cellStyle name="Style 94 3 2 2 2 2" xfId="36159" xr:uid="{037B8962-3962-4A08-B6D3-8D69FBA3DF2E}"/>
    <cellStyle name="Style 94 3 2 2 3" xfId="17638" xr:uid="{9368E166-7E29-443D-AE6E-F8976410BADB}"/>
    <cellStyle name="Style 94 3 2 2 3 2" xfId="36160" xr:uid="{B80937D2-A5D4-4614-859E-0DF8E6F8A103}"/>
    <cellStyle name="Style 94 3 2 2 4" xfId="17639" xr:uid="{62E05E71-DC5D-4DF0-97A2-DA59E9BFC38C}"/>
    <cellStyle name="Style 94 3 2 2 4 2" xfId="36161" xr:uid="{189C3E66-811E-46AF-8FE7-45097DB1A0C6}"/>
    <cellStyle name="Style 94 3 2 3" xfId="7553" xr:uid="{CA8627FC-6C08-49E9-934E-0313AE5CD5DD}"/>
    <cellStyle name="Style 94 3 2 3 2" xfId="17640" xr:uid="{006F3276-38C3-419F-97FB-A99BF52614D1}"/>
    <cellStyle name="Style 94 3 2 3 2 2" xfId="36162" xr:uid="{932DECBA-F9F5-49BA-BE87-CAE6361ED833}"/>
    <cellStyle name="Style 94 3 2 3 3" xfId="17641" xr:uid="{F0D0E90B-5BA3-402F-A019-B9323BFAFDDF}"/>
    <cellStyle name="Style 94 3 2 3 3 2" xfId="36163" xr:uid="{70080A4F-9071-49CF-B480-F4994ED1570F}"/>
    <cellStyle name="Style 94 3 2 4" xfId="17642" xr:uid="{4DB8ED04-28DF-4A49-BB90-78B1DB5F953F}"/>
    <cellStyle name="Style 94 3 2 4 2" xfId="17643" xr:uid="{304C09E8-6D23-4F42-9255-074F4FFD3DAE}"/>
    <cellStyle name="Style 94 3 2 4 2 2" xfId="36165" xr:uid="{9A5BDC75-0E92-49A3-83C1-255E1A8A064C}"/>
    <cellStyle name="Style 94 3 2 4 3" xfId="36164" xr:uid="{799C4A1A-FD0C-4B43-98A8-DE04B0AEB002}"/>
    <cellStyle name="Style 94 3 2 5" xfId="17644" xr:uid="{22AD76C3-ACB2-4F21-8761-2CC068E7E365}"/>
    <cellStyle name="Style 94 3 2 5 2" xfId="17645" xr:uid="{462D9C93-3C93-453B-A4AE-4E2889E7E87E}"/>
    <cellStyle name="Style 94 3 2 5 2 2" xfId="36167" xr:uid="{33807D77-AE8B-47A0-9D66-39C2A588CE38}"/>
    <cellStyle name="Style 94 3 2 5 3" xfId="36166" xr:uid="{A7436204-985C-47A0-8AC8-C9F9FB8794EC}"/>
    <cellStyle name="Style 94 3 2 6" xfId="17646" xr:uid="{72F330B2-C2ED-46B9-9089-CBB77DE292AD}"/>
    <cellStyle name="Style 94 3 2 6 2" xfId="17647" xr:uid="{16F26F19-21BC-4AFE-B178-E176900BFBF3}"/>
    <cellStyle name="Style 94 3 2 6 2 2" xfId="36169" xr:uid="{55FB8DD1-75C2-4845-97A6-EE0EE499E599}"/>
    <cellStyle name="Style 94 3 2 6 3" xfId="36168" xr:uid="{2BCE6916-820A-44C4-84F9-F9CCAA651703}"/>
    <cellStyle name="Style 94 3 2 7" xfId="17648" xr:uid="{07557DF2-95C0-42D5-94BA-AC468206D059}"/>
    <cellStyle name="Style 94 3 2 7 2" xfId="36170" xr:uid="{E3CBDD04-741B-493B-AC3B-CF2CFE1D09DB}"/>
    <cellStyle name="Style 94 3 2 8" xfId="17649" xr:uid="{B9430298-5DE8-47AE-B6F4-D6DE0F181050}"/>
    <cellStyle name="Style 94 3 2 8 2" xfId="36171" xr:uid="{A27A35EE-6420-4C52-8A1C-9731352E1189}"/>
    <cellStyle name="Style 94 3 2 9" xfId="17650" xr:uid="{8A3BF489-F901-4D6B-B206-ECB2D1FDB358}"/>
    <cellStyle name="Style 94 3 2 9 2" xfId="36172" xr:uid="{0FC4E877-BB68-4032-B80C-F19219E68E8D}"/>
    <cellStyle name="Style 94 3 3" xfId="3727" xr:uid="{37C687B7-2C2B-4F75-86BA-BF9C89D39A0D}"/>
    <cellStyle name="Style 94 3 3 10" xfId="17651" xr:uid="{819A112A-0F0E-4904-BDE7-8FC2A159154D}"/>
    <cellStyle name="Style 94 3 3 10 2" xfId="36173" xr:uid="{12382D5D-F2E5-49CE-9327-659E30A6CB30}"/>
    <cellStyle name="Style 94 3 3 11" xfId="17652" xr:uid="{B715C45C-3518-45D8-AE1A-36AC370AD3A1}"/>
    <cellStyle name="Style 94 3 3 11 2" xfId="36174" xr:uid="{01F02FFD-6FF0-415C-899E-95F8428E2701}"/>
    <cellStyle name="Style 94 3 3 12" xfId="24218" xr:uid="{0DAB7831-0354-4FFB-BD5C-08D390E2748C}"/>
    <cellStyle name="Style 94 3 3 2" xfId="3728" xr:uid="{37195485-CC7F-404F-A15D-0F52A6385EA5}"/>
    <cellStyle name="Style 94 3 3 2 10" xfId="24219" xr:uid="{7BFC00A7-EF16-40EF-8FDE-E2B15CECD26F}"/>
    <cellStyle name="Style 94 3 3 2 2" xfId="7557" xr:uid="{53576332-41D6-4B9A-98E1-010D07911F2D}"/>
    <cellStyle name="Style 94 3 3 2 2 2" xfId="17653" xr:uid="{4EB4E425-0393-400D-9647-FA9A46DD9A31}"/>
    <cellStyle name="Style 94 3 3 2 2 2 2" xfId="36175" xr:uid="{227F6901-9BCB-4E0B-99EB-8642C1F88BDF}"/>
    <cellStyle name="Style 94 3 3 2 2 3" xfId="17654" xr:uid="{AD0BEF9D-9F3D-4F27-BE81-9DF7C3727BB1}"/>
    <cellStyle name="Style 94 3 3 2 2 3 2" xfId="36176" xr:uid="{2D27DD2C-D13B-4884-B8C4-47371900CE08}"/>
    <cellStyle name="Style 94 3 3 2 2 4" xfId="17655" xr:uid="{5F09DD2B-AE31-46EA-89AE-0A915613A857}"/>
    <cellStyle name="Style 94 3 3 2 2 4 2" xfId="36177" xr:uid="{6195211A-D696-4C80-8D20-8BD856489D12}"/>
    <cellStyle name="Style 94 3 3 2 3" xfId="7556" xr:uid="{E28CA51D-9C15-43B9-919D-D09EFD0BF699}"/>
    <cellStyle name="Style 94 3 3 2 3 2" xfId="17656" xr:uid="{36DE2AAD-8643-4099-99A7-B5071E20AABD}"/>
    <cellStyle name="Style 94 3 3 2 3 2 2" xfId="36178" xr:uid="{8D6FEA10-5EE6-4F02-8CDA-5468BDB5FEC6}"/>
    <cellStyle name="Style 94 3 3 2 3 3" xfId="17657" xr:uid="{1C110249-CDC8-44A2-BB52-A06317EC155C}"/>
    <cellStyle name="Style 94 3 3 2 3 3 2" xfId="36179" xr:uid="{FAB58CED-DC59-4662-8DA8-FB6256F4E1C6}"/>
    <cellStyle name="Style 94 3 3 2 4" xfId="17658" xr:uid="{2D7EF286-05ED-4C6E-AAC8-BE2DB7BE47A4}"/>
    <cellStyle name="Style 94 3 3 2 4 2" xfId="17659" xr:uid="{C0E0BD64-ED2A-45A8-BB8D-C8B80F0339BB}"/>
    <cellStyle name="Style 94 3 3 2 4 2 2" xfId="36181" xr:uid="{299AFDBD-48CC-46BD-B96A-8093B8ADF425}"/>
    <cellStyle name="Style 94 3 3 2 4 3" xfId="36180" xr:uid="{46024540-5E30-4525-B402-9F3CFAB2F800}"/>
    <cellStyle name="Style 94 3 3 2 5" xfId="17660" xr:uid="{CF68B5E8-E962-496D-96BF-45CE82058EBD}"/>
    <cellStyle name="Style 94 3 3 2 5 2" xfId="17661" xr:uid="{A78F6728-448B-4212-8551-AE60244A28B1}"/>
    <cellStyle name="Style 94 3 3 2 5 2 2" xfId="36183" xr:uid="{F92D379A-F736-4304-AF3D-180F9292F73D}"/>
    <cellStyle name="Style 94 3 3 2 5 3" xfId="36182" xr:uid="{51BE4C66-4106-4331-8509-B7395E885D2A}"/>
    <cellStyle name="Style 94 3 3 2 6" xfId="17662" xr:uid="{269A738A-0DFF-4584-A900-4FCDF719F48D}"/>
    <cellStyle name="Style 94 3 3 2 6 2" xfId="17663" xr:uid="{7B228EE6-2F33-42A8-80F6-F0339717BFA8}"/>
    <cellStyle name="Style 94 3 3 2 6 2 2" xfId="36185" xr:uid="{FA1FD14E-7374-4CAE-B5D1-899AF428E526}"/>
    <cellStyle name="Style 94 3 3 2 6 3" xfId="36184" xr:uid="{153AD71F-67B0-4A18-85EC-D70D9BE3EB47}"/>
    <cellStyle name="Style 94 3 3 2 7" xfId="17664" xr:uid="{2ADDC55C-4E5C-44DD-90E4-563F478F1F2C}"/>
    <cellStyle name="Style 94 3 3 2 7 2" xfId="36186" xr:uid="{74EFBCA8-D4A3-4DC1-BAAE-6910B2102020}"/>
    <cellStyle name="Style 94 3 3 2 8" xfId="17665" xr:uid="{7888947B-118F-4227-B28D-3655A4A454CA}"/>
    <cellStyle name="Style 94 3 3 2 8 2" xfId="36187" xr:uid="{920CD99B-2AC4-4CCD-89FA-6EAF2E782D4B}"/>
    <cellStyle name="Style 94 3 3 2 9" xfId="17666" xr:uid="{4857ACBE-0AA2-48FD-B1DD-2B1FD6D42A4E}"/>
    <cellStyle name="Style 94 3 3 2 9 2" xfId="36188" xr:uid="{5C18BA19-A65D-41B0-A9F0-7E85C5A60AAD}"/>
    <cellStyle name="Style 94 3 3 3" xfId="7558" xr:uid="{8F4F95B2-C3FE-4A7C-9683-3D27A7D3B6EB}"/>
    <cellStyle name="Style 94 3 3 3 2" xfId="7559" xr:uid="{7A82E164-2E68-4707-B76F-3D9AE4C9D978}"/>
    <cellStyle name="Style 94 3 3 3 2 2" xfId="17667" xr:uid="{90BD654A-E323-4087-8BA7-0267FC9FCDAE}"/>
    <cellStyle name="Style 94 3 3 3 2 2 2" xfId="36189" xr:uid="{DF33E749-E503-40DA-831E-5A61146C396B}"/>
    <cellStyle name="Style 94 3 3 3 2 3" xfId="17668" xr:uid="{16C0B28D-33C4-4D78-B5F1-676AF7203C03}"/>
    <cellStyle name="Style 94 3 3 3 2 3 2" xfId="36190" xr:uid="{45E85BF9-B27B-4FE1-A3C6-159BB3CFC951}"/>
    <cellStyle name="Style 94 3 3 3 3" xfId="17669" xr:uid="{0C24BDFC-DBD3-41EC-B60D-84C88ABB20BF}"/>
    <cellStyle name="Style 94 3 3 3 3 2" xfId="36191" xr:uid="{59732FB0-DCDD-4D7A-9AF1-83AE423F6A81}"/>
    <cellStyle name="Style 94 3 3 3 4" xfId="17670" xr:uid="{44E765E5-71D0-44AD-8E4B-8BF703C43564}"/>
    <cellStyle name="Style 94 3 3 3 4 2" xfId="36192" xr:uid="{CE75F660-7CAF-49EF-A5AF-C68F109E1C55}"/>
    <cellStyle name="Style 94 3 3 3 5" xfId="17671" xr:uid="{18F78DA8-E872-43F1-B842-861AF43C9DEC}"/>
    <cellStyle name="Style 94 3 3 3 5 2" xfId="36193" xr:uid="{92CFB1C4-A16A-4EF5-BE40-EAE4996CD170}"/>
    <cellStyle name="Style 94 3 3 3 6" xfId="17672" xr:uid="{8351A51F-955C-414A-A763-1F4047BDA3DA}"/>
    <cellStyle name="Style 94 3 3 3 6 2" xfId="36194" xr:uid="{A803DF7E-3114-4A1E-BE17-3BC25B15E499}"/>
    <cellStyle name="Style 94 3 3 3 7" xfId="24220" xr:uid="{0E09499E-3F2E-4FA0-8A95-40715EAA0F0D}"/>
    <cellStyle name="Style 94 3 3 4" xfId="7560" xr:uid="{4A0C8E4D-5E5F-4034-8AD2-9F40B1AE97F2}"/>
    <cellStyle name="Style 94 3 3 4 2" xfId="17673" xr:uid="{7CEADD54-4167-4876-A6FD-0BEEBC7CBCE2}"/>
    <cellStyle name="Style 94 3 3 4 2 2" xfId="36195" xr:uid="{009B17B9-BBB4-46F4-BFA2-F19A170546E0}"/>
    <cellStyle name="Style 94 3 3 4 3" xfId="17674" xr:uid="{EA513681-06B2-4115-9E8B-CF7802789CEF}"/>
    <cellStyle name="Style 94 3 3 4 3 2" xfId="36196" xr:uid="{4E2F057B-AF92-45E7-B118-3D83D895511B}"/>
    <cellStyle name="Style 94 3 3 4 4" xfId="17675" xr:uid="{7E5AFB93-281B-44B9-BF81-87CCE11A6970}"/>
    <cellStyle name="Style 94 3 3 4 4 2" xfId="36197" xr:uid="{4667C33B-3C7C-45A1-8CD4-106C65F8D3EE}"/>
    <cellStyle name="Style 94 3 3 5" xfId="7561" xr:uid="{39AAEEEF-85A4-40E2-936D-CEBDD2ACC5B7}"/>
    <cellStyle name="Style 94 3 3 5 2" xfId="17676" xr:uid="{1574736A-A08E-4EF0-959D-F79DF75E4B2E}"/>
    <cellStyle name="Style 94 3 3 5 2 2" xfId="36198" xr:uid="{21ED3838-0DA5-4B34-AF39-FD21C371C04A}"/>
    <cellStyle name="Style 94 3 3 5 3" xfId="17677" xr:uid="{B082A526-A08F-4609-9797-E5CDC4B2EAE2}"/>
    <cellStyle name="Style 94 3 3 5 3 2" xfId="36199" xr:uid="{5F85AF46-C54C-468E-8450-E2F0488AD8F8}"/>
    <cellStyle name="Style 94 3 3 6" xfId="7555" xr:uid="{74927BB6-01EF-4C7A-9C5E-9A4ADECED8E8}"/>
    <cellStyle name="Style 94 3 3 6 2" xfId="17678" xr:uid="{6645AC4E-6CB6-41DB-8323-219C197AA4E2}"/>
    <cellStyle name="Style 94 3 3 6 2 2" xfId="36200" xr:uid="{9A7FE220-F823-4AEC-B5FB-A639DCE411F1}"/>
    <cellStyle name="Style 94 3 3 6 3" xfId="17679" xr:uid="{AD2275E9-D247-4CF4-A4A1-CD521097844F}"/>
    <cellStyle name="Style 94 3 3 6 3 2" xfId="36201" xr:uid="{DB31F049-DA95-456B-8413-D849679DADF0}"/>
    <cellStyle name="Style 94 3 3 7" xfId="17680" xr:uid="{4C95369D-DA97-424B-A6D2-158A8A6D0CFC}"/>
    <cellStyle name="Style 94 3 3 7 2" xfId="17681" xr:uid="{1144D854-043E-4A9F-9AC7-64C5947E5159}"/>
    <cellStyle name="Style 94 3 3 7 2 2" xfId="36203" xr:uid="{5C46D0AA-F9A3-4503-B5EF-CA00AD3BC95C}"/>
    <cellStyle name="Style 94 3 3 7 3" xfId="36202" xr:uid="{80198DB3-E914-4D24-8373-2B18AA59823E}"/>
    <cellStyle name="Style 94 3 3 8" xfId="17682" xr:uid="{A4780189-9F12-40E8-BB5D-D630339B11A5}"/>
    <cellStyle name="Style 94 3 3 8 2" xfId="36204" xr:uid="{618FA22C-A7FC-48C3-B4B2-9A3D77C85727}"/>
    <cellStyle name="Style 94 3 3 9" xfId="17683" xr:uid="{3163FECF-C1B9-4920-BE4B-48AEA1EA4B3B}"/>
    <cellStyle name="Style 94 3 3 9 2" xfId="36205" xr:uid="{DF41A63B-F985-4501-92A0-6CD39CEAB0B6}"/>
    <cellStyle name="Style 94 3 4" xfId="3729" xr:uid="{1A59A717-7C9F-4E07-9610-A17C7B294D67}"/>
    <cellStyle name="Style 94 3 4 10" xfId="17684" xr:uid="{E8393FF3-C27C-4C93-9E80-9C95C065FF29}"/>
    <cellStyle name="Style 94 3 4 10 2" xfId="36206" xr:uid="{4B5C3464-9759-4B84-B84B-696012AFA4D9}"/>
    <cellStyle name="Style 94 3 4 11" xfId="24221" xr:uid="{AD23C7F9-CE45-43D6-8C06-FE19C9D01D01}"/>
    <cellStyle name="Style 94 3 4 2" xfId="3730" xr:uid="{FB4D146C-0CB9-474F-91A6-6FF580B6D4F1}"/>
    <cellStyle name="Style 94 3 4 2 10" xfId="24222" xr:uid="{2C00E6D0-AB58-4138-A05E-F1D18801B93D}"/>
    <cellStyle name="Style 94 3 4 2 2" xfId="7564" xr:uid="{F775AE73-D6FA-4BA8-82E4-8B3FE51FBAB6}"/>
    <cellStyle name="Style 94 3 4 2 2 2" xfId="17685" xr:uid="{579752A2-3700-42CD-ACAF-E58E75010ED1}"/>
    <cellStyle name="Style 94 3 4 2 2 2 2" xfId="36207" xr:uid="{85E27116-6E03-4C91-AB69-8743ABB9BBE9}"/>
    <cellStyle name="Style 94 3 4 2 2 3" xfId="17686" xr:uid="{013C2AB7-DB99-4836-95E0-3DFAEB62601B}"/>
    <cellStyle name="Style 94 3 4 2 2 3 2" xfId="36208" xr:uid="{806CDF1E-198B-419A-A256-E833422890E9}"/>
    <cellStyle name="Style 94 3 4 2 2 4" xfId="17687" xr:uid="{ABCEC1E0-89C0-4B08-AB6D-2B5B352A2287}"/>
    <cellStyle name="Style 94 3 4 2 2 4 2" xfId="36209" xr:uid="{AF61536C-1D23-45B5-8AF5-D8BCA083F563}"/>
    <cellStyle name="Style 94 3 4 2 3" xfId="7563" xr:uid="{F245AA40-22AE-4A14-A98B-EA72F65CEBE6}"/>
    <cellStyle name="Style 94 3 4 2 3 2" xfId="17688" xr:uid="{D91A0B54-2686-482A-A2F3-DAC8CEB2A017}"/>
    <cellStyle name="Style 94 3 4 2 3 2 2" xfId="36210" xr:uid="{44701C20-3907-4B55-9B79-D376A52BB1E1}"/>
    <cellStyle name="Style 94 3 4 2 3 3" xfId="17689" xr:uid="{5CEA0A0B-7685-4D21-A7C9-6D31030F27EA}"/>
    <cellStyle name="Style 94 3 4 2 3 3 2" xfId="36211" xr:uid="{38BD93BB-14D2-4202-8E1C-8EEB83A0A823}"/>
    <cellStyle name="Style 94 3 4 2 4" xfId="17690" xr:uid="{B93C7112-A4F4-4C63-B728-75EA4BC54EED}"/>
    <cellStyle name="Style 94 3 4 2 4 2" xfId="17691" xr:uid="{A87FB289-B5BC-49A8-8AD5-285E0F97BBA5}"/>
    <cellStyle name="Style 94 3 4 2 4 2 2" xfId="36213" xr:uid="{56FEE272-554F-44F2-995E-768315803C83}"/>
    <cellStyle name="Style 94 3 4 2 4 3" xfId="36212" xr:uid="{BBA48CA7-D187-430A-A3EB-9ADF2A1E3870}"/>
    <cellStyle name="Style 94 3 4 2 5" xfId="17692" xr:uid="{67F0BFDB-D572-4B55-9B0F-2B4C00F92AB6}"/>
    <cellStyle name="Style 94 3 4 2 5 2" xfId="17693" xr:uid="{E7426609-0419-4E4F-B563-631C4FA48A83}"/>
    <cellStyle name="Style 94 3 4 2 5 2 2" xfId="36215" xr:uid="{AAD5D02E-6A99-428E-A07E-A5BECB944AFF}"/>
    <cellStyle name="Style 94 3 4 2 5 3" xfId="36214" xr:uid="{71BC253B-1163-4E32-B483-8EBCA6941601}"/>
    <cellStyle name="Style 94 3 4 2 6" xfId="17694" xr:uid="{E7A92573-2152-43CE-B578-015FF76AB56D}"/>
    <cellStyle name="Style 94 3 4 2 6 2" xfId="17695" xr:uid="{E056E021-4BC3-434E-B210-EC0D434BAFA2}"/>
    <cellStyle name="Style 94 3 4 2 6 2 2" xfId="36217" xr:uid="{70EF3FE1-E816-4F70-B72F-5EDC2F64B228}"/>
    <cellStyle name="Style 94 3 4 2 6 3" xfId="36216" xr:uid="{A961893B-1A1F-455D-BA37-2ABB5EA8139E}"/>
    <cellStyle name="Style 94 3 4 2 7" xfId="17696" xr:uid="{7649EB50-ECE7-4561-8340-EDC6F01303CD}"/>
    <cellStyle name="Style 94 3 4 2 7 2" xfId="36218" xr:uid="{4D02F76D-91C2-446E-A554-8433B09BB00C}"/>
    <cellStyle name="Style 94 3 4 2 8" xfId="17697" xr:uid="{28670F2B-1F36-408C-B189-A7B699084E8B}"/>
    <cellStyle name="Style 94 3 4 2 8 2" xfId="36219" xr:uid="{F1B7400C-ACEB-433F-8AAD-B7EB7E79BE50}"/>
    <cellStyle name="Style 94 3 4 2 9" xfId="17698" xr:uid="{8AE86E16-4542-47FA-9F7A-F3BDAF66F77C}"/>
    <cellStyle name="Style 94 3 4 2 9 2" xfId="36220" xr:uid="{0A03B180-3C69-4686-AB98-ABEF475CB6D3}"/>
    <cellStyle name="Style 94 3 4 3" xfId="7565" xr:uid="{08EBD679-A92D-4CC1-8511-0BE487FBF979}"/>
    <cellStyle name="Style 94 3 4 3 2" xfId="17699" xr:uid="{003636BD-A9D1-4B4C-A149-4939BAD6EE72}"/>
    <cellStyle name="Style 94 3 4 3 2 2" xfId="36221" xr:uid="{96AC5F52-D6E4-41D9-A9C2-CA291C1C84BB}"/>
    <cellStyle name="Style 94 3 4 3 3" xfId="17700" xr:uid="{955FFD74-4343-4335-8631-1F949CC1F8AE}"/>
    <cellStyle name="Style 94 3 4 3 3 2" xfId="36222" xr:uid="{EF01E1A2-C988-418E-BBFC-398DCB992146}"/>
    <cellStyle name="Style 94 3 4 3 4" xfId="17701" xr:uid="{B1BF72F5-4FF4-4544-8E45-096567EA3E18}"/>
    <cellStyle name="Style 94 3 4 3 4 2" xfId="36223" xr:uid="{7EFA2B6D-5739-4684-9A3D-35F6A4D546C5}"/>
    <cellStyle name="Style 94 3 4 4" xfId="7562" xr:uid="{E0E81878-CEED-4393-8427-3C889B229ABA}"/>
    <cellStyle name="Style 94 3 4 4 2" xfId="17702" xr:uid="{B6C905F5-5155-4660-8F63-74A98B6B3ADA}"/>
    <cellStyle name="Style 94 3 4 4 2 2" xfId="36224" xr:uid="{F82657B5-F2D4-4944-AFFC-43943FFEF70D}"/>
    <cellStyle name="Style 94 3 4 4 3" xfId="17703" xr:uid="{A056FEC2-9821-4596-9227-986CBCBF4ECD}"/>
    <cellStyle name="Style 94 3 4 4 3 2" xfId="36225" xr:uid="{EC900CD8-D5AC-4CC8-B0B8-135E00D3291E}"/>
    <cellStyle name="Style 94 3 4 5" xfId="17704" xr:uid="{96DEBFE8-CDAF-46C3-8985-DD2C2900F2E3}"/>
    <cellStyle name="Style 94 3 4 5 2" xfId="17705" xr:uid="{F799FF12-1C1E-4235-8F91-3DBF38383B66}"/>
    <cellStyle name="Style 94 3 4 5 2 2" xfId="36227" xr:uid="{C77FF9B9-A022-4034-92EF-27F2A1003FED}"/>
    <cellStyle name="Style 94 3 4 5 3" xfId="36226" xr:uid="{977161D7-D49A-450D-9895-0C87EB5FE12A}"/>
    <cellStyle name="Style 94 3 4 6" xfId="17706" xr:uid="{F75E2E13-8881-40DF-B85F-0501F7E0E343}"/>
    <cellStyle name="Style 94 3 4 6 2" xfId="17707" xr:uid="{77262038-A5B7-471F-8CB8-959EB911C6EC}"/>
    <cellStyle name="Style 94 3 4 6 2 2" xfId="36229" xr:uid="{9BE990EE-ECB7-4591-9EDE-412578CACDE8}"/>
    <cellStyle name="Style 94 3 4 6 3" xfId="36228" xr:uid="{EEC627E7-9E7D-4D60-BA38-3F70443B03F8}"/>
    <cellStyle name="Style 94 3 4 7" xfId="17708" xr:uid="{153AC6A2-772A-4406-B7C3-B536C8C8721A}"/>
    <cellStyle name="Style 94 3 4 7 2" xfId="17709" xr:uid="{DAF77811-3E73-4E3B-B0C8-72DA43F18DAA}"/>
    <cellStyle name="Style 94 3 4 7 2 2" xfId="36231" xr:uid="{AC499264-C468-4A4C-9EC6-8839FEDC4E42}"/>
    <cellStyle name="Style 94 3 4 7 3" xfId="36230" xr:uid="{0F57F8FC-22F4-49EA-AC61-A71C1737A10D}"/>
    <cellStyle name="Style 94 3 4 8" xfId="17710" xr:uid="{6D6D3610-28A5-41A2-931F-144C21C4D0BE}"/>
    <cellStyle name="Style 94 3 4 8 2" xfId="36232" xr:uid="{E78DF1DC-1A88-418C-B8D0-DC849EBFCECA}"/>
    <cellStyle name="Style 94 3 4 9" xfId="17711" xr:uid="{998EE416-4B98-409D-9F0B-B6E4E2590ED1}"/>
    <cellStyle name="Style 94 3 4 9 2" xfId="36233" xr:uid="{525DEB51-7C45-477E-A119-BAB68EEA4C1D}"/>
    <cellStyle name="Style 94 3 5" xfId="7566" xr:uid="{E1D1D099-5E4D-40AA-A32D-C5BAA23B357A}"/>
    <cellStyle name="Style 94 3 5 2" xfId="17712" xr:uid="{67BE9617-12ED-42ED-A075-C3CF2DF471AD}"/>
    <cellStyle name="Style 94 3 5 2 2" xfId="17713" xr:uid="{9BCA1A36-109C-43EF-8DB4-55F66A8F3FD7}"/>
    <cellStyle name="Style 94 3 5 2 2 2" xfId="36235" xr:uid="{76ECD32E-23E4-491C-B31F-4E94646382E0}"/>
    <cellStyle name="Style 94 3 5 2 3" xfId="36234" xr:uid="{74E2310A-98DF-4F4B-BF27-B05EDA63755D}"/>
    <cellStyle name="Style 94 3 5 3" xfId="17714" xr:uid="{64432DBB-83EE-4D09-B05A-63CDF751315B}"/>
    <cellStyle name="Style 94 3 5 3 2" xfId="36236" xr:uid="{DCFBE90E-BB48-4BAA-B527-65852F0FFBFC}"/>
    <cellStyle name="Style 94 3 5 4" xfId="17715" xr:uid="{2CE647D9-48B5-453A-990E-FFC398155FDF}"/>
    <cellStyle name="Style 94 3 5 4 2" xfId="36237" xr:uid="{82626320-7F64-4ACA-959E-C7FE305E5151}"/>
    <cellStyle name="Style 94 3 5 5" xfId="17716" xr:uid="{DCA8A945-EF2F-4F2E-9217-853336139CA0}"/>
    <cellStyle name="Style 94 3 5 5 2" xfId="36238" xr:uid="{EA159145-CA9B-42D0-811C-1FFC7D7E832A}"/>
    <cellStyle name="Style 94 3 5 6" xfId="17717" xr:uid="{B6DF99C1-FC03-4308-8F07-0736A9BD44BD}"/>
    <cellStyle name="Style 94 3 5 6 2" xfId="36239" xr:uid="{95838C3F-EEC5-4D0C-B8C5-057D4C280ADC}"/>
    <cellStyle name="Style 94 3 6" xfId="7567" xr:uid="{43BC2E20-403E-46CE-9E53-4FA42C825D9B}"/>
    <cellStyle name="Style 94 3 6 2" xfId="17718" xr:uid="{65E77CE8-2DCC-4DBE-A0A0-05722C68A4FC}"/>
    <cellStyle name="Style 94 3 6 2 2" xfId="36240" xr:uid="{2AFD8849-6969-48D3-BE07-24B5FA18B5F5}"/>
    <cellStyle name="Style 94 3 6 3" xfId="17719" xr:uid="{3066A707-4B67-4812-91D5-5125911F9B80}"/>
    <cellStyle name="Style 94 3 6 3 2" xfId="36241" xr:uid="{903DA3EF-6D1E-4BC4-9921-140C092A4B5C}"/>
    <cellStyle name="Style 94 3 6 4" xfId="17720" xr:uid="{BA1F3719-8B8F-432A-AE62-B55B027E906D}"/>
    <cellStyle name="Style 94 3 6 4 2" xfId="36242" xr:uid="{60D56A44-6B0F-4608-ABB3-FA6BF07F541A}"/>
    <cellStyle name="Style 94 3 7" xfId="7552" xr:uid="{C1BD3162-1E25-43C5-B2CD-FBF0754B1646}"/>
    <cellStyle name="Style 94 3 7 2" xfId="17721" xr:uid="{1EF14E49-37B4-410D-99E7-D3C1DEB644C1}"/>
    <cellStyle name="Style 94 3 7 2 2" xfId="36243" xr:uid="{6670827E-48A2-472F-8044-73CB0EE3C4C1}"/>
    <cellStyle name="Style 94 3 7 3" xfId="17722" xr:uid="{498D57CB-B3F5-428B-9C91-75B24A069A20}"/>
    <cellStyle name="Style 94 3 7 3 2" xfId="36244" xr:uid="{B823A266-24D1-4658-B954-B564D2803EA4}"/>
    <cellStyle name="Style 94 3 8" xfId="17723" xr:uid="{4ED98979-3399-4AED-8508-EBF452D8B4C0}"/>
    <cellStyle name="Style 94 3 8 2" xfId="17724" xr:uid="{802C49B6-2D43-45F3-8D3B-6075B63F8A33}"/>
    <cellStyle name="Style 94 3 8 2 2" xfId="36246" xr:uid="{5EF1B312-A20D-464E-9435-AD6920AD5252}"/>
    <cellStyle name="Style 94 3 8 3" xfId="36245" xr:uid="{A3895051-967C-4529-A1B8-B09D663D4E72}"/>
    <cellStyle name="Style 94 3 9" xfId="17725" xr:uid="{9EA438C5-4FFA-47E1-96AF-41366594BD1B}"/>
    <cellStyle name="Style 94 3 9 2" xfId="17726" xr:uid="{83737ED7-BAA3-4DF8-8F79-6536EFC8406D}"/>
    <cellStyle name="Style 94 3 9 2 2" xfId="36248" xr:uid="{59E93693-7C22-48DD-8A6D-581D91FEC5AD}"/>
    <cellStyle name="Style 94 3 9 3" xfId="36247" xr:uid="{C0BEFE73-CD92-4B21-A7E8-8A39D73F73EF}"/>
    <cellStyle name="Style 94 4" xfId="3731" xr:uid="{9FA7A184-3629-4B4B-8020-F5F612C63C2C}"/>
    <cellStyle name="Style 94 4 10" xfId="17727" xr:uid="{0E4F009F-BE78-4733-8ED2-EA5375747662}"/>
    <cellStyle name="Style 94 4 10 2" xfId="36249" xr:uid="{C317E4A5-8FBE-48B8-BA45-59E26238A689}"/>
    <cellStyle name="Style 94 4 11" xfId="17728" xr:uid="{68A476B0-1493-4760-93AD-36363E11C8C3}"/>
    <cellStyle name="Style 94 4 11 2" xfId="36250" xr:uid="{9FD0BD66-640D-4ADC-8108-B3F5F82A5CB7}"/>
    <cellStyle name="Style 94 4 12" xfId="24223" xr:uid="{B815AFED-4682-4278-96E2-22183CDF5C58}"/>
    <cellStyle name="Style 94 4 2" xfId="3732" xr:uid="{D731236C-DE1B-45B1-90BA-EDE73FD874EE}"/>
    <cellStyle name="Style 94 4 2 10" xfId="24224" xr:uid="{4CC9E38E-29BC-46C5-AAAB-62D6A83EDAB3}"/>
    <cellStyle name="Style 94 4 2 2" xfId="7570" xr:uid="{32ADDD32-076E-41E6-B625-B0A5327FE5C2}"/>
    <cellStyle name="Style 94 4 2 2 2" xfId="17729" xr:uid="{1096C089-6784-43E9-AEDB-258F1A3AFD01}"/>
    <cellStyle name="Style 94 4 2 2 2 2" xfId="36251" xr:uid="{C6229B05-26A3-45B2-8347-C9F25CAF5B37}"/>
    <cellStyle name="Style 94 4 2 2 3" xfId="17730" xr:uid="{ED6F782A-E5C2-4EC8-BECA-366CCCE39DAB}"/>
    <cellStyle name="Style 94 4 2 2 3 2" xfId="36252" xr:uid="{51EC24F4-7193-4F04-86D7-BFB883797152}"/>
    <cellStyle name="Style 94 4 2 2 4" xfId="17731" xr:uid="{35987651-39F6-49A9-A8EA-6B135863D6A2}"/>
    <cellStyle name="Style 94 4 2 2 4 2" xfId="36253" xr:uid="{81428C13-0C21-41FD-AB6B-A75F3B6F9E9F}"/>
    <cellStyle name="Style 94 4 2 3" xfId="7569" xr:uid="{594B2A1A-DA29-47C3-ABD2-A27CBB26FCF9}"/>
    <cellStyle name="Style 94 4 2 3 2" xfId="17732" xr:uid="{45222978-D795-4705-8A1E-DB8AECCB663F}"/>
    <cellStyle name="Style 94 4 2 3 2 2" xfId="36254" xr:uid="{8E5B6847-ECD8-4F41-9F55-D0FE697BBDB7}"/>
    <cellStyle name="Style 94 4 2 3 3" xfId="17733" xr:uid="{284C61C5-0F31-4E5C-8A6C-B4E53B741FFE}"/>
    <cellStyle name="Style 94 4 2 3 3 2" xfId="36255" xr:uid="{FDEBF7F9-3A69-4B85-A046-14F43CFC205D}"/>
    <cellStyle name="Style 94 4 2 4" xfId="17734" xr:uid="{81A789F4-A2B5-4F72-B602-9FCCD46C1F12}"/>
    <cellStyle name="Style 94 4 2 4 2" xfId="17735" xr:uid="{B008F7ED-8751-4018-96EC-1F82741DA285}"/>
    <cellStyle name="Style 94 4 2 4 2 2" xfId="36257" xr:uid="{22966F81-D3A4-4617-B770-BA804A26421B}"/>
    <cellStyle name="Style 94 4 2 4 3" xfId="36256" xr:uid="{3408C489-2FC9-4DC3-BE91-74ECE7DF4DDB}"/>
    <cellStyle name="Style 94 4 2 5" xfId="17736" xr:uid="{3105C990-A8E5-4B77-8645-B04ED9A59C31}"/>
    <cellStyle name="Style 94 4 2 5 2" xfId="17737" xr:uid="{AD5B52D4-D8DD-45F2-A14D-112648EA12A9}"/>
    <cellStyle name="Style 94 4 2 5 2 2" xfId="36259" xr:uid="{246B5679-EEC3-4D91-80FC-472A060D46DB}"/>
    <cellStyle name="Style 94 4 2 5 3" xfId="36258" xr:uid="{EBAD9092-CFBE-4515-9CED-3D1136635931}"/>
    <cellStyle name="Style 94 4 2 6" xfId="17738" xr:uid="{A36CB17D-95D2-4804-A955-34DCF1F57DCC}"/>
    <cellStyle name="Style 94 4 2 6 2" xfId="17739" xr:uid="{C859DD53-90FA-404A-AAE3-69F51235D13D}"/>
    <cellStyle name="Style 94 4 2 6 2 2" xfId="36261" xr:uid="{DE2BD926-EB79-448D-91FE-97FD1A24FC54}"/>
    <cellStyle name="Style 94 4 2 6 3" xfId="36260" xr:uid="{E4C5C65C-FE7C-4EA7-B1BE-99C10F0A07EB}"/>
    <cellStyle name="Style 94 4 2 7" xfId="17740" xr:uid="{34B5FFFA-7E0A-4343-A440-BD7757E5F32B}"/>
    <cellStyle name="Style 94 4 2 7 2" xfId="36262" xr:uid="{BCC90691-C332-499F-93AE-DA9DE494AD18}"/>
    <cellStyle name="Style 94 4 2 8" xfId="17741" xr:uid="{82D4220E-492B-43A5-B42B-FB850B469B2D}"/>
    <cellStyle name="Style 94 4 2 8 2" xfId="36263" xr:uid="{254924C7-43C1-4CC3-A1DA-1FD0B3199D64}"/>
    <cellStyle name="Style 94 4 2 9" xfId="17742" xr:uid="{27486F02-39AB-4D0E-88FA-1F36C37CFB1F}"/>
    <cellStyle name="Style 94 4 2 9 2" xfId="36264" xr:uid="{97CC4DD1-A820-4937-BDF0-D438184B2008}"/>
    <cellStyle name="Style 94 4 3" xfId="7571" xr:uid="{22D2EE79-261A-447A-A736-75214C247FEE}"/>
    <cellStyle name="Style 94 4 3 2" xfId="7572" xr:uid="{12C970BD-0000-48B2-AD58-600B80E5475C}"/>
    <cellStyle name="Style 94 4 3 2 2" xfId="17743" xr:uid="{35EF7BE7-8914-4ACE-BFB1-4E53AA9F38FB}"/>
    <cellStyle name="Style 94 4 3 2 2 2" xfId="36265" xr:uid="{66E365E8-0C4F-4B83-86DF-3FA2D67398C5}"/>
    <cellStyle name="Style 94 4 3 2 3" xfId="17744" xr:uid="{37342C89-E426-436B-9698-8FD56B0E7D3D}"/>
    <cellStyle name="Style 94 4 3 2 3 2" xfId="36266" xr:uid="{89F88645-6FE9-4958-81C1-BB4D1DA858A7}"/>
    <cellStyle name="Style 94 4 3 3" xfId="17745" xr:uid="{229DA414-0149-4A11-B38D-B5CE20178263}"/>
    <cellStyle name="Style 94 4 3 3 2" xfId="36267" xr:uid="{892349F2-A59D-4C50-8DE5-5926E1586F7E}"/>
    <cellStyle name="Style 94 4 3 4" xfId="17746" xr:uid="{4B0C9D45-3BCE-4FE7-95CA-AADB426F8B96}"/>
    <cellStyle name="Style 94 4 3 4 2" xfId="36268" xr:uid="{79D55EF4-9142-4F67-B735-E55E16EB7407}"/>
    <cellStyle name="Style 94 4 3 5" xfId="17747" xr:uid="{2D072916-6865-4EDD-87F6-A51B3445185A}"/>
    <cellStyle name="Style 94 4 3 5 2" xfId="36269" xr:uid="{CE5A8587-AB72-494C-BD42-1E3E8CD0B70A}"/>
    <cellStyle name="Style 94 4 3 6" xfId="17748" xr:uid="{A12B6027-1465-4CA6-B5BD-F6A8EB667398}"/>
    <cellStyle name="Style 94 4 3 6 2" xfId="36270" xr:uid="{4BFEB81A-BA70-41F4-B0FD-4D328C27C17D}"/>
    <cellStyle name="Style 94 4 3 7" xfId="24225" xr:uid="{53B62241-B1F2-4B0F-918A-1A82F8D68AC4}"/>
    <cellStyle name="Style 94 4 4" xfId="7573" xr:uid="{82FAE69C-76B2-4E25-9AE9-AA69AEBAE894}"/>
    <cellStyle name="Style 94 4 4 2" xfId="17749" xr:uid="{16E8085A-74F3-4CCD-AB7B-D7D6C271AB18}"/>
    <cellStyle name="Style 94 4 4 2 2" xfId="36271" xr:uid="{525D31E7-5587-4C06-8C88-AF5C9F0DCA74}"/>
    <cellStyle name="Style 94 4 4 3" xfId="17750" xr:uid="{28113B3A-FA05-454C-815E-EFEAB55C467C}"/>
    <cellStyle name="Style 94 4 4 3 2" xfId="36272" xr:uid="{2FE3A58B-B29D-4090-8DA2-C0A172FC4AB9}"/>
    <cellStyle name="Style 94 4 4 4" xfId="17751" xr:uid="{E5116B23-671B-4FDB-B29C-EF6B80C6AC39}"/>
    <cellStyle name="Style 94 4 4 4 2" xfId="36273" xr:uid="{927F9B02-1EE4-4135-93AF-AD93CFAAB191}"/>
    <cellStyle name="Style 94 4 5" xfId="7574" xr:uid="{F11212C9-6FD5-46D4-90AC-EEB5BE209154}"/>
    <cellStyle name="Style 94 4 5 2" xfId="17752" xr:uid="{4625CD2F-3605-4DF7-AE78-9A945BB707FA}"/>
    <cellStyle name="Style 94 4 5 2 2" xfId="36274" xr:uid="{5DDF719C-3D5C-4353-AFB9-B1C85AE0C34F}"/>
    <cellStyle name="Style 94 4 5 3" xfId="17753" xr:uid="{E8E57AB5-5630-4C73-AE5C-63AF88A881CD}"/>
    <cellStyle name="Style 94 4 5 3 2" xfId="36275" xr:uid="{75386327-A5C3-4E0E-B73B-4C4F02C6BD44}"/>
    <cellStyle name="Style 94 4 6" xfId="7568" xr:uid="{7F4CF4CE-4BF3-4A94-A4BA-6ACD8D966E15}"/>
    <cellStyle name="Style 94 4 6 2" xfId="17754" xr:uid="{D8E1DBCC-4E0C-4C1C-958B-79E32442BC2C}"/>
    <cellStyle name="Style 94 4 6 2 2" xfId="36276" xr:uid="{D2810030-D924-46D9-A225-BAA8DF2CE4FA}"/>
    <cellStyle name="Style 94 4 6 3" xfId="17755" xr:uid="{46A7AB20-B436-4BA1-90BA-5B1E6A0C9816}"/>
    <cellStyle name="Style 94 4 6 3 2" xfId="36277" xr:uid="{D0FB4877-ACCA-41FC-831B-B08BAFEDC9FC}"/>
    <cellStyle name="Style 94 4 7" xfId="17756" xr:uid="{FD63A09C-525E-4DE4-A4EE-F1324C3BE166}"/>
    <cellStyle name="Style 94 4 7 2" xfId="17757" xr:uid="{57FDB709-7D86-4414-9073-9E1605B46F74}"/>
    <cellStyle name="Style 94 4 7 2 2" xfId="36279" xr:uid="{40EB356F-AD34-4B34-A760-FAF47E9FA124}"/>
    <cellStyle name="Style 94 4 7 3" xfId="36278" xr:uid="{07A0B1C4-1A6C-471F-9100-1BEC9381A570}"/>
    <cellStyle name="Style 94 4 8" xfId="17758" xr:uid="{ADB4B814-3DB2-4B33-AE94-936E8386CC36}"/>
    <cellStyle name="Style 94 4 8 2" xfId="36280" xr:uid="{A12DA3E5-D05C-4CBD-A3FC-90E6BBB0AD77}"/>
    <cellStyle name="Style 94 4 9" xfId="17759" xr:uid="{B938C63C-FB72-4DD6-B531-B590A83E56FF}"/>
    <cellStyle name="Style 94 4 9 2" xfId="36281" xr:uid="{B3EAE057-496C-4C63-BAC3-274438BB7655}"/>
    <cellStyle name="Style 94 5" xfId="3733" xr:uid="{93F6893F-83FB-4FF4-BEEF-BF560A793942}"/>
    <cellStyle name="Style 94 5 10" xfId="17760" xr:uid="{FE2D8A6D-E091-401A-97B0-B8DA51C315BB}"/>
    <cellStyle name="Style 94 5 10 2" xfId="36282" xr:uid="{21DC08C0-9349-4F9E-8747-503301085E56}"/>
    <cellStyle name="Style 94 5 11" xfId="24226" xr:uid="{30B2FAD7-DD92-4BFC-8DE6-4685FC6C70BC}"/>
    <cellStyle name="Style 94 5 2" xfId="3734" xr:uid="{761ADC5D-AB32-4E4F-8843-207ACEFAF252}"/>
    <cellStyle name="Style 94 5 2 10" xfId="24227" xr:uid="{B5EC9937-4A2B-4C37-9AA1-72986B91C98B}"/>
    <cellStyle name="Style 94 5 2 2" xfId="7577" xr:uid="{A895ED3F-5C50-4874-AB50-086E75A2865F}"/>
    <cellStyle name="Style 94 5 2 2 2" xfId="17761" xr:uid="{5D3F0F4A-10C7-4EE5-BB85-B56D63CC85D8}"/>
    <cellStyle name="Style 94 5 2 2 2 2" xfId="36283" xr:uid="{32CA1658-A3AD-48D2-8A02-B2F0269AD3FA}"/>
    <cellStyle name="Style 94 5 2 2 3" xfId="17762" xr:uid="{6B71801C-D1C3-487B-AE8F-CB1E63893B74}"/>
    <cellStyle name="Style 94 5 2 2 3 2" xfId="36284" xr:uid="{A7663FCD-0667-4626-A703-F1DF2659FD78}"/>
    <cellStyle name="Style 94 5 2 2 4" xfId="17763" xr:uid="{3C33DBD6-8D13-47E4-9F27-8560DA7A4304}"/>
    <cellStyle name="Style 94 5 2 2 4 2" xfId="36285" xr:uid="{2382F19C-1527-49C4-80D6-BA72C0DCA7DE}"/>
    <cellStyle name="Style 94 5 2 3" xfId="7576" xr:uid="{4A25D0B9-410F-4E10-9B16-AB89AD91766F}"/>
    <cellStyle name="Style 94 5 2 3 2" xfId="17764" xr:uid="{7DB4E6EB-17F8-4E24-B18E-80B4AAAD7FD5}"/>
    <cellStyle name="Style 94 5 2 3 2 2" xfId="36286" xr:uid="{88DFECA3-8E84-46F5-9B63-26F54D21E557}"/>
    <cellStyle name="Style 94 5 2 3 3" xfId="17765" xr:uid="{E3606296-784A-48F6-9FC5-27A2E0FBBD83}"/>
    <cellStyle name="Style 94 5 2 3 3 2" xfId="36287" xr:uid="{8CB4683E-164C-4363-AB19-A5D75B004DA0}"/>
    <cellStyle name="Style 94 5 2 4" xfId="17766" xr:uid="{91A4E75C-C21F-43BF-A17B-F386A4610B51}"/>
    <cellStyle name="Style 94 5 2 4 2" xfId="17767" xr:uid="{46881A4D-33C9-4F8A-869B-A24DA64345C8}"/>
    <cellStyle name="Style 94 5 2 4 2 2" xfId="36289" xr:uid="{0B15561F-9DB9-411A-8AC4-BABC38659C71}"/>
    <cellStyle name="Style 94 5 2 4 3" xfId="36288" xr:uid="{2249667A-08FE-4D30-BAF6-A0D877FD8292}"/>
    <cellStyle name="Style 94 5 2 5" xfId="17768" xr:uid="{C41D6AB9-7F6D-4691-98C0-FBB5FF17B185}"/>
    <cellStyle name="Style 94 5 2 5 2" xfId="17769" xr:uid="{CFDFD4C7-0E8A-456B-B4CC-67CE763A2084}"/>
    <cellStyle name="Style 94 5 2 5 2 2" xfId="36291" xr:uid="{0E09F31B-857C-47B9-9C38-13B76E36D3DD}"/>
    <cellStyle name="Style 94 5 2 5 3" xfId="36290" xr:uid="{468D782A-A35B-4EB7-9001-99A38292F054}"/>
    <cellStyle name="Style 94 5 2 6" xfId="17770" xr:uid="{68CFF84D-7911-4876-BE59-BBCFFA9A6726}"/>
    <cellStyle name="Style 94 5 2 6 2" xfId="17771" xr:uid="{B80BDAAC-CDC6-43D3-9C14-CE37B1979DD5}"/>
    <cellStyle name="Style 94 5 2 6 2 2" xfId="36293" xr:uid="{CA75697E-E992-4D56-8DB3-E203A284DB8F}"/>
    <cellStyle name="Style 94 5 2 6 3" xfId="36292" xr:uid="{371B90C3-6B5F-4A9F-A998-3D5631505D11}"/>
    <cellStyle name="Style 94 5 2 7" xfId="17772" xr:uid="{D98AEF44-A87A-41DC-A021-466265F4DB67}"/>
    <cellStyle name="Style 94 5 2 7 2" xfId="36294" xr:uid="{C639B48E-FA1E-485C-9942-DA57D42865BD}"/>
    <cellStyle name="Style 94 5 2 8" xfId="17773" xr:uid="{F355B182-689F-4E64-B958-43938B3D5AB1}"/>
    <cellStyle name="Style 94 5 2 8 2" xfId="36295" xr:uid="{28B20D64-2498-44CB-93DE-D856181FB2C0}"/>
    <cellStyle name="Style 94 5 2 9" xfId="17774" xr:uid="{020E1EFA-6BEC-42ED-8EEB-4F1128DC13BA}"/>
    <cellStyle name="Style 94 5 2 9 2" xfId="36296" xr:uid="{EFB1BE47-8B00-4C30-BA29-EA1FCB16264D}"/>
    <cellStyle name="Style 94 5 3" xfId="7578" xr:uid="{EFC67D16-AB30-4562-8E8C-15CAC596AA75}"/>
    <cellStyle name="Style 94 5 3 2" xfId="17775" xr:uid="{0DE8B8D9-1FBD-4884-AA35-4B78D081859E}"/>
    <cellStyle name="Style 94 5 3 2 2" xfId="36297" xr:uid="{D5896589-469A-4C88-AC1E-8E7FF048725F}"/>
    <cellStyle name="Style 94 5 3 3" xfId="17776" xr:uid="{2144A6A0-616F-4A7B-8EE0-F4F9ABD5772A}"/>
    <cellStyle name="Style 94 5 3 3 2" xfId="36298" xr:uid="{B0D4CF1F-0880-496B-9E30-91DF8F9E2AF9}"/>
    <cellStyle name="Style 94 5 3 4" xfId="17777" xr:uid="{2DCE6832-DA6B-4A54-8E61-CD489F9A73F5}"/>
    <cellStyle name="Style 94 5 3 4 2" xfId="36299" xr:uid="{0F2802C5-AB7B-467F-A863-04D0012D0271}"/>
    <cellStyle name="Style 94 5 4" xfId="7575" xr:uid="{BBCD7831-6FFA-4665-9640-4C4153437B1F}"/>
    <cellStyle name="Style 94 5 4 2" xfId="17778" xr:uid="{58EF46E3-389D-4066-AE65-2FEC970D10EA}"/>
    <cellStyle name="Style 94 5 4 2 2" xfId="36300" xr:uid="{EEA27C6D-54CC-49D1-9CDD-97211FD74759}"/>
    <cellStyle name="Style 94 5 4 3" xfId="17779" xr:uid="{3DDACF2D-A2EA-4064-A76B-5E7275506029}"/>
    <cellStyle name="Style 94 5 4 3 2" xfId="36301" xr:uid="{5A088CCB-EE47-474B-B157-AEB59CA9CFAB}"/>
    <cellStyle name="Style 94 5 5" xfId="17780" xr:uid="{DBBBF4BF-AFC3-42ED-8D3E-BFBF4B4F6095}"/>
    <cellStyle name="Style 94 5 5 2" xfId="17781" xr:uid="{FD2C22B0-5A9E-4628-A12D-F04B07F52204}"/>
    <cellStyle name="Style 94 5 5 2 2" xfId="36303" xr:uid="{EE644E7D-98BC-4197-A132-0CAAF3719818}"/>
    <cellStyle name="Style 94 5 5 3" xfId="36302" xr:uid="{4D416F5D-87A3-4BD2-B634-49C38D8F2FD5}"/>
    <cellStyle name="Style 94 5 6" xfId="17782" xr:uid="{06329A52-DD7D-44B2-832E-5370AD493284}"/>
    <cellStyle name="Style 94 5 6 2" xfId="17783" xr:uid="{07F36019-E8EE-4BB3-99BA-CB3A5BCB1405}"/>
    <cellStyle name="Style 94 5 6 2 2" xfId="36305" xr:uid="{8492072A-0DE1-4F8E-8394-7F4358992B2F}"/>
    <cellStyle name="Style 94 5 6 3" xfId="36304" xr:uid="{B8AD6AA1-E248-433B-AED7-05D33C1F7074}"/>
    <cellStyle name="Style 94 5 7" xfId="17784" xr:uid="{01265ABA-A0ED-43E1-BD57-798833B08934}"/>
    <cellStyle name="Style 94 5 7 2" xfId="17785" xr:uid="{22592088-E2EA-45E7-A906-3208A5B5C560}"/>
    <cellStyle name="Style 94 5 7 2 2" xfId="36307" xr:uid="{9BF130C6-C036-4CF7-9441-CA7DE20CCCCC}"/>
    <cellStyle name="Style 94 5 7 3" xfId="36306" xr:uid="{97E03945-5721-4CD6-B78D-E2BEEFDB05EB}"/>
    <cellStyle name="Style 94 5 8" xfId="17786" xr:uid="{F180BE21-3061-4934-A457-944B69F2F083}"/>
    <cellStyle name="Style 94 5 8 2" xfId="36308" xr:uid="{99376337-F8AB-46D6-A35A-8851C16D8885}"/>
    <cellStyle name="Style 94 5 9" xfId="17787" xr:uid="{CD9B117E-9384-4499-ACC9-6B223ADAB49E}"/>
    <cellStyle name="Style 94 5 9 2" xfId="36309" xr:uid="{FEF45070-DF7D-4D92-B35C-6678D3932356}"/>
    <cellStyle name="Style 94 6" xfId="3735" xr:uid="{AA252CD6-7A44-4B1C-BAF4-0744B598CCBA}"/>
    <cellStyle name="Style 94 6 10" xfId="17788" xr:uid="{81E6FBA4-D1DF-4BF4-A89F-9586EBE19502}"/>
    <cellStyle name="Style 94 6 10 2" xfId="36310" xr:uid="{90387ED7-1CC7-4DB3-BBB3-6CDCAECC94BC}"/>
    <cellStyle name="Style 94 6 11" xfId="24228" xr:uid="{BA30AFCA-71FC-4045-9A90-719507818946}"/>
    <cellStyle name="Style 94 6 2" xfId="3736" xr:uid="{50EE4C16-92BF-4290-9AB3-4C30ADC8C733}"/>
    <cellStyle name="Style 94 6 2 2" xfId="7580" xr:uid="{F249031B-540C-4DE0-A22B-675303515CA6}"/>
    <cellStyle name="Style 94 6 2 2 2" xfId="17789" xr:uid="{DBC44226-4652-43AE-BD23-66F213CEC2D9}"/>
    <cellStyle name="Style 94 6 2 2 2 2" xfId="36311" xr:uid="{CF0664F9-588E-4F73-8354-AD2448A08443}"/>
    <cellStyle name="Style 94 6 2 2 3" xfId="17790" xr:uid="{8D435828-445D-431B-8DFD-E1531457BD95}"/>
    <cellStyle name="Style 94 6 2 2 3 2" xfId="36312" xr:uid="{480DE2A5-DC8E-4259-8D93-AE50919347D3}"/>
    <cellStyle name="Style 94 6 2 2 4" xfId="17791" xr:uid="{99ECE123-5F1F-433D-B550-683F6BFA3AC5}"/>
    <cellStyle name="Style 94 6 2 2 4 2" xfId="36313" xr:uid="{19CC5AFB-4969-4067-BC8E-7309D560E0C1}"/>
    <cellStyle name="Style 94 6 2 3" xfId="17792" xr:uid="{7D8211CF-4791-4E28-9A35-7ECC0183755F}"/>
    <cellStyle name="Style 94 6 2 3 2" xfId="17793" xr:uid="{6FDF3B4F-6A27-4535-A20F-9BBF4F27F53D}"/>
    <cellStyle name="Style 94 6 2 3 2 2" xfId="36315" xr:uid="{E27AD4B4-FFD0-44C8-9DA6-F799460912F2}"/>
    <cellStyle name="Style 94 6 2 3 3" xfId="36314" xr:uid="{5B2A7A29-CEB1-42FE-8237-A2075617BD28}"/>
    <cellStyle name="Style 94 6 2 4" xfId="17794" xr:uid="{7DC8F9D3-06AE-4B2E-8EBD-34F99CDAB67E}"/>
    <cellStyle name="Style 94 6 2 4 2" xfId="17795" xr:uid="{866E6BF6-E3D7-4C41-AB55-5F11642EBD95}"/>
    <cellStyle name="Style 94 6 2 4 2 2" xfId="36317" xr:uid="{37E4B326-F471-4DAB-BA63-D3530142393C}"/>
    <cellStyle name="Style 94 6 2 4 3" xfId="36316" xr:uid="{410AFB0D-F1E8-4B55-91D0-E2387A40444E}"/>
    <cellStyle name="Style 94 6 2 5" xfId="17796" xr:uid="{B4DA2609-8A4A-4E34-9A56-42FE094D4EA1}"/>
    <cellStyle name="Style 94 6 2 5 2" xfId="17797" xr:uid="{99D259C7-5D65-47C2-A841-6B48DFA3E86D}"/>
    <cellStyle name="Style 94 6 2 5 2 2" xfId="36319" xr:uid="{1E1CDB0C-AB58-4FFA-B1B2-788AC83BAA05}"/>
    <cellStyle name="Style 94 6 2 5 3" xfId="36318" xr:uid="{805777FC-DAE0-49F7-800E-C9CD82257EED}"/>
    <cellStyle name="Style 94 6 2 6" xfId="17798" xr:uid="{405E732F-331D-4669-AFBC-9D145FA85A9E}"/>
    <cellStyle name="Style 94 6 2 6 2" xfId="17799" xr:uid="{DE19D42F-A222-42EC-8AD6-0C7879D63B86}"/>
    <cellStyle name="Style 94 6 2 6 2 2" xfId="36321" xr:uid="{2F9DC661-F579-4A52-88E1-971CC6114C8E}"/>
    <cellStyle name="Style 94 6 2 6 3" xfId="36320" xr:uid="{2EA12BC3-89D7-409C-B08B-8189B85E49EC}"/>
    <cellStyle name="Style 94 6 2 7" xfId="17800" xr:uid="{953DB23B-E6C4-447C-BC2F-4FD17CF6C1CF}"/>
    <cellStyle name="Style 94 6 2 7 2" xfId="36322" xr:uid="{63CA820E-36A8-4A23-9AB3-7E2618EA6797}"/>
    <cellStyle name="Style 94 6 2 8" xfId="17801" xr:uid="{8C62FC24-D99D-454B-B419-E08FD1EE71E6}"/>
    <cellStyle name="Style 94 6 2 8 2" xfId="36323" xr:uid="{097E0940-0106-4209-BBAD-B88F4F3253F6}"/>
    <cellStyle name="Style 94 6 3" xfId="4223" xr:uid="{74F8C498-9C1D-4C16-B422-4EC0D0662554}"/>
    <cellStyle name="Style 94 6 3 2" xfId="7581" xr:uid="{63CCD169-C233-4DFE-A685-58B068110E5D}"/>
    <cellStyle name="Style 94 6 3 2 2" xfId="17802" xr:uid="{F7BDB476-5FA5-4A25-B3E9-1CAACDDE6662}"/>
    <cellStyle name="Style 94 6 3 2 2 2" xfId="36324" xr:uid="{678E9DB9-E41F-4CFB-8259-76E08010F02E}"/>
    <cellStyle name="Style 94 6 3 2 3" xfId="28356" xr:uid="{E21D95D8-170F-4467-839F-9B9BFA122395}"/>
    <cellStyle name="Style 94 6 3 3" xfId="17803" xr:uid="{ED0C5494-EE9F-4AD3-A600-6CDD12B9128C}"/>
    <cellStyle name="Style 94 6 3 3 2" xfId="36325" xr:uid="{CB75F56B-F6A8-44F0-81D7-E62D2762AA99}"/>
    <cellStyle name="Style 94 6 3 4" xfId="17804" xr:uid="{7EAC98AA-35FC-4430-B675-A0C54D21D9EE}"/>
    <cellStyle name="Style 94 6 3 4 2" xfId="36326" xr:uid="{E3F2A681-E992-49F5-8FE3-03C2871CBE00}"/>
    <cellStyle name="Style 94 6 4" xfId="7579" xr:uid="{8A18550E-7428-4F08-9426-B6DBA0E58AD9}"/>
    <cellStyle name="Style 94 6 4 2" xfId="17805" xr:uid="{63FCC68C-8FE8-45BF-85E7-ECD0AFB6A860}"/>
    <cellStyle name="Style 94 6 4 2 2" xfId="36327" xr:uid="{551C7519-3343-4DA3-AF8F-52E61008F561}"/>
    <cellStyle name="Style 94 6 4 3" xfId="17806" xr:uid="{E434335B-698E-4ECE-9334-A443D513341C}"/>
    <cellStyle name="Style 94 6 4 3 2" xfId="36328" xr:uid="{32FCC8B1-DABE-4F20-B7E3-F9B365492014}"/>
    <cellStyle name="Style 94 6 5" xfId="17807" xr:uid="{DF7D1CA5-6E5C-4FFE-9DB2-4AFD37F2BCD4}"/>
    <cellStyle name="Style 94 6 5 2" xfId="17808" xr:uid="{92A96732-192C-48F2-8A1B-5FE147B7D62A}"/>
    <cellStyle name="Style 94 6 5 2 2" xfId="36330" xr:uid="{0690C259-EF4A-4726-B5DA-6F4826AC4F2E}"/>
    <cellStyle name="Style 94 6 5 3" xfId="36329" xr:uid="{8A3070AD-53A1-4735-9844-BD3FF1D7D0AE}"/>
    <cellStyle name="Style 94 6 6" xfId="17809" xr:uid="{654459FF-1514-47D9-B8EA-41B444A29B5D}"/>
    <cellStyle name="Style 94 6 6 2" xfId="17810" xr:uid="{4294E131-5931-4A72-8AD2-8F8B3955B0B1}"/>
    <cellStyle name="Style 94 6 6 2 2" xfId="36332" xr:uid="{9F5048AA-5B6C-4F5B-9C65-F67ED72E7219}"/>
    <cellStyle name="Style 94 6 6 3" xfId="36331" xr:uid="{B86F9F41-AA97-46D8-A1AA-9233D41E966C}"/>
    <cellStyle name="Style 94 6 7" xfId="17811" xr:uid="{B9863834-1BE6-46FA-8B5E-3ABFCA683057}"/>
    <cellStyle name="Style 94 6 7 2" xfId="17812" xr:uid="{5E3773D9-F0D4-47E1-835C-E250301CF7B6}"/>
    <cellStyle name="Style 94 6 7 2 2" xfId="36334" xr:uid="{05481AEE-BF0A-408F-8902-071011C909C2}"/>
    <cellStyle name="Style 94 6 7 3" xfId="36333" xr:uid="{9D6A2987-6370-494C-B694-06628E181EFE}"/>
    <cellStyle name="Style 94 6 8" xfId="17813" xr:uid="{D68D61AB-FBD6-4FD1-BD2F-88AA023D5E16}"/>
    <cellStyle name="Style 94 6 8 2" xfId="36335" xr:uid="{5D5F7B40-7703-4EAD-8E27-666AC9A38C1A}"/>
    <cellStyle name="Style 94 6 9" xfId="17814" xr:uid="{F0517481-E63D-4AC1-852B-3183C56A3B7F}"/>
    <cellStyle name="Style 94 6 9 2" xfId="36336" xr:uid="{BD7178F6-08CB-40E4-81A4-4C2BF3D4B347}"/>
    <cellStyle name="Style 94 7" xfId="4222" xr:uid="{2B03B871-A29C-43A2-80ED-90556C5AD15A}"/>
    <cellStyle name="Style 94 7 2" xfId="7583" xr:uid="{88C028A6-0FE2-4F91-A5D5-52A81FF1F6B2}"/>
    <cellStyle name="Style 94 7 2 2" xfId="17815" xr:uid="{723E4703-E1E2-4F4F-8002-96D2471EA701}"/>
    <cellStyle name="Style 94 7 2 2 2" xfId="36337" xr:uid="{E1B64B3E-2007-41D3-9B28-A6BD96AA2381}"/>
    <cellStyle name="Style 94 7 3" xfId="7584" xr:uid="{DBB7FC90-1075-401C-833D-EBC7C882C12D}"/>
    <cellStyle name="Style 94 7 3 2" xfId="17816" xr:uid="{085DE374-3DC5-4EB4-936B-30DC8BDAA702}"/>
    <cellStyle name="Style 94 7 3 2 2" xfId="36338" xr:uid="{20D2E1C4-D892-4FA5-9BA2-93248EE4796C}"/>
    <cellStyle name="Style 94 7 4" xfId="7582" xr:uid="{9273CD86-0124-4B3C-ACBF-5A76172D39C3}"/>
    <cellStyle name="Style 94 7 4 2" xfId="28355" xr:uid="{9979D9E4-873C-411A-8D64-AA378554A775}"/>
    <cellStyle name="Style 94 7 5" xfId="17817" xr:uid="{A419B245-AC85-47D1-B824-BA02CAC09159}"/>
    <cellStyle name="Style 94 7 5 2" xfId="36339" xr:uid="{06AA6867-5D40-40C9-90E8-2EC17218CC58}"/>
    <cellStyle name="Style 94 7 6" xfId="24229" xr:uid="{4477E353-6407-4065-A0A0-830F012C503B}"/>
    <cellStyle name="Style 94 8" xfId="7585" xr:uid="{7E7650BD-9FC7-4F1F-B87D-597F81CB303F}"/>
    <cellStyle name="Style 94 8 2" xfId="17818" xr:uid="{0BBAEBC6-87F5-4CB4-B80C-E1FBE6CF7C3B}"/>
    <cellStyle name="Style 94 8 2 2" xfId="36340" xr:uid="{99303121-0933-4D98-8698-3243EB7A5015}"/>
    <cellStyle name="Style 94 8 3" xfId="17819" xr:uid="{CA5EFCB3-52D1-47FD-A601-4F86C629D2D4}"/>
    <cellStyle name="Style 94 8 3 2" xfId="36341" xr:uid="{66EB8E92-0A00-4044-8517-A8A3DF94DEE8}"/>
    <cellStyle name="Style 94 9" xfId="7586" xr:uid="{145A543B-E37D-4A1E-AE35-4D30D2DE7023}"/>
    <cellStyle name="Style 94 9 2" xfId="17820" xr:uid="{079AFB13-5F2D-415B-862E-58A06EA23B0C}"/>
    <cellStyle name="Style 94 9 2 2" xfId="36342" xr:uid="{DA1BD7F0-1B0F-4742-98F3-62AD6A249A79}"/>
    <cellStyle name="Style 94 9 3" xfId="17821" xr:uid="{8DBA8673-695C-425D-91B8-DB77EF0BA89A}"/>
    <cellStyle name="Style 94 9 3 2" xfId="36343" xr:uid="{65ABCE21-F196-4778-8338-6DD63EA332E2}"/>
    <cellStyle name="Style 94_ADDON" xfId="25754" xr:uid="{4A3C9458-D3B1-4CC8-912E-8C5885ADCA3B}"/>
    <cellStyle name="Style 95" xfId="3737" xr:uid="{D8746969-382C-41DB-9282-13FE1B9795EA}"/>
    <cellStyle name="Style 95 10" xfId="7587" xr:uid="{1ECCBD6D-7D88-443E-BDC5-F0F3E81E6B1E}"/>
    <cellStyle name="Style 95 10 2" xfId="17822" xr:uid="{920985B2-A2DA-48E2-86FC-4ED66AABFEFE}"/>
    <cellStyle name="Style 95 10 2 2" xfId="36344" xr:uid="{FA946A03-6EF8-43D6-AF0E-2510E78E69E6}"/>
    <cellStyle name="Style 95 10 3" xfId="17823" xr:uid="{CD53B0A7-C51A-4706-927B-96CFB62DA56C}"/>
    <cellStyle name="Style 95 10 3 2" xfId="36345" xr:uid="{4FE8C32C-E3A5-47C8-96AF-7DD8707DE16D}"/>
    <cellStyle name="Style 95 11" xfId="17824" xr:uid="{2EDB288D-027D-483A-AAEE-AEB0897CF5F8}"/>
    <cellStyle name="Style 95 11 2" xfId="17825" xr:uid="{602D7B1F-62F2-4311-9CE8-633B314F5EF9}"/>
    <cellStyle name="Style 95 11 2 2" xfId="36346" xr:uid="{3072FFE6-4236-4D11-816E-734D83E86172}"/>
    <cellStyle name="Style 95 11 3" xfId="17826" xr:uid="{C1101178-21B5-4718-8125-508945F4B31B}"/>
    <cellStyle name="Style 95 11 3 2" xfId="36347" xr:uid="{9BC6F382-9270-4D28-8F14-553B69E72425}"/>
    <cellStyle name="Style 95 11 4" xfId="26725" xr:uid="{5333ED58-ED63-4F9F-945C-34C37920AE4D}"/>
    <cellStyle name="Style 95 12" xfId="17827" xr:uid="{92B212B4-290C-4F4B-B998-76AFD92C4163}"/>
    <cellStyle name="Style 95 12 2" xfId="17828" xr:uid="{F23C0EEF-B5BD-4129-B56B-8CA16BD25014}"/>
    <cellStyle name="Style 95 12 2 2" xfId="36349" xr:uid="{3AA529B7-7390-48A7-BE36-4962D9FC18B0}"/>
    <cellStyle name="Style 95 12 3" xfId="36348" xr:uid="{8E6DE3E4-3C54-4A0E-90DC-061B170F76EF}"/>
    <cellStyle name="Style 95 13" xfId="17829" xr:uid="{728A4756-3D81-40CA-A99D-E7CB66CCE770}"/>
    <cellStyle name="Style 95 13 2" xfId="36350" xr:uid="{5F48CF3F-2E0C-44BB-AA98-265AEE3F3F11}"/>
    <cellStyle name="Style 95 14" xfId="17830" xr:uid="{BFD4E18B-57C3-4B08-9B8E-347221F6F6EF}"/>
    <cellStyle name="Style 95 14 2" xfId="36351" xr:uid="{A8864CD6-29EE-40FE-A51C-CD7DA1AF6670}"/>
    <cellStyle name="Style 95 15" xfId="17831" xr:uid="{995B5033-FC03-4184-A163-4C5FD539227C}"/>
    <cellStyle name="Style 95 15 2" xfId="36352" xr:uid="{934EBB50-0248-49EF-80E0-E75D64389D41}"/>
    <cellStyle name="Style 95 2" xfId="3738" xr:uid="{74481E5E-0205-48D9-8258-28E4AA369FA9}"/>
    <cellStyle name="Style 95 2 10" xfId="17832" xr:uid="{2E157B13-4ECE-4ECE-8B73-60D7B0F17046}"/>
    <cellStyle name="Style 95 2 10 2" xfId="17833" xr:uid="{B9547066-02CB-4AFE-A502-C254B6E848D1}"/>
    <cellStyle name="Style 95 2 10 2 2" xfId="36354" xr:uid="{64DC2268-E583-4824-9D05-63B2DC41BE6E}"/>
    <cellStyle name="Style 95 2 10 3" xfId="36353" xr:uid="{9B22D7F6-1CA2-4264-8074-48EB17DB9176}"/>
    <cellStyle name="Style 95 2 11" xfId="17834" xr:uid="{7E85F163-5667-4EB9-AF2D-00FC9819BB65}"/>
    <cellStyle name="Style 95 2 11 2" xfId="17835" xr:uid="{037F4711-9CDC-4F6D-ADFC-4F3245DCA39F}"/>
    <cellStyle name="Style 95 2 11 2 2" xfId="36356" xr:uid="{075C4017-FA4F-4CFC-8DCD-28C31BC06123}"/>
    <cellStyle name="Style 95 2 11 3" xfId="36355" xr:uid="{199FC44C-0F48-41FC-9495-F64D630A798E}"/>
    <cellStyle name="Style 95 2 12" xfId="17836" xr:uid="{05BC8BF6-0515-4FD5-A26E-1E2938BE1515}"/>
    <cellStyle name="Style 95 2 12 2" xfId="36357" xr:uid="{F70113E6-8681-401A-998E-63FE51D4A60D}"/>
    <cellStyle name="Style 95 2 13" xfId="17837" xr:uid="{B2CA6F6A-6155-4F79-8144-E412C8F6441F}"/>
    <cellStyle name="Style 95 2 13 2" xfId="36358" xr:uid="{1A2EE103-2EB0-4A2F-8E8F-719D47221C50}"/>
    <cellStyle name="Style 95 2 14" xfId="17838" xr:uid="{1ED609BD-D990-494B-B9C4-6FDFD44BC2C3}"/>
    <cellStyle name="Style 95 2 14 2" xfId="36359" xr:uid="{E0FC556C-D15B-40A7-8FF9-B0673C185850}"/>
    <cellStyle name="Style 95 2 2" xfId="3739" xr:uid="{FFABD080-8E54-4E96-B7B9-5F08A8F6188D}"/>
    <cellStyle name="Style 95 2 2 10" xfId="17839" xr:uid="{FAA2EF59-4A57-45DC-8B0C-1EBFA75DF7D3}"/>
    <cellStyle name="Style 95 2 2 10 2" xfId="17840" xr:uid="{6D9BE296-FDF2-4AC8-828E-F1F1628D7145}"/>
    <cellStyle name="Style 95 2 2 10 2 2" xfId="36361" xr:uid="{1123FEE4-40EF-48E3-B39B-0070A7BE615D}"/>
    <cellStyle name="Style 95 2 2 10 3" xfId="36360" xr:uid="{2AD29E52-04EE-4C73-BF51-154337D2DDD9}"/>
    <cellStyle name="Style 95 2 2 11" xfId="17841" xr:uid="{B82591C8-A1E1-41C9-9EF0-A6E506AB6DA5}"/>
    <cellStyle name="Style 95 2 2 11 2" xfId="36362" xr:uid="{8F1251E1-2372-4C19-BCFF-BC870E3B9A3E}"/>
    <cellStyle name="Style 95 2 2 12" xfId="17842" xr:uid="{7921A2DA-48BE-4A3A-8C5A-E1BBC5E974E3}"/>
    <cellStyle name="Style 95 2 2 12 2" xfId="36363" xr:uid="{CB330463-653F-480D-AC74-05E7280DACF2}"/>
    <cellStyle name="Style 95 2 2 2" xfId="3740" xr:uid="{589D3510-F4E1-415C-8D1F-358A722AEBC8}"/>
    <cellStyle name="Style 95 2 2 2 10" xfId="17843" xr:uid="{4D5CC6DC-4FFE-4982-BD17-ACB0C2E0F31E}"/>
    <cellStyle name="Style 95 2 2 2 10 2" xfId="36364" xr:uid="{2E603DE7-E36C-4EC8-8910-DA09096AF5F4}"/>
    <cellStyle name="Style 95 2 2 2 11" xfId="17844" xr:uid="{DB3C2EF1-A9FA-4579-8B28-A012932AEA36}"/>
    <cellStyle name="Style 95 2 2 2 11 2" xfId="36365" xr:uid="{E6950423-6CE8-4DF2-82A1-24C38B7C7FD5}"/>
    <cellStyle name="Style 95 2 2 2 2" xfId="3741" xr:uid="{07011DE4-A56C-446A-8EC6-F307B6FD6D2B}"/>
    <cellStyle name="Style 95 2 2 2 2 10" xfId="17845" xr:uid="{4E48F75C-12AB-4565-8923-35D159ED2908}"/>
    <cellStyle name="Style 95 2 2 2 2 10 2" xfId="36366" xr:uid="{FA900E58-16C7-439E-BF43-B9862E2AEEED}"/>
    <cellStyle name="Style 95 2 2 2 2 2" xfId="3742" xr:uid="{872E3CE8-1108-481A-86C9-1E7044289C39}"/>
    <cellStyle name="Style 95 2 2 2 2 2 2" xfId="7592" xr:uid="{B2CD8EBD-3077-44B6-9567-A5C4E87068D8}"/>
    <cellStyle name="Style 95 2 2 2 2 2 2 2" xfId="17846" xr:uid="{FE5699C7-3BDF-4974-B1EE-D37D333E64D3}"/>
    <cellStyle name="Style 95 2 2 2 2 2 2 2 2" xfId="36367" xr:uid="{E1F30B48-32E8-4CD7-894E-9879869BA27D}"/>
    <cellStyle name="Style 95 2 2 2 2 2 2 3" xfId="17847" xr:uid="{0EBEFE22-0047-43FC-B41C-AFD967940624}"/>
    <cellStyle name="Style 95 2 2 2 2 2 2 3 2" xfId="36368" xr:uid="{40708DAE-A8F4-459D-B5B9-7A748FA2A695}"/>
    <cellStyle name="Style 95 2 2 2 2 2 2 4" xfId="17848" xr:uid="{DB57C67A-3D52-49B9-A582-D6910E73658B}"/>
    <cellStyle name="Style 95 2 2 2 2 2 2 4 2" xfId="36369" xr:uid="{88761409-B3F3-4731-AD6F-1CCB82F5842B}"/>
    <cellStyle name="Style 95 2 2 2 2 2 3" xfId="17849" xr:uid="{6A9C5D36-0633-461B-BD5F-B3281F826B2F}"/>
    <cellStyle name="Style 95 2 2 2 2 2 3 2" xfId="17850" xr:uid="{3381CAF5-15A3-4EDC-A3E6-F7226674FE7C}"/>
    <cellStyle name="Style 95 2 2 2 2 2 3 2 2" xfId="36370" xr:uid="{947E56D8-775D-47A7-BFD2-26F2B4E9486F}"/>
    <cellStyle name="Style 95 2 2 2 2 2 3 3" xfId="17851" xr:uid="{8F0E1A0E-E162-4217-98A0-BC8292243D3D}"/>
    <cellStyle name="Style 95 2 2 2 2 2 3 3 2" xfId="36371" xr:uid="{98C9C2DE-ED36-4D68-9832-40F0587D09CE}"/>
    <cellStyle name="Style 95 2 2 2 2 2 4" xfId="17852" xr:uid="{9AA4B5E0-919F-42B9-942D-36F54B0B3688}"/>
    <cellStyle name="Style 95 2 2 2 2 2 4 2" xfId="17853" xr:uid="{4136C10C-57F6-4F3B-B60B-B7E97FE076BA}"/>
    <cellStyle name="Style 95 2 2 2 2 2 4 2 2" xfId="36373" xr:uid="{DC3F5545-376D-4700-A79D-790BE86A6B27}"/>
    <cellStyle name="Style 95 2 2 2 2 2 4 3" xfId="36372" xr:uid="{7F1FE116-A89D-4490-BD85-21F955233F2A}"/>
    <cellStyle name="Style 95 2 2 2 2 2 5" xfId="17854" xr:uid="{7CF2941E-17B4-44D1-B82F-12F43D13EBCB}"/>
    <cellStyle name="Style 95 2 2 2 2 2 5 2" xfId="17855" xr:uid="{A9AF5D61-DADC-4841-A99F-80BB555F0DC0}"/>
    <cellStyle name="Style 95 2 2 2 2 2 5 2 2" xfId="36375" xr:uid="{DC53182A-23D5-4015-97EF-1523DDD0A181}"/>
    <cellStyle name="Style 95 2 2 2 2 2 5 3" xfId="36374" xr:uid="{18D7F577-28A6-4569-B82C-4113A8E97E93}"/>
    <cellStyle name="Style 95 2 2 2 2 2 6" xfId="17856" xr:uid="{3D9289BF-97FD-47C8-816E-0A0F6D2D8D55}"/>
    <cellStyle name="Style 95 2 2 2 2 2 6 2" xfId="17857" xr:uid="{A278001F-F4E2-48C4-92A7-B21261499492}"/>
    <cellStyle name="Style 95 2 2 2 2 2 6 2 2" xfId="36377" xr:uid="{82241FAC-7476-4A2A-8D5B-06CB9F65A482}"/>
    <cellStyle name="Style 95 2 2 2 2 2 6 3" xfId="36376" xr:uid="{8D4A6CE6-5D44-426A-A62B-ECD1AC3BC9AF}"/>
    <cellStyle name="Style 95 2 2 2 2 2 7" xfId="17858" xr:uid="{FA4ABC4A-3E17-41EC-A534-13964DBF8CE6}"/>
    <cellStyle name="Style 95 2 2 2 2 2 7 2" xfId="36378" xr:uid="{F09B0CB7-AA40-4751-86F6-30E299EEC74B}"/>
    <cellStyle name="Style 95 2 2 2 2 2 8" xfId="17859" xr:uid="{FE042274-DE97-428C-B093-7BE56D4722D5}"/>
    <cellStyle name="Style 95 2 2 2 2 2 8 2" xfId="36379" xr:uid="{C4443F72-06B0-4277-8270-5AC54C5536C7}"/>
    <cellStyle name="Style 95 2 2 2 2 3" xfId="7591" xr:uid="{E348DE0A-5AC9-4BA8-AF1E-D60AC36CB52E}"/>
    <cellStyle name="Style 95 2 2 2 2 3 2" xfId="17860" xr:uid="{88075FB8-0CDA-4C23-8DCB-3D44EF7181ED}"/>
    <cellStyle name="Style 95 2 2 2 2 3 2 2" xfId="36380" xr:uid="{C177EA5F-FC60-4D68-95B5-94BD6AE859BB}"/>
    <cellStyle name="Style 95 2 2 2 2 3 3" xfId="17861" xr:uid="{7B5AA4CD-86BF-4C95-ACD9-E1D9D130468A}"/>
    <cellStyle name="Style 95 2 2 2 2 3 3 2" xfId="36381" xr:uid="{FB621A2A-AEEC-4177-AA48-0A7341C1B850}"/>
    <cellStyle name="Style 95 2 2 2 2 3 4" xfId="17862" xr:uid="{379F2ED4-5940-4BF4-9E4E-B2C7F8956A4E}"/>
    <cellStyle name="Style 95 2 2 2 2 3 4 2" xfId="36382" xr:uid="{F8E45FEA-38C2-45B9-A655-F683658259F2}"/>
    <cellStyle name="Style 95 2 2 2 2 4" xfId="17863" xr:uid="{582BAC9E-13C6-422F-98F4-2D725BE63564}"/>
    <cellStyle name="Style 95 2 2 2 2 4 2" xfId="17864" xr:uid="{2A47DE6A-7F9D-458B-AFB8-E40FA763E33A}"/>
    <cellStyle name="Style 95 2 2 2 2 4 2 2" xfId="36383" xr:uid="{D85F7B45-6F6B-44D9-8C21-68E39FBA1C93}"/>
    <cellStyle name="Style 95 2 2 2 2 4 3" xfId="17865" xr:uid="{7C2BADDA-317A-437B-BFBE-28695906B2FF}"/>
    <cellStyle name="Style 95 2 2 2 2 4 3 2" xfId="36384" xr:uid="{7D2B0872-8A0E-4C1E-B7D6-347120C7B5DC}"/>
    <cellStyle name="Style 95 2 2 2 2 5" xfId="17866" xr:uid="{AFC6D4D2-15CA-42D5-9656-4BD398D3F178}"/>
    <cellStyle name="Style 95 2 2 2 2 5 2" xfId="17867" xr:uid="{0F72E993-F9A6-4190-A7BE-18B3372C1558}"/>
    <cellStyle name="Style 95 2 2 2 2 5 2 2" xfId="36386" xr:uid="{F220554A-A1CB-4A14-94EC-E52580F044A7}"/>
    <cellStyle name="Style 95 2 2 2 2 5 3" xfId="36385" xr:uid="{3C06D4CC-F97F-41C2-8700-F1BC945C076F}"/>
    <cellStyle name="Style 95 2 2 2 2 6" xfId="17868" xr:uid="{6D722C3F-8DFD-4D0F-9C01-C35ECE9015FA}"/>
    <cellStyle name="Style 95 2 2 2 2 6 2" xfId="17869" xr:uid="{AD64459A-5B37-427A-BE9D-113E34C73C93}"/>
    <cellStyle name="Style 95 2 2 2 2 6 2 2" xfId="36388" xr:uid="{E9C47FE1-D1FB-475D-A85E-B28BD660358C}"/>
    <cellStyle name="Style 95 2 2 2 2 6 3" xfId="36387" xr:uid="{0F8850E8-C724-41AC-B244-5E686BF19711}"/>
    <cellStyle name="Style 95 2 2 2 2 7" xfId="17870" xr:uid="{7E82590A-16B7-4BD0-9558-67B0DE40C2BB}"/>
    <cellStyle name="Style 95 2 2 2 2 7 2" xfId="17871" xr:uid="{0870BDD4-C323-418B-9274-80AA0B171337}"/>
    <cellStyle name="Style 95 2 2 2 2 7 2 2" xfId="36390" xr:uid="{5EB2CE64-0E5C-4AB5-953E-DC5318A1BE7F}"/>
    <cellStyle name="Style 95 2 2 2 2 7 3" xfId="36389" xr:uid="{AAA680A2-E382-4774-B72E-B9CB0277CAB8}"/>
    <cellStyle name="Style 95 2 2 2 2 8" xfId="17872" xr:uid="{6B491928-9567-4A82-8AD3-A7C94A692389}"/>
    <cellStyle name="Style 95 2 2 2 2 8 2" xfId="17873" xr:uid="{4653C2A2-15C8-46ED-9C84-B10CC0D0EADA}"/>
    <cellStyle name="Style 95 2 2 2 2 8 2 2" xfId="36392" xr:uid="{9F381EBE-BC59-4F71-9226-814C86F2E451}"/>
    <cellStyle name="Style 95 2 2 2 2 8 3" xfId="36391" xr:uid="{447CED75-B6D3-4C75-8F2F-65A01C457305}"/>
    <cellStyle name="Style 95 2 2 2 2 9" xfId="17874" xr:uid="{C30D5B54-0B94-46DF-8FE7-79023F3341C5}"/>
    <cellStyle name="Style 95 2 2 2 2 9 2" xfId="36393" xr:uid="{2F826F81-273A-4C2C-83E4-7B22BC5DA14E}"/>
    <cellStyle name="Style 95 2 2 2 3" xfId="3743" xr:uid="{92E15CFA-45CD-47DB-86E1-913B988C84EB}"/>
    <cellStyle name="Style 95 2 2 2 3 2" xfId="7593" xr:uid="{ACD8E6EC-D1A4-4213-9176-7E1B4B7D4A9D}"/>
    <cellStyle name="Style 95 2 2 2 3 2 2" xfId="17875" xr:uid="{07382A5F-EC6A-4079-A63E-7129048C796B}"/>
    <cellStyle name="Style 95 2 2 2 3 2 2 2" xfId="36394" xr:uid="{6C88FEFA-A490-405E-94DD-A31CBB4D2BAC}"/>
    <cellStyle name="Style 95 2 2 2 3 2 3" xfId="17876" xr:uid="{4C4B942A-60A3-4DB6-8406-93406F850BF1}"/>
    <cellStyle name="Style 95 2 2 2 3 2 3 2" xfId="36395" xr:uid="{AE223DCF-7CD5-4189-838A-F05CB17364DB}"/>
    <cellStyle name="Style 95 2 2 2 3 2 4" xfId="17877" xr:uid="{572B7910-7035-4497-99A8-234E86CC5BC4}"/>
    <cellStyle name="Style 95 2 2 2 3 2 4 2" xfId="36396" xr:uid="{43545D4D-91DF-4B09-A853-82436FE18560}"/>
    <cellStyle name="Style 95 2 2 2 3 3" xfId="17878" xr:uid="{BF25038F-54AE-45FF-8AF4-AAB1570F1797}"/>
    <cellStyle name="Style 95 2 2 2 3 3 2" xfId="17879" xr:uid="{61D87FA7-7E1C-43EC-AB5C-F546B00E7813}"/>
    <cellStyle name="Style 95 2 2 2 3 3 2 2" xfId="36397" xr:uid="{6D5F9CBE-1243-4FF8-923B-0AD501ED2146}"/>
    <cellStyle name="Style 95 2 2 2 3 3 3" xfId="17880" xr:uid="{37118551-6070-4807-8CCE-F3976E97C93F}"/>
    <cellStyle name="Style 95 2 2 2 3 3 3 2" xfId="36398" xr:uid="{4D7F8408-0AA6-4D0A-8202-A1E15739E4A0}"/>
    <cellStyle name="Style 95 2 2 2 3 4" xfId="17881" xr:uid="{8EE9F5D9-50B9-4336-99D2-7EB151F8FC3F}"/>
    <cellStyle name="Style 95 2 2 2 3 4 2" xfId="17882" xr:uid="{E1E871DE-DA44-4887-9C80-35E27E74DF40}"/>
    <cellStyle name="Style 95 2 2 2 3 4 2 2" xfId="36400" xr:uid="{2209CEFB-E318-4192-B443-732949469B1A}"/>
    <cellStyle name="Style 95 2 2 2 3 4 3" xfId="36399" xr:uid="{750A154C-AC12-4F90-8D0A-7216F5CE169B}"/>
    <cellStyle name="Style 95 2 2 2 3 5" xfId="17883" xr:uid="{E60B6929-54DC-45CA-A2AC-3ADE8C4B167E}"/>
    <cellStyle name="Style 95 2 2 2 3 5 2" xfId="17884" xr:uid="{81007B4B-43FB-4ED4-98ED-CFC0007E1F9A}"/>
    <cellStyle name="Style 95 2 2 2 3 5 2 2" xfId="36402" xr:uid="{89B191A3-14C5-4866-AD42-18A035BCC0EB}"/>
    <cellStyle name="Style 95 2 2 2 3 5 3" xfId="36401" xr:uid="{5203F098-8280-49F4-BCAE-5BE26D839DB5}"/>
    <cellStyle name="Style 95 2 2 2 3 6" xfId="17885" xr:uid="{3145CF9C-3F0F-4796-B5CF-C69E894C2747}"/>
    <cellStyle name="Style 95 2 2 2 3 6 2" xfId="17886" xr:uid="{C2B3D613-ED09-409A-B5A8-8598AA4205BC}"/>
    <cellStyle name="Style 95 2 2 2 3 6 2 2" xfId="36404" xr:uid="{9B1AA745-048C-4BE5-90D2-DBCB6EA44C77}"/>
    <cellStyle name="Style 95 2 2 2 3 6 3" xfId="36403" xr:uid="{DE3C5A11-D50F-417A-BA19-0B468F0544CD}"/>
    <cellStyle name="Style 95 2 2 2 3 7" xfId="17887" xr:uid="{C5466140-2814-4136-8BC6-3AF3992D502E}"/>
    <cellStyle name="Style 95 2 2 2 3 7 2" xfId="36405" xr:uid="{D82462E7-35F1-4112-AE29-4E0136C7D565}"/>
    <cellStyle name="Style 95 2 2 2 3 8" xfId="17888" xr:uid="{6982FF82-A7D5-487D-9424-6EF46A2D33DE}"/>
    <cellStyle name="Style 95 2 2 2 3 8 2" xfId="36406" xr:uid="{7EE60558-B36C-4360-99B0-2800DC22BCF6}"/>
    <cellStyle name="Style 95 2 2 2 4" xfId="7590" xr:uid="{A5D1A6E9-4D6A-476E-B347-7F1041488BAC}"/>
    <cellStyle name="Style 95 2 2 2 4 2" xfId="17889" xr:uid="{F70377C7-3806-4508-B8B2-CA0F05C646AD}"/>
    <cellStyle name="Style 95 2 2 2 4 2 2" xfId="36407" xr:uid="{FF6E7B78-0E31-44D6-BAB5-8A72BA5258E4}"/>
    <cellStyle name="Style 95 2 2 2 4 3" xfId="17890" xr:uid="{E9C3E6A7-9C32-4898-B675-435EDD20476D}"/>
    <cellStyle name="Style 95 2 2 2 4 3 2" xfId="36408" xr:uid="{C3DF8580-E6E4-4A84-B7FF-2786BD780354}"/>
    <cellStyle name="Style 95 2 2 2 4 4" xfId="17891" xr:uid="{E984A45E-0AB6-4902-A9FF-BD644E2419A7}"/>
    <cellStyle name="Style 95 2 2 2 4 4 2" xfId="36409" xr:uid="{51EBE422-9596-4CEB-944F-FA015D93F84B}"/>
    <cellStyle name="Style 95 2 2 2 5" xfId="17892" xr:uid="{040ACA4C-7384-4CB8-9D7C-CB2B6DF4A39A}"/>
    <cellStyle name="Style 95 2 2 2 5 2" xfId="17893" xr:uid="{9841CDC0-715D-4B0F-824A-B7106FBDB1C0}"/>
    <cellStyle name="Style 95 2 2 2 5 2 2" xfId="36410" xr:uid="{59B8902F-FE52-4A32-AF89-353AD89ECD35}"/>
    <cellStyle name="Style 95 2 2 2 5 3" xfId="17894" xr:uid="{3D024E79-1E37-4969-B6F1-72E30B8FCFDF}"/>
    <cellStyle name="Style 95 2 2 2 5 3 2" xfId="36411" xr:uid="{D62789DD-B570-40BE-83EE-5764B640672C}"/>
    <cellStyle name="Style 95 2 2 2 6" xfId="17895" xr:uid="{35FE8B6D-23D6-472E-9A35-656871C3F46C}"/>
    <cellStyle name="Style 95 2 2 2 6 2" xfId="17896" xr:uid="{DEEFFF04-0543-4CA0-B9F2-113EA18FC8B4}"/>
    <cellStyle name="Style 95 2 2 2 6 2 2" xfId="36413" xr:uid="{3CD91DF6-BECC-4000-9625-E2D44953D866}"/>
    <cellStyle name="Style 95 2 2 2 6 3" xfId="36412" xr:uid="{C4F5CC99-B9F2-486A-8A40-DC7E72BA316E}"/>
    <cellStyle name="Style 95 2 2 2 7" xfId="17897" xr:uid="{093CED6D-64A3-4054-B112-3D18F19B094C}"/>
    <cellStyle name="Style 95 2 2 2 7 2" xfId="17898" xr:uid="{AC81DC68-5DB2-48B8-A54A-CEE4BA1F8FBD}"/>
    <cellStyle name="Style 95 2 2 2 7 2 2" xfId="36415" xr:uid="{CC430281-0BC7-40B3-A5DC-BF2F8D6F82A2}"/>
    <cellStyle name="Style 95 2 2 2 7 3" xfId="36414" xr:uid="{DED3EAA6-D7E4-4187-9A16-FBE11D7689D7}"/>
    <cellStyle name="Style 95 2 2 2 8" xfId="17899" xr:uid="{2B3EB712-C645-453E-8577-CDF286FBEAFB}"/>
    <cellStyle name="Style 95 2 2 2 8 2" xfId="17900" xr:uid="{60A856E0-D02B-4FCB-9E43-451F969FD6F0}"/>
    <cellStyle name="Style 95 2 2 2 8 2 2" xfId="36417" xr:uid="{F20190BD-7637-4C75-BFB5-FE92D0850ECF}"/>
    <cellStyle name="Style 95 2 2 2 8 3" xfId="36416" xr:uid="{EFEE638F-A8BB-4092-94A9-DABDB95D9DD7}"/>
    <cellStyle name="Style 95 2 2 2 9" xfId="17901" xr:uid="{62EDB996-C83A-4784-A1AD-B31FEBD92652}"/>
    <cellStyle name="Style 95 2 2 2 9 2" xfId="17902" xr:uid="{66A639B6-FA7D-49B1-8C09-9C532A2D0D01}"/>
    <cellStyle name="Style 95 2 2 2 9 2 2" xfId="36419" xr:uid="{BB7FD8F1-8C7D-43E3-9482-62516FC9A4A0}"/>
    <cellStyle name="Style 95 2 2 2 9 3" xfId="36418" xr:uid="{14397239-995D-4396-84BA-A48BFDDAFA78}"/>
    <cellStyle name="Style 95 2 2 3" xfId="3744" xr:uid="{D4320D7F-927F-4106-B755-50556ED9C03D}"/>
    <cellStyle name="Style 95 2 2 3 10" xfId="17903" xr:uid="{38B5C3E0-4039-4AAD-AF2B-B5927EDE31CA}"/>
    <cellStyle name="Style 95 2 2 3 10 2" xfId="36420" xr:uid="{25B6C8AF-7CC4-4C9B-A163-6021545D55B8}"/>
    <cellStyle name="Style 95 2 2 3 2" xfId="3745" xr:uid="{6D0F3FCD-4E10-4554-A927-A82AA092D8F3}"/>
    <cellStyle name="Style 95 2 2 3 2 2" xfId="7595" xr:uid="{32F6DD79-4ACA-4E93-8E05-F581AB8BD652}"/>
    <cellStyle name="Style 95 2 2 3 2 2 2" xfId="17904" xr:uid="{DFE89EF3-040F-44F0-8140-7766B6F54B61}"/>
    <cellStyle name="Style 95 2 2 3 2 2 2 2" xfId="36421" xr:uid="{21CE03D8-AAF3-4C1D-B670-C7C75A3953A6}"/>
    <cellStyle name="Style 95 2 2 3 2 2 3" xfId="17905" xr:uid="{FE631406-4742-40DB-A289-85C4D62BC627}"/>
    <cellStyle name="Style 95 2 2 3 2 2 3 2" xfId="36422" xr:uid="{3C4A8EA1-9F63-42A6-92C4-E9E5BDAAE2E9}"/>
    <cellStyle name="Style 95 2 2 3 2 2 4" xfId="17906" xr:uid="{3358C431-6307-4AE2-A319-382210EDEF2C}"/>
    <cellStyle name="Style 95 2 2 3 2 2 4 2" xfId="36423" xr:uid="{C06DD3C8-0FB2-4D42-B850-353CFC2370B9}"/>
    <cellStyle name="Style 95 2 2 3 2 3" xfId="17907" xr:uid="{13F589C9-8384-45F7-A017-17B07261EB4C}"/>
    <cellStyle name="Style 95 2 2 3 2 3 2" xfId="17908" xr:uid="{F3D20FD5-73F1-455D-B766-8375E42FB413}"/>
    <cellStyle name="Style 95 2 2 3 2 3 2 2" xfId="36424" xr:uid="{115BEC96-4B1A-49DA-B64A-45A3728A57AA}"/>
    <cellStyle name="Style 95 2 2 3 2 3 3" xfId="17909" xr:uid="{B78845D8-36B4-4A34-8C67-BBB262B7742B}"/>
    <cellStyle name="Style 95 2 2 3 2 3 3 2" xfId="36425" xr:uid="{BC69CF64-206D-4D55-BDD9-9C15C0521873}"/>
    <cellStyle name="Style 95 2 2 3 2 4" xfId="17910" xr:uid="{3E51513D-0310-43DE-938A-B2796A684F13}"/>
    <cellStyle name="Style 95 2 2 3 2 4 2" xfId="17911" xr:uid="{D51FFCD7-5C39-4134-9580-221823BA4352}"/>
    <cellStyle name="Style 95 2 2 3 2 4 2 2" xfId="36427" xr:uid="{1FC8D1D4-68D6-41C1-9BA9-22E2A3617199}"/>
    <cellStyle name="Style 95 2 2 3 2 4 3" xfId="36426" xr:uid="{48A24F88-6EDA-4BA6-8AC9-79F42D902F96}"/>
    <cellStyle name="Style 95 2 2 3 2 5" xfId="17912" xr:uid="{91B75420-6FB6-4900-B856-9E55E0F9A1CB}"/>
    <cellStyle name="Style 95 2 2 3 2 5 2" xfId="17913" xr:uid="{B2880871-8BF9-421E-B5FB-CF543A3E3B24}"/>
    <cellStyle name="Style 95 2 2 3 2 5 2 2" xfId="36429" xr:uid="{2D867FAC-C747-41F7-B632-2544AD1CE568}"/>
    <cellStyle name="Style 95 2 2 3 2 5 3" xfId="36428" xr:uid="{772B059D-4FF5-48B7-AAD6-2C16F4AA346C}"/>
    <cellStyle name="Style 95 2 2 3 2 6" xfId="17914" xr:uid="{7E4BF6B4-963E-4ECD-A0C5-D5F1BC4C02AA}"/>
    <cellStyle name="Style 95 2 2 3 2 6 2" xfId="17915" xr:uid="{888E0758-F3E4-4B55-8556-4C4FAFB20171}"/>
    <cellStyle name="Style 95 2 2 3 2 6 2 2" xfId="36431" xr:uid="{1C93F628-15A9-4EF7-A07D-EC3E1D8E8B33}"/>
    <cellStyle name="Style 95 2 2 3 2 6 3" xfId="36430" xr:uid="{4BB04C03-BC0A-454D-ADC6-A6A186239694}"/>
    <cellStyle name="Style 95 2 2 3 2 7" xfId="17916" xr:uid="{613E7B9D-D2E5-4081-A0BF-155878AD4D8A}"/>
    <cellStyle name="Style 95 2 2 3 2 7 2" xfId="36432" xr:uid="{81F43316-5F00-4E81-AB36-B5401ED3D07F}"/>
    <cellStyle name="Style 95 2 2 3 2 8" xfId="17917" xr:uid="{B957CD1F-166D-4873-A9E9-D62F64A7988D}"/>
    <cellStyle name="Style 95 2 2 3 2 8 2" xfId="36433" xr:uid="{582F9EC7-2E1C-48CD-A63E-B2C8699DC2C4}"/>
    <cellStyle name="Style 95 2 2 3 3" xfId="7594" xr:uid="{155E2BE5-EB79-4DD3-B769-E4F954B17CDB}"/>
    <cellStyle name="Style 95 2 2 3 3 2" xfId="17918" xr:uid="{E8AC5A3F-3638-441E-B8A8-B574A5E6CE1D}"/>
    <cellStyle name="Style 95 2 2 3 3 2 2" xfId="36434" xr:uid="{D755A587-B5C3-4DE5-B721-5650E329170D}"/>
    <cellStyle name="Style 95 2 2 3 3 3" xfId="17919" xr:uid="{AFDD78BE-7856-4F06-A96D-7D2033AD5277}"/>
    <cellStyle name="Style 95 2 2 3 3 3 2" xfId="36435" xr:uid="{B0CFE63B-33B5-4E3A-A920-5383D0F0FC7D}"/>
    <cellStyle name="Style 95 2 2 3 3 4" xfId="17920" xr:uid="{43549F9C-6A34-4BC1-B96F-E0D6AAD7523D}"/>
    <cellStyle name="Style 95 2 2 3 3 4 2" xfId="36436" xr:uid="{65091EF0-DED9-4567-BAB5-CCDB876B704C}"/>
    <cellStyle name="Style 95 2 2 3 4" xfId="17921" xr:uid="{C66CEF0B-E692-40E2-8F17-C33E3692D546}"/>
    <cellStyle name="Style 95 2 2 3 4 2" xfId="17922" xr:uid="{62593DFD-2B90-48FE-8C93-0A40A8F7CBF3}"/>
    <cellStyle name="Style 95 2 2 3 4 2 2" xfId="36437" xr:uid="{59CF0FF5-1D69-4A81-A7EC-D26581222E71}"/>
    <cellStyle name="Style 95 2 2 3 4 3" xfId="17923" xr:uid="{58FBD5C4-22E2-4F44-B091-51C5EA17055E}"/>
    <cellStyle name="Style 95 2 2 3 4 3 2" xfId="36438" xr:uid="{C0D5FDA8-D621-4B85-8098-FB3A91B6585F}"/>
    <cellStyle name="Style 95 2 2 3 5" xfId="17924" xr:uid="{4192841C-38CC-447B-805A-32F34D5B374E}"/>
    <cellStyle name="Style 95 2 2 3 5 2" xfId="17925" xr:uid="{502316E4-C94C-4B5F-8EE8-2C99584C34DE}"/>
    <cellStyle name="Style 95 2 2 3 5 2 2" xfId="36440" xr:uid="{BC2AB4DA-67B4-449C-A330-FEF9F63C8132}"/>
    <cellStyle name="Style 95 2 2 3 5 3" xfId="36439" xr:uid="{902C813D-D4FF-4046-8CB1-D22D1A3D937E}"/>
    <cellStyle name="Style 95 2 2 3 6" xfId="17926" xr:uid="{CA9116F6-6E05-46C0-9EBF-75A0A2E513E9}"/>
    <cellStyle name="Style 95 2 2 3 6 2" xfId="17927" xr:uid="{18F01D36-5A22-4B6D-BC4C-5235764E3430}"/>
    <cellStyle name="Style 95 2 2 3 6 2 2" xfId="36442" xr:uid="{D0B81A59-C6CA-482F-AB2A-DAB814BAE709}"/>
    <cellStyle name="Style 95 2 2 3 6 3" xfId="36441" xr:uid="{B93196DA-C820-4790-ACD6-63160FF297C0}"/>
    <cellStyle name="Style 95 2 2 3 7" xfId="17928" xr:uid="{473B4E28-984C-499F-93CB-BD76E76378FB}"/>
    <cellStyle name="Style 95 2 2 3 7 2" xfId="17929" xr:uid="{8234AEFB-0C18-4627-9BE2-2B393B0CFAE9}"/>
    <cellStyle name="Style 95 2 2 3 7 2 2" xfId="36444" xr:uid="{740D0CBC-2002-4F06-A660-C2EADF3D3F7B}"/>
    <cellStyle name="Style 95 2 2 3 7 3" xfId="36443" xr:uid="{9E6B3658-261E-4E28-9D91-EA99CB1ED9F1}"/>
    <cellStyle name="Style 95 2 2 3 8" xfId="17930" xr:uid="{1A3E8EC6-AAB5-4F76-BDC4-FDCCFD4DC8E7}"/>
    <cellStyle name="Style 95 2 2 3 8 2" xfId="17931" xr:uid="{46280403-4D78-48FF-BF40-4E68B9F5E74E}"/>
    <cellStyle name="Style 95 2 2 3 8 2 2" xfId="36446" xr:uid="{E0DDE9A1-E1EA-4CCB-8265-208A7C2DFD35}"/>
    <cellStyle name="Style 95 2 2 3 8 3" xfId="36445" xr:uid="{8C24FACD-9C56-4831-AD1D-F0C404615D02}"/>
    <cellStyle name="Style 95 2 2 3 9" xfId="17932" xr:uid="{3EEFAC92-AE40-4533-A9A1-21B1E23D44BB}"/>
    <cellStyle name="Style 95 2 2 3 9 2" xfId="36447" xr:uid="{C90940BF-51A0-4CA4-9DDB-078771C12D0A}"/>
    <cellStyle name="Style 95 2 2 4" xfId="3746" xr:uid="{AEE24B56-7D6F-40E5-9AA2-EFA3B2C69B08}"/>
    <cellStyle name="Style 95 2 2 4 2" xfId="7596" xr:uid="{2BBB2B2A-5106-4E7C-B06A-A5C34240B7DF}"/>
    <cellStyle name="Style 95 2 2 4 2 2" xfId="17933" xr:uid="{46636334-2210-4844-B67D-682AF2E0EBB3}"/>
    <cellStyle name="Style 95 2 2 4 2 2 2" xfId="36448" xr:uid="{C1AEE0C4-1F76-4471-A056-13782577F79E}"/>
    <cellStyle name="Style 95 2 2 4 2 3" xfId="17934" xr:uid="{5E8E4D0F-8689-42CE-A2A4-88299C246C78}"/>
    <cellStyle name="Style 95 2 2 4 2 3 2" xfId="36449" xr:uid="{C7667833-5B9B-42AB-BD7C-430EA0B42E07}"/>
    <cellStyle name="Style 95 2 2 4 2 4" xfId="17935" xr:uid="{A4835E97-7B9E-4170-A204-7809B953CC9A}"/>
    <cellStyle name="Style 95 2 2 4 2 4 2" xfId="36450" xr:uid="{AC5F72AA-E7BD-4DB9-98BF-95DDD82E91D6}"/>
    <cellStyle name="Style 95 2 2 4 3" xfId="17936" xr:uid="{A135BBA7-E9C3-4626-A970-F4F90ED7DF32}"/>
    <cellStyle name="Style 95 2 2 4 3 2" xfId="17937" xr:uid="{71F23463-6853-4BD8-9A77-1357C1AEECAB}"/>
    <cellStyle name="Style 95 2 2 4 3 2 2" xfId="36451" xr:uid="{E66B84CB-639F-4C6D-9E0C-4A834953F334}"/>
    <cellStyle name="Style 95 2 2 4 3 3" xfId="17938" xr:uid="{2E2AE090-EB11-4A11-9A7B-DB7995E5332B}"/>
    <cellStyle name="Style 95 2 2 4 3 3 2" xfId="36452" xr:uid="{EBE7C839-BB3A-4E21-9501-3CC36FBB92AF}"/>
    <cellStyle name="Style 95 2 2 4 4" xfId="17939" xr:uid="{3D07E60B-B564-4224-A12A-AAF359960482}"/>
    <cellStyle name="Style 95 2 2 4 4 2" xfId="17940" xr:uid="{877CC74B-914F-452C-90F4-F55B5CF68169}"/>
    <cellStyle name="Style 95 2 2 4 4 2 2" xfId="36454" xr:uid="{5389E354-C45A-44D1-9F29-BE66DD9DE5BC}"/>
    <cellStyle name="Style 95 2 2 4 4 3" xfId="36453" xr:uid="{0F7C5DAF-3AE8-41C9-8B58-F26DF3CA94DC}"/>
    <cellStyle name="Style 95 2 2 4 5" xfId="17941" xr:uid="{2182DAED-D636-433D-A635-41A6AD729643}"/>
    <cellStyle name="Style 95 2 2 4 5 2" xfId="17942" xr:uid="{D3BE7FFF-0F7B-4DBC-A85F-B988DF85FDD5}"/>
    <cellStyle name="Style 95 2 2 4 5 2 2" xfId="36456" xr:uid="{970B7B41-5BB7-41F2-B0C7-ED5F730B13CC}"/>
    <cellStyle name="Style 95 2 2 4 5 3" xfId="36455" xr:uid="{8CDEF500-A842-4F60-BD0F-7938C0908834}"/>
    <cellStyle name="Style 95 2 2 4 6" xfId="17943" xr:uid="{4E43236A-CC57-468D-BCA3-62706CA3C471}"/>
    <cellStyle name="Style 95 2 2 4 6 2" xfId="17944" xr:uid="{849E00BA-84A5-4B97-A81E-61EFF9825B4C}"/>
    <cellStyle name="Style 95 2 2 4 6 2 2" xfId="36458" xr:uid="{0B80E293-4F90-43D9-A2A7-982DDEAB456C}"/>
    <cellStyle name="Style 95 2 2 4 6 3" xfId="36457" xr:uid="{6D4D9D4B-32B8-459A-AB11-734AC7EEF3D5}"/>
    <cellStyle name="Style 95 2 2 4 7" xfId="17945" xr:uid="{0A0B867C-522A-4B24-9158-99D7A87943B1}"/>
    <cellStyle name="Style 95 2 2 4 7 2" xfId="36459" xr:uid="{4F9677E9-6B95-47FA-8245-192E7E7915BF}"/>
    <cellStyle name="Style 95 2 2 4 8" xfId="17946" xr:uid="{48602ADB-88A1-4CBF-BBDD-3F8DB8C15562}"/>
    <cellStyle name="Style 95 2 2 4 8 2" xfId="36460" xr:uid="{47DA8B7D-6E47-491C-A8AF-9351A0CC0459}"/>
    <cellStyle name="Style 95 2 2 5" xfId="7589" xr:uid="{2EB05CE6-F8CF-4777-BB23-16CDC6E3538B}"/>
    <cellStyle name="Style 95 2 2 5 2" xfId="17947" xr:uid="{AD9C9EB4-1742-4788-AA4B-C7FFB88D9AD3}"/>
    <cellStyle name="Style 95 2 2 5 2 2" xfId="36461" xr:uid="{6D9D1883-57AA-4AB5-902D-C8BD9CA2441D}"/>
    <cellStyle name="Style 95 2 2 5 3" xfId="17948" xr:uid="{22050FAE-C291-4011-8F54-392B9B9AE216}"/>
    <cellStyle name="Style 95 2 2 5 3 2" xfId="36462" xr:uid="{17CB0AF5-1ABC-440E-A409-F03396C3303C}"/>
    <cellStyle name="Style 95 2 2 5 4" xfId="17949" xr:uid="{536B31ED-3B88-461E-B994-493F0FE5E7BA}"/>
    <cellStyle name="Style 95 2 2 5 4 2" xfId="36463" xr:uid="{69C2C3D0-FD20-44CD-99C9-9A576D7BA07A}"/>
    <cellStyle name="Style 95 2 2 6" xfId="17950" xr:uid="{E99D0E61-7A88-415F-8858-F72378E5C8F4}"/>
    <cellStyle name="Style 95 2 2 6 2" xfId="17951" xr:uid="{3F6CA5F7-3016-4128-BAA4-1E806550BE17}"/>
    <cellStyle name="Style 95 2 2 6 2 2" xfId="36464" xr:uid="{786E894A-A079-444A-9FC7-817EBA23AFDD}"/>
    <cellStyle name="Style 95 2 2 6 3" xfId="17952" xr:uid="{1904EAE4-FB1C-45AE-82A9-CBB0CEC66871}"/>
    <cellStyle name="Style 95 2 2 6 3 2" xfId="36465" xr:uid="{45EAC2CF-20BA-4FB8-A89A-665C234CA11D}"/>
    <cellStyle name="Style 95 2 2 7" xfId="17953" xr:uid="{C6537F31-D4B8-4435-9344-0B5E5EA62FBF}"/>
    <cellStyle name="Style 95 2 2 7 2" xfId="17954" xr:uid="{0961A5F1-6D15-4948-A80E-6D4D51185D8B}"/>
    <cellStyle name="Style 95 2 2 7 2 2" xfId="36467" xr:uid="{C91E723A-C8BC-4A13-98C5-D4561A225A0E}"/>
    <cellStyle name="Style 95 2 2 7 3" xfId="36466" xr:uid="{2CC5344A-E071-486E-8C64-6664AFE560BC}"/>
    <cellStyle name="Style 95 2 2 8" xfId="17955" xr:uid="{F6082538-DE78-440E-AE19-2AAE4F48867F}"/>
    <cellStyle name="Style 95 2 2 8 2" xfId="17956" xr:uid="{416A52FE-02F8-42EF-938C-60A83AD548CE}"/>
    <cellStyle name="Style 95 2 2 8 2 2" xfId="36469" xr:uid="{8661B2A9-31AB-4FCD-A37A-D75E29B7CDA5}"/>
    <cellStyle name="Style 95 2 2 8 3" xfId="36468" xr:uid="{4B88BABF-9C2A-4FF5-AB0E-81086BA9FFE8}"/>
    <cellStyle name="Style 95 2 2 9" xfId="17957" xr:uid="{5929DB89-4111-4E5E-B8E1-567D67A5AC41}"/>
    <cellStyle name="Style 95 2 2 9 2" xfId="17958" xr:uid="{2D65A06E-33F4-4E7E-92DB-9744F74E985F}"/>
    <cellStyle name="Style 95 2 2 9 2 2" xfId="36471" xr:uid="{D1BED277-BA2A-4CCB-898F-5B01B01EC941}"/>
    <cellStyle name="Style 95 2 2 9 3" xfId="36470" xr:uid="{B62C2C64-0917-4D37-B5D2-8CDB0A4A7B80}"/>
    <cellStyle name="Style 95 2 3" xfId="3747" xr:uid="{7E1C5C54-9EEA-4D64-B6A4-F12EECB7F640}"/>
    <cellStyle name="Style 95 2 3 10" xfId="17959" xr:uid="{D5FD47F7-FD0E-403A-8F55-0173D2DAFACE}"/>
    <cellStyle name="Style 95 2 3 10 2" xfId="36472" xr:uid="{C23A6A59-6A5C-4226-B007-E0FDBEBD64C4}"/>
    <cellStyle name="Style 95 2 3 11" xfId="17960" xr:uid="{B46C5A65-D3A2-42A5-BE9B-8AA2AC96E28D}"/>
    <cellStyle name="Style 95 2 3 11 2" xfId="36473" xr:uid="{D9E205F0-83EA-4CBF-BB9E-28A91789AF8A}"/>
    <cellStyle name="Style 95 2 3 2" xfId="3748" xr:uid="{9878E18D-3E61-437C-8C6F-D948DCDA128D}"/>
    <cellStyle name="Style 95 2 3 2 10" xfId="17961" xr:uid="{01889D7F-03B6-490B-85D3-8151AF863EED}"/>
    <cellStyle name="Style 95 2 3 2 10 2" xfId="36474" xr:uid="{8837C7B2-5A3F-41B6-AC5B-93DCFE768A76}"/>
    <cellStyle name="Style 95 2 3 2 2" xfId="3749" xr:uid="{837D6D46-6370-46CD-8C75-341A2BB28123}"/>
    <cellStyle name="Style 95 2 3 2 2 2" xfId="7599" xr:uid="{38115D17-46E8-4BB8-B264-DA127CA010A7}"/>
    <cellStyle name="Style 95 2 3 2 2 2 2" xfId="17962" xr:uid="{F5A7AA67-C67B-4B33-BB01-B0E768A62A34}"/>
    <cellStyle name="Style 95 2 3 2 2 2 2 2" xfId="36475" xr:uid="{37065219-DD1C-4824-ADD1-0E436EB2DB1D}"/>
    <cellStyle name="Style 95 2 3 2 2 2 3" xfId="17963" xr:uid="{7DE0F979-13C3-4775-8D19-6381EA47DE0C}"/>
    <cellStyle name="Style 95 2 3 2 2 2 3 2" xfId="36476" xr:uid="{2EBC310F-E862-40FD-BC83-2E6BB0204794}"/>
    <cellStyle name="Style 95 2 3 2 2 2 4" xfId="17964" xr:uid="{C12AB0B9-64CF-4C1E-BA45-68DCF236EADF}"/>
    <cellStyle name="Style 95 2 3 2 2 2 4 2" xfId="36477" xr:uid="{59A71693-09FD-40BF-8FA4-BF20A179455B}"/>
    <cellStyle name="Style 95 2 3 2 2 3" xfId="17965" xr:uid="{6626D18B-26E0-49B2-B43D-B341BE2DA92C}"/>
    <cellStyle name="Style 95 2 3 2 2 3 2" xfId="17966" xr:uid="{B92EB817-1EA3-4231-89B5-728D812B9C08}"/>
    <cellStyle name="Style 95 2 3 2 2 3 2 2" xfId="36478" xr:uid="{E28EE596-1A81-49FA-8071-95D76D4D8090}"/>
    <cellStyle name="Style 95 2 3 2 2 3 3" xfId="17967" xr:uid="{813C899D-3A8E-4E58-A8A3-A013E6A6E61C}"/>
    <cellStyle name="Style 95 2 3 2 2 3 3 2" xfId="36479" xr:uid="{98092126-705F-4D66-9EB2-A7CD7E30A3A3}"/>
    <cellStyle name="Style 95 2 3 2 2 4" xfId="17968" xr:uid="{86BF4C69-903A-43A7-8CDE-1DBAECA8143C}"/>
    <cellStyle name="Style 95 2 3 2 2 4 2" xfId="17969" xr:uid="{E0830F08-2D0F-4B99-9D95-AD1956D37346}"/>
    <cellStyle name="Style 95 2 3 2 2 4 2 2" xfId="36481" xr:uid="{844F4CB9-C5C4-43C9-9414-766B81D7B66A}"/>
    <cellStyle name="Style 95 2 3 2 2 4 3" xfId="36480" xr:uid="{A72963C4-8505-4038-9F9F-4C40B82C0FF5}"/>
    <cellStyle name="Style 95 2 3 2 2 5" xfId="17970" xr:uid="{6929589E-6B0B-41FF-8484-4556D03C0420}"/>
    <cellStyle name="Style 95 2 3 2 2 5 2" xfId="17971" xr:uid="{96E4FFAC-A4AD-4C28-A91C-5478049C2907}"/>
    <cellStyle name="Style 95 2 3 2 2 5 2 2" xfId="36483" xr:uid="{96AF91E1-6861-49C2-A024-7063025AD763}"/>
    <cellStyle name="Style 95 2 3 2 2 5 3" xfId="36482" xr:uid="{2D536573-A2F8-47EB-A336-977A1BB44F2A}"/>
    <cellStyle name="Style 95 2 3 2 2 6" xfId="17972" xr:uid="{5EAE7A03-E6CC-4DA2-9353-F895ABB13414}"/>
    <cellStyle name="Style 95 2 3 2 2 6 2" xfId="17973" xr:uid="{81356F5F-2122-43C5-B7B3-E4EF3EA16CC6}"/>
    <cellStyle name="Style 95 2 3 2 2 6 2 2" xfId="36485" xr:uid="{885E3363-F58B-4048-9FDD-4778AD2E43BA}"/>
    <cellStyle name="Style 95 2 3 2 2 6 3" xfId="36484" xr:uid="{B18AB884-BFEA-448D-9242-587061B3E37C}"/>
    <cellStyle name="Style 95 2 3 2 2 7" xfId="17974" xr:uid="{53D061CD-A2C2-4754-90EC-3FCB1C5981F6}"/>
    <cellStyle name="Style 95 2 3 2 2 7 2" xfId="36486" xr:uid="{15AB8159-97BA-4BF6-8638-7D971883F711}"/>
    <cellStyle name="Style 95 2 3 2 2 8" xfId="17975" xr:uid="{A9105749-E3CB-476E-8407-A10E525746D2}"/>
    <cellStyle name="Style 95 2 3 2 2 8 2" xfId="36487" xr:uid="{C3794E88-FD55-43CA-8115-C9DE72A7DAD1}"/>
    <cellStyle name="Style 95 2 3 2 3" xfId="7598" xr:uid="{76BEDC79-58F2-4F61-85FF-FCC749A2F2EB}"/>
    <cellStyle name="Style 95 2 3 2 3 2" xfId="17976" xr:uid="{9DC18F64-FC07-4208-8FFA-AAC4292CEBF0}"/>
    <cellStyle name="Style 95 2 3 2 3 2 2" xfId="36488" xr:uid="{564A37C7-C847-4FE8-9DA7-9B681D51CD5F}"/>
    <cellStyle name="Style 95 2 3 2 3 3" xfId="17977" xr:uid="{108E8E1D-0011-4DF5-9D09-B0215CC01519}"/>
    <cellStyle name="Style 95 2 3 2 3 3 2" xfId="36489" xr:uid="{E73FFD6D-2D44-485F-BB12-E5197026148E}"/>
    <cellStyle name="Style 95 2 3 2 3 4" xfId="17978" xr:uid="{73C82C21-4386-4FCD-941E-EC76145986ED}"/>
    <cellStyle name="Style 95 2 3 2 3 4 2" xfId="36490" xr:uid="{FEDBD330-B01D-4657-93EC-CCA954EF9A23}"/>
    <cellStyle name="Style 95 2 3 2 4" xfId="17979" xr:uid="{391E054F-F664-4D63-8D95-BE682C65E8CE}"/>
    <cellStyle name="Style 95 2 3 2 4 2" xfId="17980" xr:uid="{C43098A8-D3CC-4566-9D9E-557612F13E27}"/>
    <cellStyle name="Style 95 2 3 2 4 2 2" xfId="36491" xr:uid="{F915FBD0-E13D-476D-BB6D-CF412BEFD0AD}"/>
    <cellStyle name="Style 95 2 3 2 4 3" xfId="17981" xr:uid="{09769A74-5B4C-46CD-A111-542D23578F2F}"/>
    <cellStyle name="Style 95 2 3 2 4 3 2" xfId="36492" xr:uid="{C9A2512E-C215-43A5-9F7F-A906BCBD4DA5}"/>
    <cellStyle name="Style 95 2 3 2 5" xfId="17982" xr:uid="{752BA880-BBB6-46B0-A68C-8AC0CDA277FC}"/>
    <cellStyle name="Style 95 2 3 2 5 2" xfId="17983" xr:uid="{BE680D45-7A4A-4709-8D14-57B5F07BC92F}"/>
    <cellStyle name="Style 95 2 3 2 5 2 2" xfId="36494" xr:uid="{73E3076C-D33A-4D42-B6F5-7B621F2CB097}"/>
    <cellStyle name="Style 95 2 3 2 5 3" xfId="36493" xr:uid="{006CDCBE-54DA-4AEA-8F28-11CC3AA78B38}"/>
    <cellStyle name="Style 95 2 3 2 6" xfId="17984" xr:uid="{A66B1353-6951-42FC-A3FE-14A2E2E619BB}"/>
    <cellStyle name="Style 95 2 3 2 6 2" xfId="17985" xr:uid="{F34CBF19-D6C9-4E44-B6F5-6183847F6DAD}"/>
    <cellStyle name="Style 95 2 3 2 6 2 2" xfId="36496" xr:uid="{B114FFEB-9BB1-46C2-8516-3AF45E45218C}"/>
    <cellStyle name="Style 95 2 3 2 6 3" xfId="36495" xr:uid="{597C9D4C-4FC2-49BC-8C90-F3241957FC69}"/>
    <cellStyle name="Style 95 2 3 2 7" xfId="17986" xr:uid="{BAABC268-56E6-4A78-9B5D-C5EFE9E3FB2B}"/>
    <cellStyle name="Style 95 2 3 2 7 2" xfId="17987" xr:uid="{4AAD575F-B981-4DEE-ABB3-786957624C68}"/>
    <cellStyle name="Style 95 2 3 2 7 2 2" xfId="36498" xr:uid="{78D8BCF6-E0A0-4FF2-9CD0-D2AF251C1D28}"/>
    <cellStyle name="Style 95 2 3 2 7 3" xfId="36497" xr:uid="{054ACD7E-2610-4F15-9FAC-045E81BE1C65}"/>
    <cellStyle name="Style 95 2 3 2 8" xfId="17988" xr:uid="{94F702B8-EA7D-47CD-BCC7-067439515141}"/>
    <cellStyle name="Style 95 2 3 2 8 2" xfId="17989" xr:uid="{B8115BE0-1EBD-452C-B1BD-2E315A3839D8}"/>
    <cellStyle name="Style 95 2 3 2 8 2 2" xfId="36500" xr:uid="{EA522BFA-9619-4C7A-89D0-8E118962EAD9}"/>
    <cellStyle name="Style 95 2 3 2 8 3" xfId="36499" xr:uid="{B478A163-93C6-4702-B23E-71B8DA815028}"/>
    <cellStyle name="Style 95 2 3 2 9" xfId="17990" xr:uid="{C34ACC9A-AA5B-4169-84E4-D590B0EC8DC3}"/>
    <cellStyle name="Style 95 2 3 2 9 2" xfId="36501" xr:uid="{87204F5F-24F5-46D7-8FF6-F1D9887F20DA}"/>
    <cellStyle name="Style 95 2 3 3" xfId="3750" xr:uid="{745B9D16-2379-4877-815D-E88FDF6BEC88}"/>
    <cellStyle name="Style 95 2 3 3 2" xfId="7600" xr:uid="{5BE1C99D-9912-43F6-ACDD-0F6B8FC6DC7C}"/>
    <cellStyle name="Style 95 2 3 3 2 2" xfId="17991" xr:uid="{0B5E3122-0D44-412A-B2E1-DDABEB7E8FF0}"/>
    <cellStyle name="Style 95 2 3 3 2 2 2" xfId="36502" xr:uid="{B7A32E84-0C16-4541-B721-2C443DE18732}"/>
    <cellStyle name="Style 95 2 3 3 2 3" xfId="17992" xr:uid="{F1E06D45-849D-4922-BBC5-B8AA8AE2FB81}"/>
    <cellStyle name="Style 95 2 3 3 2 3 2" xfId="36503" xr:uid="{239D8285-AEC8-4559-854A-949B1B329967}"/>
    <cellStyle name="Style 95 2 3 3 2 4" xfId="17993" xr:uid="{EC3308C8-A056-40B7-9986-6E33F6B79A42}"/>
    <cellStyle name="Style 95 2 3 3 2 4 2" xfId="36504" xr:uid="{2396B079-B5B9-4887-806E-669EE0434954}"/>
    <cellStyle name="Style 95 2 3 3 3" xfId="17994" xr:uid="{072EE921-982D-416A-97FA-3712A48443EE}"/>
    <cellStyle name="Style 95 2 3 3 3 2" xfId="17995" xr:uid="{4B605670-2C5C-4CEC-BA7E-62B66A9930AC}"/>
    <cellStyle name="Style 95 2 3 3 3 2 2" xfId="36505" xr:uid="{75EF5F03-F1B2-4A45-85A8-1B23A3EF6A20}"/>
    <cellStyle name="Style 95 2 3 3 3 3" xfId="17996" xr:uid="{1A31F282-BA4D-44CC-BA85-2DC583D764A8}"/>
    <cellStyle name="Style 95 2 3 3 3 3 2" xfId="36506" xr:uid="{355714B5-9AE4-4380-9330-BDCC99F8954C}"/>
    <cellStyle name="Style 95 2 3 3 4" xfId="17997" xr:uid="{B7290A1D-93A8-438B-BE3B-4C8F154D8DD9}"/>
    <cellStyle name="Style 95 2 3 3 4 2" xfId="17998" xr:uid="{3A66CADF-87C0-427E-B3D4-BF39382B75C9}"/>
    <cellStyle name="Style 95 2 3 3 4 2 2" xfId="36508" xr:uid="{0CF9CA5B-9FAB-495C-AFFC-C916BDDEF9A9}"/>
    <cellStyle name="Style 95 2 3 3 4 3" xfId="36507" xr:uid="{16627D15-97EE-4776-86EF-D4F3DBA4D081}"/>
    <cellStyle name="Style 95 2 3 3 5" xfId="17999" xr:uid="{AED5D567-EBC1-4946-A096-7B34CDA3033E}"/>
    <cellStyle name="Style 95 2 3 3 5 2" xfId="18000" xr:uid="{09B6A591-41D5-4614-9A31-E04BA2C4AC36}"/>
    <cellStyle name="Style 95 2 3 3 5 2 2" xfId="36510" xr:uid="{73FCDB7C-B660-4A45-B794-64B0D63F254E}"/>
    <cellStyle name="Style 95 2 3 3 5 3" xfId="36509" xr:uid="{176CE75C-8046-47D6-B615-6C0199858342}"/>
    <cellStyle name="Style 95 2 3 3 6" xfId="18001" xr:uid="{6C006814-90F1-4FB4-8D0A-97040059F99E}"/>
    <cellStyle name="Style 95 2 3 3 6 2" xfId="18002" xr:uid="{63284F2E-936E-4C63-B263-F7761B07C143}"/>
    <cellStyle name="Style 95 2 3 3 6 2 2" xfId="36512" xr:uid="{3505A041-2FA9-46CD-93B2-2AD09D238037}"/>
    <cellStyle name="Style 95 2 3 3 6 3" xfId="36511" xr:uid="{9D2D7DD4-9E43-421C-BE27-BDCC8E85A3F0}"/>
    <cellStyle name="Style 95 2 3 3 7" xfId="18003" xr:uid="{D514F409-56A3-4573-8A14-831EBFB6B2BA}"/>
    <cellStyle name="Style 95 2 3 3 7 2" xfId="36513" xr:uid="{87251BCD-CFD5-4B9C-985B-91007C8AD143}"/>
    <cellStyle name="Style 95 2 3 3 8" xfId="18004" xr:uid="{C59E02EE-6328-4DB6-AE1B-6E9CD052D144}"/>
    <cellStyle name="Style 95 2 3 3 8 2" xfId="36514" xr:uid="{3C68A9DB-4D43-4DCA-B41E-5C773203ECE2}"/>
    <cellStyle name="Style 95 2 3 4" xfId="7597" xr:uid="{32332952-2FB8-4881-A326-2D9CD15ED668}"/>
    <cellStyle name="Style 95 2 3 4 2" xfId="18005" xr:uid="{81AFD4E4-03E7-465E-B35D-60E0718EE985}"/>
    <cellStyle name="Style 95 2 3 4 2 2" xfId="36515" xr:uid="{8AC46FA2-E868-46D3-A449-D6B544EE63EB}"/>
    <cellStyle name="Style 95 2 3 4 3" xfId="18006" xr:uid="{112BFC19-A869-4025-80FA-EF4BB80E48AC}"/>
    <cellStyle name="Style 95 2 3 4 3 2" xfId="36516" xr:uid="{F0852954-8EBB-4C85-9ED1-6CF3117B55A8}"/>
    <cellStyle name="Style 95 2 3 4 4" xfId="18007" xr:uid="{BC241D7B-0369-4464-9DDE-A17D5FE07D78}"/>
    <cellStyle name="Style 95 2 3 4 4 2" xfId="36517" xr:uid="{5C7DA8A2-CDFF-422C-A67D-89AE209AB26B}"/>
    <cellStyle name="Style 95 2 3 5" xfId="18008" xr:uid="{E6F1B6AB-B038-4240-B783-F8B019CE26AC}"/>
    <cellStyle name="Style 95 2 3 5 2" xfId="18009" xr:uid="{A940427F-9F60-41F0-B9F8-692A8C584F7A}"/>
    <cellStyle name="Style 95 2 3 5 2 2" xfId="36518" xr:uid="{AEECB7ED-9872-49FF-9829-E70485D22C5A}"/>
    <cellStyle name="Style 95 2 3 5 3" xfId="18010" xr:uid="{F86481A3-47FA-41CB-BB41-A40220C47E03}"/>
    <cellStyle name="Style 95 2 3 5 3 2" xfId="36519" xr:uid="{86AC20DA-20AC-4DB7-917A-267A49A4083D}"/>
    <cellStyle name="Style 95 2 3 6" xfId="18011" xr:uid="{B12794C0-D1E4-4F6D-A8A6-E83937396FD4}"/>
    <cellStyle name="Style 95 2 3 6 2" xfId="18012" xr:uid="{3784DBFD-1A9C-40E5-AC3C-C9440A826095}"/>
    <cellStyle name="Style 95 2 3 6 2 2" xfId="36521" xr:uid="{E90068DF-6976-4060-B09F-63DFD3E17A23}"/>
    <cellStyle name="Style 95 2 3 6 3" xfId="36520" xr:uid="{4EB5AD23-71FC-4D59-8F64-447B1B55BF56}"/>
    <cellStyle name="Style 95 2 3 7" xfId="18013" xr:uid="{76CD9C06-B906-41AA-8EDB-D2CB9E80FB21}"/>
    <cellStyle name="Style 95 2 3 7 2" xfId="18014" xr:uid="{61329139-CC91-4348-8C91-7ABB39BB67F7}"/>
    <cellStyle name="Style 95 2 3 7 2 2" xfId="36523" xr:uid="{6608C705-7F55-402F-811D-E2EE4A0A9A62}"/>
    <cellStyle name="Style 95 2 3 7 3" xfId="36522" xr:uid="{ACC38AAF-18E9-45E5-AE89-4DD78D2E8D3B}"/>
    <cellStyle name="Style 95 2 3 8" xfId="18015" xr:uid="{313485E1-5FDF-4D69-9317-DC84CFE52D6F}"/>
    <cellStyle name="Style 95 2 3 8 2" xfId="18016" xr:uid="{D8DABAD5-2E41-4E5F-AED3-6EB67839AFDE}"/>
    <cellStyle name="Style 95 2 3 8 2 2" xfId="36525" xr:uid="{A567AA4E-E005-498E-8F54-1597DD3A0E96}"/>
    <cellStyle name="Style 95 2 3 8 3" xfId="36524" xr:uid="{EEB8A0D8-B7C6-463A-BBCA-BC6FF7663D61}"/>
    <cellStyle name="Style 95 2 3 9" xfId="18017" xr:uid="{F01BB038-4839-4EE6-B62B-2C39021AED7D}"/>
    <cellStyle name="Style 95 2 3 9 2" xfId="18018" xr:uid="{BA276F3C-0325-49CB-AB43-270B6085018F}"/>
    <cellStyle name="Style 95 2 3 9 2 2" xfId="36527" xr:uid="{178B5AED-C558-4077-BCC5-FFD3712FD5BC}"/>
    <cellStyle name="Style 95 2 3 9 3" xfId="36526" xr:uid="{BA5A94E1-8EEA-4222-A184-2F99A69306F1}"/>
    <cellStyle name="Style 95 2 4" xfId="3751" xr:uid="{3AAEEB16-63C0-48B2-9418-F20CCA8F536C}"/>
    <cellStyle name="Style 95 2 4 10" xfId="18019" xr:uid="{DD7D34FD-F677-46EC-A5CA-A89011062A4D}"/>
    <cellStyle name="Style 95 2 4 10 2" xfId="36528" xr:uid="{CDA719B2-B20E-4F4B-A861-88894391F079}"/>
    <cellStyle name="Style 95 2 4 2" xfId="3752" xr:uid="{1A1B00AE-2674-47BB-9A07-8B6FA13DF87F}"/>
    <cellStyle name="Style 95 2 4 2 2" xfId="7602" xr:uid="{C6C704AE-EAF4-4793-AA0C-739A0AE90BBE}"/>
    <cellStyle name="Style 95 2 4 2 2 2" xfId="18020" xr:uid="{D7D4D805-B70D-4EAD-A960-DBF61F3BD6F7}"/>
    <cellStyle name="Style 95 2 4 2 2 2 2" xfId="36529" xr:uid="{9154C977-7C90-4455-8CA0-8385B33D5EC4}"/>
    <cellStyle name="Style 95 2 4 2 2 3" xfId="18021" xr:uid="{29AD553B-87A9-4ECC-8EF3-DDC8F06CE23F}"/>
    <cellStyle name="Style 95 2 4 2 2 3 2" xfId="36530" xr:uid="{46B630EA-AD56-416C-A09B-0033E9B8F493}"/>
    <cellStyle name="Style 95 2 4 2 2 4" xfId="18022" xr:uid="{698E3072-C909-48C2-BE9C-8DAA409D59FD}"/>
    <cellStyle name="Style 95 2 4 2 2 4 2" xfId="36531" xr:uid="{4CB2B68F-A962-4844-838E-213D7B6AFD1F}"/>
    <cellStyle name="Style 95 2 4 2 3" xfId="18023" xr:uid="{49A01F3D-F5AE-4D3A-BB55-312C8F085125}"/>
    <cellStyle name="Style 95 2 4 2 3 2" xfId="18024" xr:uid="{2405BEA4-32C7-412C-B4C9-A1CA6023FEF3}"/>
    <cellStyle name="Style 95 2 4 2 3 2 2" xfId="36532" xr:uid="{3C515903-1B9C-458D-9E5F-BB5C39DB60AD}"/>
    <cellStyle name="Style 95 2 4 2 3 3" xfId="18025" xr:uid="{A5389903-BAFF-46E4-8732-63C983485C8F}"/>
    <cellStyle name="Style 95 2 4 2 3 3 2" xfId="36533" xr:uid="{8022F6E0-E0CC-422A-B34B-06601E5C7147}"/>
    <cellStyle name="Style 95 2 4 2 4" xfId="18026" xr:uid="{09108469-624D-4491-ABE8-0A4B69489AAC}"/>
    <cellStyle name="Style 95 2 4 2 4 2" xfId="18027" xr:uid="{049478D0-B300-4E48-AE31-D2BB3C19E30E}"/>
    <cellStyle name="Style 95 2 4 2 4 2 2" xfId="36535" xr:uid="{96795D38-F286-4A8A-9108-0ADDD5E4641A}"/>
    <cellStyle name="Style 95 2 4 2 4 3" xfId="36534" xr:uid="{CD64C6F7-E115-4CB2-82D3-5929BACD0A94}"/>
    <cellStyle name="Style 95 2 4 2 5" xfId="18028" xr:uid="{1056864E-86C0-493F-A828-B263A2D21247}"/>
    <cellStyle name="Style 95 2 4 2 5 2" xfId="18029" xr:uid="{121B70CF-CF79-4431-B65F-EF1FC1AEBD1D}"/>
    <cellStyle name="Style 95 2 4 2 5 2 2" xfId="36537" xr:uid="{F14243B4-7425-4F03-A6EF-272494B8CCCB}"/>
    <cellStyle name="Style 95 2 4 2 5 3" xfId="36536" xr:uid="{F1BFC6CA-95E2-44DE-BEBB-B15ED56D9B72}"/>
    <cellStyle name="Style 95 2 4 2 6" xfId="18030" xr:uid="{77E93B8A-C609-4137-8ABC-0616C8763F40}"/>
    <cellStyle name="Style 95 2 4 2 6 2" xfId="18031" xr:uid="{D9D88118-42C9-4AFF-9B24-E6BC411BBF22}"/>
    <cellStyle name="Style 95 2 4 2 6 2 2" xfId="36539" xr:uid="{C6200095-E7AB-49D7-AADC-0F9A003970A9}"/>
    <cellStyle name="Style 95 2 4 2 6 3" xfId="36538" xr:uid="{B16EFF4B-09F9-4F9F-89E4-E3FBDE050360}"/>
    <cellStyle name="Style 95 2 4 2 7" xfId="18032" xr:uid="{E9889C14-ED58-439A-958C-E6B062EA88F8}"/>
    <cellStyle name="Style 95 2 4 2 7 2" xfId="36540" xr:uid="{702A3139-1724-4C2F-A7F7-2B052A4F4A79}"/>
    <cellStyle name="Style 95 2 4 2 8" xfId="18033" xr:uid="{8EF8C1BB-A666-4022-99DF-4F621285FFF4}"/>
    <cellStyle name="Style 95 2 4 2 8 2" xfId="36541" xr:uid="{00C7E727-259A-41D6-99EC-5562195B6DDB}"/>
    <cellStyle name="Style 95 2 4 3" xfId="7601" xr:uid="{ABAFA9D2-E253-4363-8ACF-55862133C411}"/>
    <cellStyle name="Style 95 2 4 3 2" xfId="18034" xr:uid="{7E2EF26C-296E-4EE0-BAFF-CFD15C5E2857}"/>
    <cellStyle name="Style 95 2 4 3 2 2" xfId="36542" xr:uid="{0E0D180A-7003-4935-A86B-D811E160612C}"/>
    <cellStyle name="Style 95 2 4 3 3" xfId="18035" xr:uid="{CB2569C3-8DBD-4560-9256-F37B1F709702}"/>
    <cellStyle name="Style 95 2 4 3 3 2" xfId="36543" xr:uid="{F58BFB12-AAAD-4FBE-98B7-DFFE95434252}"/>
    <cellStyle name="Style 95 2 4 3 4" xfId="18036" xr:uid="{15C100EE-3425-4BCF-9144-06828FBF1EC3}"/>
    <cellStyle name="Style 95 2 4 3 4 2" xfId="36544" xr:uid="{40D9B3A0-A8F0-462B-9B75-DCA8CBC27C5D}"/>
    <cellStyle name="Style 95 2 4 4" xfId="18037" xr:uid="{F59B5544-94BC-4389-9724-FF6E9AD34D60}"/>
    <cellStyle name="Style 95 2 4 4 2" xfId="18038" xr:uid="{E6E0CCA2-377E-45D8-A47D-1D2ADADAF0E0}"/>
    <cellStyle name="Style 95 2 4 4 2 2" xfId="36545" xr:uid="{707C645D-6FA0-4A2F-BF24-02B6DD7B7F66}"/>
    <cellStyle name="Style 95 2 4 4 3" xfId="18039" xr:uid="{9C98232D-A9F7-4BB4-BA81-E3812BB5D884}"/>
    <cellStyle name="Style 95 2 4 4 3 2" xfId="36546" xr:uid="{F050A3EE-398F-4A53-B40D-7D33B6ECB66F}"/>
    <cellStyle name="Style 95 2 4 5" xfId="18040" xr:uid="{46C4DF18-1D3A-4A72-AC14-B01F4FAFC8AE}"/>
    <cellStyle name="Style 95 2 4 5 2" xfId="18041" xr:uid="{6FCBE335-3429-4504-B164-DB081FE9EE4F}"/>
    <cellStyle name="Style 95 2 4 5 2 2" xfId="36548" xr:uid="{DB2B237E-8756-40A4-ADB1-AC36B2FB4AA3}"/>
    <cellStyle name="Style 95 2 4 5 3" xfId="36547" xr:uid="{10C294E1-B0F7-4ECB-993A-A83AA9C67B93}"/>
    <cellStyle name="Style 95 2 4 6" xfId="18042" xr:uid="{532F4715-91C4-4279-A743-42A118CD9E3E}"/>
    <cellStyle name="Style 95 2 4 6 2" xfId="18043" xr:uid="{A0DBCB5F-9703-4ED3-9D65-B9363FA670E3}"/>
    <cellStyle name="Style 95 2 4 6 2 2" xfId="36550" xr:uid="{19EF32FC-10D4-4EFE-A94B-D8F9150DB7EE}"/>
    <cellStyle name="Style 95 2 4 6 3" xfId="36549" xr:uid="{93EBC348-A5EA-44C3-BC56-A44C1199BD98}"/>
    <cellStyle name="Style 95 2 4 7" xfId="18044" xr:uid="{DFFCCDD1-D123-401D-AD68-E6881A6ADC10}"/>
    <cellStyle name="Style 95 2 4 7 2" xfId="18045" xr:uid="{EF7767AB-347D-4517-AE88-06FBECFAC2C3}"/>
    <cellStyle name="Style 95 2 4 7 2 2" xfId="36552" xr:uid="{DBDE27AD-9A36-4B18-A5DE-71EDCF3C1ACC}"/>
    <cellStyle name="Style 95 2 4 7 3" xfId="36551" xr:uid="{C45480A7-C1D3-4256-8DCF-32D21C4BAFB2}"/>
    <cellStyle name="Style 95 2 4 8" xfId="18046" xr:uid="{AF2BCB2D-1D7B-4AC9-A0B3-0276DE29B814}"/>
    <cellStyle name="Style 95 2 4 8 2" xfId="18047" xr:uid="{44EB4CBB-43B4-4035-9A94-8F469CF55EFB}"/>
    <cellStyle name="Style 95 2 4 8 2 2" xfId="36554" xr:uid="{DFD02B6E-495D-4983-B813-067BCD366701}"/>
    <cellStyle name="Style 95 2 4 8 3" xfId="36553" xr:uid="{734FD42F-4624-45F0-84C8-5AC602231D45}"/>
    <cellStyle name="Style 95 2 4 9" xfId="18048" xr:uid="{3D7B5AA7-34E0-4D44-9617-0EBD5DE918CE}"/>
    <cellStyle name="Style 95 2 4 9 2" xfId="36555" xr:uid="{291E930C-91D1-4652-8E82-DADFC1701D6A}"/>
    <cellStyle name="Style 95 2 5" xfId="3753" xr:uid="{E53D1C4F-A792-4A7C-B40D-A77CC921529E}"/>
    <cellStyle name="Style 95 2 5 2" xfId="7603" xr:uid="{89FBEBD2-D01F-4CE0-A1A6-7D04CC0CB74B}"/>
    <cellStyle name="Style 95 2 5 2 2" xfId="18049" xr:uid="{66980192-6A94-4BE9-82C8-4A87D9AB47B1}"/>
    <cellStyle name="Style 95 2 5 2 2 2" xfId="36556" xr:uid="{CA2BBF94-728D-4596-BCF3-5F9FFF44CA6B}"/>
    <cellStyle name="Style 95 2 5 2 3" xfId="18050" xr:uid="{69B591FB-18E8-435F-A853-9607CCECBEAD}"/>
    <cellStyle name="Style 95 2 5 2 3 2" xfId="36557" xr:uid="{F3E6BBFB-149E-4EEC-9C42-9D768AC12138}"/>
    <cellStyle name="Style 95 2 5 2 4" xfId="18051" xr:uid="{9B4802D3-10C9-4C79-8D18-F025CEED500E}"/>
    <cellStyle name="Style 95 2 5 2 4 2" xfId="36558" xr:uid="{B8946B98-0B35-4327-9A23-5806D5F6D3A5}"/>
    <cellStyle name="Style 95 2 5 3" xfId="18052" xr:uid="{EAFFDF93-5833-4307-9262-3EC5782818F2}"/>
    <cellStyle name="Style 95 2 5 3 2" xfId="18053" xr:uid="{03980B9A-1EC3-488F-822C-94A7EACF0839}"/>
    <cellStyle name="Style 95 2 5 3 2 2" xfId="36559" xr:uid="{7DEA4D51-B9E1-4784-B292-5A7C1838B223}"/>
    <cellStyle name="Style 95 2 5 3 3" xfId="18054" xr:uid="{86D94B10-114C-4498-B815-78B612ED6541}"/>
    <cellStyle name="Style 95 2 5 3 3 2" xfId="36560" xr:uid="{4474A6DA-97F8-4B7E-A40F-36C60C924D10}"/>
    <cellStyle name="Style 95 2 5 4" xfId="18055" xr:uid="{52BA6A33-410C-4285-B018-6D4F9D686EFA}"/>
    <cellStyle name="Style 95 2 5 4 2" xfId="18056" xr:uid="{B92F5F9D-789F-424C-A1CC-4BB089CB826D}"/>
    <cellStyle name="Style 95 2 5 4 2 2" xfId="36562" xr:uid="{E5866CFE-956B-4E7E-A646-70E86DB6495A}"/>
    <cellStyle name="Style 95 2 5 4 3" xfId="36561" xr:uid="{CF5E92AE-72A9-4565-87D6-F2C697A5EC5D}"/>
    <cellStyle name="Style 95 2 5 5" xfId="18057" xr:uid="{6A5DCF90-532F-45A7-9175-88E56FA5F377}"/>
    <cellStyle name="Style 95 2 5 5 2" xfId="18058" xr:uid="{50B3D42C-4495-497B-9328-AA85B86A6933}"/>
    <cellStyle name="Style 95 2 5 5 2 2" xfId="36564" xr:uid="{910ECB73-20C9-4EFA-BDD5-933B66D40A0A}"/>
    <cellStyle name="Style 95 2 5 5 3" xfId="36563" xr:uid="{14516AD5-EE7B-4AEB-A68F-62B55F39C993}"/>
    <cellStyle name="Style 95 2 5 6" xfId="18059" xr:uid="{D3D0D8D3-12FC-47D2-BFBF-A7BA94B78C8B}"/>
    <cellStyle name="Style 95 2 5 6 2" xfId="18060" xr:uid="{F458AA98-9AB3-40B8-BE3A-4FE8D9735417}"/>
    <cellStyle name="Style 95 2 5 6 2 2" xfId="36566" xr:uid="{91532876-6A6B-41B8-9F77-B2439A2A78C2}"/>
    <cellStyle name="Style 95 2 5 6 3" xfId="36565" xr:uid="{2BF2CAEB-9391-45D0-92E9-1BE7EC86288D}"/>
    <cellStyle name="Style 95 2 5 7" xfId="18061" xr:uid="{59BB3075-8F8B-46EB-AFC9-B751D048816D}"/>
    <cellStyle name="Style 95 2 5 7 2" xfId="36567" xr:uid="{D9CE3F87-5B73-4693-998B-5867DAC673FE}"/>
    <cellStyle name="Style 95 2 5 8" xfId="18062" xr:uid="{2DC3218C-445D-41AA-856A-0A2CFDF09513}"/>
    <cellStyle name="Style 95 2 5 8 2" xfId="36568" xr:uid="{A033CB0E-E481-45A9-8369-4DE16546AC53}"/>
    <cellStyle name="Style 95 2 6" xfId="7588" xr:uid="{C98E208B-F977-44DA-AC9E-AFB42F9644F0}"/>
    <cellStyle name="Style 95 2 6 2" xfId="18063" xr:uid="{8E1E78FB-ACB8-457D-B37C-C90B7424F7DD}"/>
    <cellStyle name="Style 95 2 6 2 2" xfId="36569" xr:uid="{E9F843B3-C6E8-4C63-9D38-282BC558E282}"/>
    <cellStyle name="Style 95 2 6 3" xfId="18064" xr:uid="{52B0FA86-023E-4522-B83B-BD07D5E63872}"/>
    <cellStyle name="Style 95 2 6 3 2" xfId="36570" xr:uid="{181F5A5D-3EAD-4156-B16F-A5212D9F54B9}"/>
    <cellStyle name="Style 95 2 6 4" xfId="18065" xr:uid="{9F0C5D78-C503-45F7-8084-F6AF71A28728}"/>
    <cellStyle name="Style 95 2 6 4 2" xfId="36571" xr:uid="{EDEB71E4-4ACE-43A1-89FE-2DC027F09180}"/>
    <cellStyle name="Style 95 2 7" xfId="18066" xr:uid="{A27EE11B-8F69-46D6-AADD-C686E0BFF3D6}"/>
    <cellStyle name="Style 95 2 7 2" xfId="18067" xr:uid="{44AA888A-EA2D-4D15-8E2B-5136F0FDAFDB}"/>
    <cellStyle name="Style 95 2 7 2 2" xfId="36572" xr:uid="{80C4D8CF-511E-4261-8338-36BCCA7E91E8}"/>
    <cellStyle name="Style 95 2 7 3" xfId="18068" xr:uid="{D1BAF999-899F-477C-A709-408A6380D0C8}"/>
    <cellStyle name="Style 95 2 7 3 2" xfId="36573" xr:uid="{700ECBEC-ED69-4AA7-8EB1-51059C1ED358}"/>
    <cellStyle name="Style 95 2 8" xfId="18069" xr:uid="{C3C91E45-AEFF-4DA3-966C-ACD184685171}"/>
    <cellStyle name="Style 95 2 8 2" xfId="18070" xr:uid="{A69A5523-6748-4DE2-8370-8088DFFB14F4}"/>
    <cellStyle name="Style 95 2 8 2 2" xfId="36575" xr:uid="{40E4247C-C742-42B5-A8F1-7BB11B597EE8}"/>
    <cellStyle name="Style 95 2 8 3" xfId="36574" xr:uid="{AEB7FA00-4B98-4C08-909A-EB7604D997D8}"/>
    <cellStyle name="Style 95 2 9" xfId="18071" xr:uid="{EF2A028E-1945-4575-A586-25A2DD6170EA}"/>
    <cellStyle name="Style 95 2 9 2" xfId="18072" xr:uid="{7A528B22-F838-45D6-80B2-EC718C23FD91}"/>
    <cellStyle name="Style 95 2 9 2 2" xfId="36577" xr:uid="{C0568A46-E795-4E78-8D80-F44F35C904C9}"/>
    <cellStyle name="Style 95 2 9 3" xfId="36576" xr:uid="{2B2FAD72-7B06-437F-B288-FE745D0915C5}"/>
    <cellStyle name="Style 95 3" xfId="3754" xr:uid="{C474FEF6-748E-44D0-B821-4C9F88BD8AB5}"/>
    <cellStyle name="Style 95 3 10" xfId="18073" xr:uid="{BA74FF82-F31D-4BD6-8833-73BF63077DBD}"/>
    <cellStyle name="Style 95 3 10 2" xfId="18074" xr:uid="{90A9FD53-4FD5-41DC-8BC0-BA1A17823290}"/>
    <cellStyle name="Style 95 3 10 2 2" xfId="36579" xr:uid="{81E0ADB5-7D9F-4EB5-A401-7E20E6F04E63}"/>
    <cellStyle name="Style 95 3 10 3" xfId="36578" xr:uid="{C031B1F4-DBA0-4270-9D91-EB0540C2FABF}"/>
    <cellStyle name="Style 95 3 11" xfId="18075" xr:uid="{37D7F7A4-A952-4E0E-8C42-A5E9E70FC243}"/>
    <cellStyle name="Style 95 3 11 2" xfId="18076" xr:uid="{04FC43E6-C4E9-4D90-95A6-D537747EB6E3}"/>
    <cellStyle name="Style 95 3 11 2 2" xfId="36581" xr:uid="{5FD32020-0AEC-4061-AB67-0CD0FF93FDE3}"/>
    <cellStyle name="Style 95 3 11 3" xfId="36580" xr:uid="{0819B0E6-50BA-4F96-B64B-7FB977EEB896}"/>
    <cellStyle name="Style 95 3 12" xfId="18077" xr:uid="{C6F89ECA-8649-45D9-BEE8-1E0C1B8B7048}"/>
    <cellStyle name="Style 95 3 12 2" xfId="36582" xr:uid="{84D30D95-7918-4188-8DBD-68A655AE1D7D}"/>
    <cellStyle name="Style 95 3 13" xfId="18078" xr:uid="{DCDAA5AF-C5D5-43A4-AA14-7ADC19A16723}"/>
    <cellStyle name="Style 95 3 13 2" xfId="36583" xr:uid="{AB712F4D-5249-4091-91C3-0A5F1CC8546F}"/>
    <cellStyle name="Style 95 3 2" xfId="3755" xr:uid="{23A866A3-8724-448D-B2FC-181CC7A1FC8A}"/>
    <cellStyle name="Style 95 3 2 10" xfId="18079" xr:uid="{38284298-97CE-46E7-A401-7CED50AF454F}"/>
    <cellStyle name="Style 95 3 2 10 2" xfId="18080" xr:uid="{0953F45A-EE78-48AC-A316-FCFAEA233803}"/>
    <cellStyle name="Style 95 3 2 10 2 2" xfId="36585" xr:uid="{D0EE5896-BE28-401E-88D4-E832EE109BFF}"/>
    <cellStyle name="Style 95 3 2 10 3" xfId="36584" xr:uid="{A5499F21-A2CA-401E-9CDD-F301C1B51A84}"/>
    <cellStyle name="Style 95 3 2 11" xfId="18081" xr:uid="{137C5419-269C-40BA-87D6-49201212B0D5}"/>
    <cellStyle name="Style 95 3 2 11 2" xfId="36586" xr:uid="{B08D52E0-E8FC-4BD6-BA53-A80F55416903}"/>
    <cellStyle name="Style 95 3 2 12" xfId="18082" xr:uid="{0B1DE51E-1DC8-4F5A-9A39-D89F6BE153F7}"/>
    <cellStyle name="Style 95 3 2 12 2" xfId="36587" xr:uid="{CCBF1521-A050-49D5-BAFC-322983D65125}"/>
    <cellStyle name="Style 95 3 2 2" xfId="3756" xr:uid="{5277E082-4126-4007-ABDF-5B0DE0730124}"/>
    <cellStyle name="Style 95 3 2 2 10" xfId="18083" xr:uid="{4B3B79D1-5350-4419-9435-42F23FAD4AF1}"/>
    <cellStyle name="Style 95 3 2 2 10 2" xfId="36588" xr:uid="{929FC34D-123D-46E3-92B5-AF287C1151C7}"/>
    <cellStyle name="Style 95 3 2 2 11" xfId="18084" xr:uid="{694E504B-6DAB-4C55-B013-B62C11B5C69B}"/>
    <cellStyle name="Style 95 3 2 2 11 2" xfId="36589" xr:uid="{62C0727F-53D1-47B8-BAF6-3DCC15A11BDE}"/>
    <cellStyle name="Style 95 3 2 2 2" xfId="3757" xr:uid="{90D3CF43-CC86-483F-A26D-7D930054A549}"/>
    <cellStyle name="Style 95 3 2 2 2 10" xfId="18085" xr:uid="{C94F444A-5479-4331-8838-35C7B861957B}"/>
    <cellStyle name="Style 95 3 2 2 2 10 2" xfId="36590" xr:uid="{32EE6D47-BE27-4CB5-8F6A-8FF9EE79ED70}"/>
    <cellStyle name="Style 95 3 2 2 2 2" xfId="3758" xr:uid="{CCDD2A47-B878-4AF4-8743-53200B2EAF98}"/>
    <cellStyle name="Style 95 3 2 2 2 2 2" xfId="7608" xr:uid="{9411D848-1DED-4438-BC28-ED5FE90EE8C5}"/>
    <cellStyle name="Style 95 3 2 2 2 2 2 2" xfId="18086" xr:uid="{9FB4EB7D-8440-4B75-B38F-15D434F040DE}"/>
    <cellStyle name="Style 95 3 2 2 2 2 2 2 2" xfId="36591" xr:uid="{1EA9C6B5-AF7E-45AF-BDED-4517ECFC7AC7}"/>
    <cellStyle name="Style 95 3 2 2 2 2 2 3" xfId="18087" xr:uid="{9DA86A5A-472B-49B8-B353-E90EC0D2D326}"/>
    <cellStyle name="Style 95 3 2 2 2 2 2 3 2" xfId="36592" xr:uid="{C2B184F7-F431-4421-9D12-306B34A66FA6}"/>
    <cellStyle name="Style 95 3 2 2 2 2 2 4" xfId="18088" xr:uid="{8D896DEF-5E1F-4E68-B81D-AFB39188DA9C}"/>
    <cellStyle name="Style 95 3 2 2 2 2 2 4 2" xfId="36593" xr:uid="{1EA83802-17C0-45A8-9E33-F98D9240CDF5}"/>
    <cellStyle name="Style 95 3 2 2 2 2 3" xfId="18089" xr:uid="{C59397D3-F40B-4992-9082-D7620E95017F}"/>
    <cellStyle name="Style 95 3 2 2 2 2 3 2" xfId="18090" xr:uid="{EF889891-C927-459E-B107-0A0B85182FBD}"/>
    <cellStyle name="Style 95 3 2 2 2 2 3 2 2" xfId="36594" xr:uid="{B4A5D000-2A91-4FD8-8ACA-ED1C5BB01C04}"/>
    <cellStyle name="Style 95 3 2 2 2 2 3 3" xfId="18091" xr:uid="{1AD172EA-F007-4823-98A4-5CC9FF439289}"/>
    <cellStyle name="Style 95 3 2 2 2 2 3 3 2" xfId="36595" xr:uid="{70D72DC3-58AD-4FE3-A5BB-E52B3F315E1F}"/>
    <cellStyle name="Style 95 3 2 2 2 2 4" xfId="18092" xr:uid="{A09EC81C-FDD4-463A-B235-D01AE957146B}"/>
    <cellStyle name="Style 95 3 2 2 2 2 4 2" xfId="18093" xr:uid="{0B08EBE3-383A-4E32-A313-DE0CB2862435}"/>
    <cellStyle name="Style 95 3 2 2 2 2 4 2 2" xfId="36597" xr:uid="{83406374-90D0-43DB-AB98-145BDC318955}"/>
    <cellStyle name="Style 95 3 2 2 2 2 4 3" xfId="36596" xr:uid="{99F9FF81-F623-41F9-B10B-D2C5DCFE8D30}"/>
    <cellStyle name="Style 95 3 2 2 2 2 5" xfId="18094" xr:uid="{ED24BE5A-7CA5-4F13-B5F0-EF7C4ED38B96}"/>
    <cellStyle name="Style 95 3 2 2 2 2 5 2" xfId="18095" xr:uid="{1D6E1F6E-4DB0-485A-BDE9-975AC3F9DFA4}"/>
    <cellStyle name="Style 95 3 2 2 2 2 5 2 2" xfId="36599" xr:uid="{E58B301E-0FAE-4904-9FF7-86901695FD71}"/>
    <cellStyle name="Style 95 3 2 2 2 2 5 3" xfId="36598" xr:uid="{5C767521-1387-4EFA-9562-A8C154BBB9F8}"/>
    <cellStyle name="Style 95 3 2 2 2 2 6" xfId="18096" xr:uid="{7578F19F-0B0D-4C43-AB45-8A011588B0CE}"/>
    <cellStyle name="Style 95 3 2 2 2 2 6 2" xfId="18097" xr:uid="{59516123-CB60-4DD6-A895-38EE4BE2EC0C}"/>
    <cellStyle name="Style 95 3 2 2 2 2 6 2 2" xfId="36601" xr:uid="{1B5C1D21-A975-4402-9A1F-88D568F9F1DC}"/>
    <cellStyle name="Style 95 3 2 2 2 2 6 3" xfId="36600" xr:uid="{DA19EC86-23B7-4D99-815E-130CED22DD4F}"/>
    <cellStyle name="Style 95 3 2 2 2 2 7" xfId="18098" xr:uid="{2F6B26A5-A9DB-45C5-8C3D-89AA6A325F40}"/>
    <cellStyle name="Style 95 3 2 2 2 2 7 2" xfId="36602" xr:uid="{A0134D19-A663-4E5F-9455-EF71B2CF7397}"/>
    <cellStyle name="Style 95 3 2 2 2 2 8" xfId="18099" xr:uid="{27EF7811-6F0B-4637-B3F2-5BF281AE93EE}"/>
    <cellStyle name="Style 95 3 2 2 2 2 8 2" xfId="36603" xr:uid="{317FF76C-3EBC-4C89-80BA-B8791198C41F}"/>
    <cellStyle name="Style 95 3 2 2 2 3" xfId="7607" xr:uid="{4B1D46BB-0D2D-4267-AF1E-25832D700D30}"/>
    <cellStyle name="Style 95 3 2 2 2 3 2" xfId="18100" xr:uid="{EA99A502-19F1-4CBC-B465-1518ED35D6BE}"/>
    <cellStyle name="Style 95 3 2 2 2 3 2 2" xfId="36604" xr:uid="{C4883270-718F-435E-B15F-BC24B5F66C81}"/>
    <cellStyle name="Style 95 3 2 2 2 3 3" xfId="18101" xr:uid="{B10B1EC8-F685-4506-8C93-7814985FA81E}"/>
    <cellStyle name="Style 95 3 2 2 2 3 3 2" xfId="36605" xr:uid="{8861FC71-0A62-4E26-8D73-36EAF40F5D5B}"/>
    <cellStyle name="Style 95 3 2 2 2 3 4" xfId="18102" xr:uid="{790ED483-4DDF-49F0-85C0-65871D0C9DB3}"/>
    <cellStyle name="Style 95 3 2 2 2 3 4 2" xfId="36606" xr:uid="{45F8E860-48AA-4BF8-9951-280A8B5FE697}"/>
    <cellStyle name="Style 95 3 2 2 2 4" xfId="18103" xr:uid="{199986F0-7499-4210-BD37-67E9377E2547}"/>
    <cellStyle name="Style 95 3 2 2 2 4 2" xfId="18104" xr:uid="{FC18C4D3-EF27-40B3-9DD8-871BCCBE8811}"/>
    <cellStyle name="Style 95 3 2 2 2 4 2 2" xfId="36607" xr:uid="{E4B688FF-A534-4D43-AFCA-487BA83B4ECE}"/>
    <cellStyle name="Style 95 3 2 2 2 4 3" xfId="18105" xr:uid="{717AFB88-2A22-4230-9F93-F1891A191B95}"/>
    <cellStyle name="Style 95 3 2 2 2 4 3 2" xfId="36608" xr:uid="{0405925C-90FB-4E88-B6F1-F922D5A45B99}"/>
    <cellStyle name="Style 95 3 2 2 2 5" xfId="18106" xr:uid="{D7882E4F-74CF-46E6-A3EC-B99E984AA86A}"/>
    <cellStyle name="Style 95 3 2 2 2 5 2" xfId="18107" xr:uid="{ED60491D-B034-4816-B061-0DB25A792066}"/>
    <cellStyle name="Style 95 3 2 2 2 5 2 2" xfId="36610" xr:uid="{16DE42AE-C91D-48D2-911C-0EBB143917A0}"/>
    <cellStyle name="Style 95 3 2 2 2 5 3" xfId="36609" xr:uid="{B6B2C5A4-3722-4FC3-89DE-EEEDEC0CBA61}"/>
    <cellStyle name="Style 95 3 2 2 2 6" xfId="18108" xr:uid="{1ACDE682-9C22-4CA7-89ED-755970C73293}"/>
    <cellStyle name="Style 95 3 2 2 2 6 2" xfId="18109" xr:uid="{8F7956DF-7521-46E5-A8CC-922C2E25F30B}"/>
    <cellStyle name="Style 95 3 2 2 2 6 2 2" xfId="36612" xr:uid="{80DC1E84-C5F5-42D3-AC89-4B4786A602CC}"/>
    <cellStyle name="Style 95 3 2 2 2 6 3" xfId="36611" xr:uid="{D0F226D4-9EB4-4DF0-AF3F-EB472A728DB3}"/>
    <cellStyle name="Style 95 3 2 2 2 7" xfId="18110" xr:uid="{FB9FE1C6-B9CD-44AA-A417-998F9DED097B}"/>
    <cellStyle name="Style 95 3 2 2 2 7 2" xfId="18111" xr:uid="{1527D417-E392-4A42-A19D-B1AF94A83286}"/>
    <cellStyle name="Style 95 3 2 2 2 7 2 2" xfId="36614" xr:uid="{4837EF11-8C5C-4C75-89B4-D11D1B47697C}"/>
    <cellStyle name="Style 95 3 2 2 2 7 3" xfId="36613" xr:uid="{9FE628DE-F7B4-40C1-BA9C-6D8059464617}"/>
    <cellStyle name="Style 95 3 2 2 2 8" xfId="18112" xr:uid="{BCE61C76-173F-4552-99C3-9B20E39DF805}"/>
    <cellStyle name="Style 95 3 2 2 2 8 2" xfId="18113" xr:uid="{BEBB0977-0D4A-452D-B978-071653629B03}"/>
    <cellStyle name="Style 95 3 2 2 2 8 2 2" xfId="36616" xr:uid="{DECF1D32-0BD5-488A-B407-82DDB4B05AF4}"/>
    <cellStyle name="Style 95 3 2 2 2 8 3" xfId="36615" xr:uid="{54BEBC93-F19E-46F8-8D46-4E1728787224}"/>
    <cellStyle name="Style 95 3 2 2 2 9" xfId="18114" xr:uid="{3CB300A0-A356-4269-ACD5-25F4EFD9C048}"/>
    <cellStyle name="Style 95 3 2 2 2 9 2" xfId="36617" xr:uid="{558B503E-E788-4E0A-9327-821ED14563BC}"/>
    <cellStyle name="Style 95 3 2 2 3" xfId="3759" xr:uid="{9D21C628-4168-4243-9DB2-F5D0FB3B904A}"/>
    <cellStyle name="Style 95 3 2 2 3 2" xfId="7609" xr:uid="{C7EA2726-4C45-47F2-BD9F-56E44DB53B17}"/>
    <cellStyle name="Style 95 3 2 2 3 2 2" xfId="18115" xr:uid="{BA14AEC6-01FD-491B-B869-9FBB024ED630}"/>
    <cellStyle name="Style 95 3 2 2 3 2 2 2" xfId="36618" xr:uid="{00DF7675-03A2-43BB-ADBB-609C0D3E205D}"/>
    <cellStyle name="Style 95 3 2 2 3 2 3" xfId="18116" xr:uid="{9109C39C-6C44-4056-ABCB-5F9CD994E5AA}"/>
    <cellStyle name="Style 95 3 2 2 3 2 3 2" xfId="36619" xr:uid="{D0D704C5-E8FC-4ABD-8F1E-FC3F8B0C3765}"/>
    <cellStyle name="Style 95 3 2 2 3 2 4" xfId="18117" xr:uid="{BD820CED-C686-426D-B221-DFAD92389DC3}"/>
    <cellStyle name="Style 95 3 2 2 3 2 4 2" xfId="36620" xr:uid="{02F4378C-D905-4DCF-8D95-05F9347211CC}"/>
    <cellStyle name="Style 95 3 2 2 3 3" xfId="18118" xr:uid="{08DD01FA-440C-42FB-83D0-B8A93AA40B03}"/>
    <cellStyle name="Style 95 3 2 2 3 3 2" xfId="18119" xr:uid="{AECCFA02-D281-411D-8737-2451DDA133CE}"/>
    <cellStyle name="Style 95 3 2 2 3 3 2 2" xfId="36621" xr:uid="{54607CE1-921B-471F-946A-61BCF7C2E29F}"/>
    <cellStyle name="Style 95 3 2 2 3 3 3" xfId="18120" xr:uid="{E4FB2DAF-7CC4-4859-BFE7-CFDF96591BC9}"/>
    <cellStyle name="Style 95 3 2 2 3 3 3 2" xfId="36622" xr:uid="{1584A38E-8296-4718-AB10-2C816342A7B3}"/>
    <cellStyle name="Style 95 3 2 2 3 4" xfId="18121" xr:uid="{16B12269-3642-4028-9213-5C9C17878B73}"/>
    <cellStyle name="Style 95 3 2 2 3 4 2" xfId="18122" xr:uid="{8D185EC7-055F-4B5F-8928-3780F145B976}"/>
    <cellStyle name="Style 95 3 2 2 3 4 2 2" xfId="36624" xr:uid="{279391BD-887D-4958-B1D8-45A9DADA14A5}"/>
    <cellStyle name="Style 95 3 2 2 3 4 3" xfId="36623" xr:uid="{4E699F6D-6AA7-412D-9846-82484A0DBBB2}"/>
    <cellStyle name="Style 95 3 2 2 3 5" xfId="18123" xr:uid="{3038F86C-AF01-4964-8BFF-8FDF567A49D1}"/>
    <cellStyle name="Style 95 3 2 2 3 5 2" xfId="18124" xr:uid="{21C3F250-00BD-4279-8A76-61FB795EA186}"/>
    <cellStyle name="Style 95 3 2 2 3 5 2 2" xfId="36626" xr:uid="{9476D2CF-FA43-48BE-878D-DEBDAE3BCB41}"/>
    <cellStyle name="Style 95 3 2 2 3 5 3" xfId="36625" xr:uid="{6452EB98-80CD-45AB-BB2C-60BC4783B84C}"/>
    <cellStyle name="Style 95 3 2 2 3 6" xfId="18125" xr:uid="{F4530008-6041-40C9-B82F-639014C63960}"/>
    <cellStyle name="Style 95 3 2 2 3 6 2" xfId="18126" xr:uid="{3AA02262-C72C-47A9-A199-93F5A7A0FEB2}"/>
    <cellStyle name="Style 95 3 2 2 3 6 2 2" xfId="36628" xr:uid="{1EDAB50B-C26A-4823-BC24-919CE7126139}"/>
    <cellStyle name="Style 95 3 2 2 3 6 3" xfId="36627" xr:uid="{DF84EC88-E622-4E82-8BFC-9E5F8F90E8B8}"/>
    <cellStyle name="Style 95 3 2 2 3 7" xfId="18127" xr:uid="{04AC4964-CED8-4BFC-BCB8-AFD83F78AD9C}"/>
    <cellStyle name="Style 95 3 2 2 3 7 2" xfId="36629" xr:uid="{854EA5B5-E2AF-424A-AD61-8D3EBCDB0C6B}"/>
    <cellStyle name="Style 95 3 2 2 3 8" xfId="18128" xr:uid="{B0CFCB61-67AD-4FF7-91E5-267ED63EDD0A}"/>
    <cellStyle name="Style 95 3 2 2 3 8 2" xfId="36630" xr:uid="{6B01A0B6-08B7-49C4-A7E0-35079449F2BC}"/>
    <cellStyle name="Style 95 3 2 2 4" xfId="7606" xr:uid="{3E2DC3DF-D47E-4CCE-81DF-71A9DD54A783}"/>
    <cellStyle name="Style 95 3 2 2 4 2" xfId="18129" xr:uid="{D4172BCE-767D-48DC-A01E-8F26992796F8}"/>
    <cellStyle name="Style 95 3 2 2 4 2 2" xfId="36631" xr:uid="{E114E04E-696F-43C5-86C0-E3E6E58A8485}"/>
    <cellStyle name="Style 95 3 2 2 4 3" xfId="18130" xr:uid="{90979773-2E72-422F-BBE0-8490A20315B2}"/>
    <cellStyle name="Style 95 3 2 2 4 3 2" xfId="36632" xr:uid="{18BF616E-027A-4DA8-9467-066BF05121D5}"/>
    <cellStyle name="Style 95 3 2 2 4 4" xfId="18131" xr:uid="{A1308A95-CCF8-4EF8-B79B-F6117DC64D13}"/>
    <cellStyle name="Style 95 3 2 2 4 4 2" xfId="36633" xr:uid="{611B1456-F2F5-40CD-B683-BBB73D0D3982}"/>
    <cellStyle name="Style 95 3 2 2 5" xfId="18132" xr:uid="{06E57F9B-5777-448B-B50A-D25EF233EF86}"/>
    <cellStyle name="Style 95 3 2 2 5 2" xfId="18133" xr:uid="{8C4338E0-80E8-40AC-AAEE-4ED7FB2E1A13}"/>
    <cellStyle name="Style 95 3 2 2 5 2 2" xfId="36634" xr:uid="{928CE9D2-16D7-4F6B-8B76-C75F3B236393}"/>
    <cellStyle name="Style 95 3 2 2 5 3" xfId="18134" xr:uid="{695A4F7D-4CA2-45DA-84A1-C5D51F05CAA8}"/>
    <cellStyle name="Style 95 3 2 2 5 3 2" xfId="36635" xr:uid="{04CC974E-B4C7-4CED-8E4C-F65EBAB6571B}"/>
    <cellStyle name="Style 95 3 2 2 6" xfId="18135" xr:uid="{6A4AE653-7A0E-4E0D-8836-E972E7630B74}"/>
    <cellStyle name="Style 95 3 2 2 6 2" xfId="18136" xr:uid="{2693555F-06DF-4618-B8F2-DC28ED7FB7FA}"/>
    <cellStyle name="Style 95 3 2 2 6 2 2" xfId="36637" xr:uid="{4E59E7C8-E084-4470-BA3A-82D125C14303}"/>
    <cellStyle name="Style 95 3 2 2 6 3" xfId="36636" xr:uid="{609F117A-D7D0-4EC0-9031-768B66E4A58D}"/>
    <cellStyle name="Style 95 3 2 2 7" xfId="18137" xr:uid="{B1961345-E916-4E97-A7E1-43FC36C0FBC7}"/>
    <cellStyle name="Style 95 3 2 2 7 2" xfId="18138" xr:uid="{1F83DD0B-5511-4229-BD90-A2CC412A9CE2}"/>
    <cellStyle name="Style 95 3 2 2 7 2 2" xfId="36639" xr:uid="{29CCB8A4-0B6D-4F2C-AF8B-08B11D552528}"/>
    <cellStyle name="Style 95 3 2 2 7 3" xfId="36638" xr:uid="{64DD63EC-800E-4E08-8E2A-8C674AB3979F}"/>
    <cellStyle name="Style 95 3 2 2 8" xfId="18139" xr:uid="{193FA6DC-C7BB-47E6-B9CD-F2C8451F31D2}"/>
    <cellStyle name="Style 95 3 2 2 8 2" xfId="18140" xr:uid="{550EDACF-5B69-426C-B9F5-BE3628E422D4}"/>
    <cellStyle name="Style 95 3 2 2 8 2 2" xfId="36641" xr:uid="{23FE9481-2E63-432A-8F36-1ECB5631DE0F}"/>
    <cellStyle name="Style 95 3 2 2 8 3" xfId="36640" xr:uid="{87708FA6-EEF4-4008-B100-7CE46412E7EF}"/>
    <cellStyle name="Style 95 3 2 2 9" xfId="18141" xr:uid="{37B85A9A-BB73-4426-8D27-60466540BE93}"/>
    <cellStyle name="Style 95 3 2 2 9 2" xfId="18142" xr:uid="{A3BBF70D-6BB0-415D-B99D-B6582BCA4BC4}"/>
    <cellStyle name="Style 95 3 2 2 9 2 2" xfId="36643" xr:uid="{98588C17-429A-4622-B19C-0F81E447A8AA}"/>
    <cellStyle name="Style 95 3 2 2 9 3" xfId="36642" xr:uid="{3EF7CD80-0AF2-41CE-BBFB-D02826F14C2E}"/>
    <cellStyle name="Style 95 3 2 3" xfId="3760" xr:uid="{646732C1-3410-4E16-9818-4C1B197B74FF}"/>
    <cellStyle name="Style 95 3 2 3 10" xfId="18143" xr:uid="{0A95E2E6-15E4-4757-B671-47875109669A}"/>
    <cellStyle name="Style 95 3 2 3 10 2" xfId="36644" xr:uid="{ED783E94-BED0-4C0A-B139-B6C29C8FB8EA}"/>
    <cellStyle name="Style 95 3 2 3 2" xfId="3761" xr:uid="{11D792F7-64B4-4344-9D72-21B488FDF578}"/>
    <cellStyle name="Style 95 3 2 3 2 2" xfId="7611" xr:uid="{796391BC-803B-413A-8C71-B2497009AE98}"/>
    <cellStyle name="Style 95 3 2 3 2 2 2" xfId="18144" xr:uid="{A4995D2F-E1FD-46F8-A82A-52AF16D4B7A2}"/>
    <cellStyle name="Style 95 3 2 3 2 2 2 2" xfId="36645" xr:uid="{DDE0B2E9-566D-4D3A-BDBF-2CE14C2F6DF0}"/>
    <cellStyle name="Style 95 3 2 3 2 2 3" xfId="18145" xr:uid="{17016718-BA7D-4A62-813C-D48B891B329E}"/>
    <cellStyle name="Style 95 3 2 3 2 2 3 2" xfId="36646" xr:uid="{4FC60E2A-23AC-4A9D-BB54-DDAA9212A890}"/>
    <cellStyle name="Style 95 3 2 3 2 2 4" xfId="18146" xr:uid="{15E82DD0-E256-4592-8C28-B3AE9E1A5916}"/>
    <cellStyle name="Style 95 3 2 3 2 2 4 2" xfId="36647" xr:uid="{6A900722-1FE5-428D-9BFC-6F03EA4A2CF6}"/>
    <cellStyle name="Style 95 3 2 3 2 3" xfId="18147" xr:uid="{E6F0B22E-972A-4509-9BE4-3A305C72FCC4}"/>
    <cellStyle name="Style 95 3 2 3 2 3 2" xfId="18148" xr:uid="{E3836890-EA9F-4551-BD70-0B0A44604935}"/>
    <cellStyle name="Style 95 3 2 3 2 3 2 2" xfId="36648" xr:uid="{D370DD05-6773-4415-9D80-2431846D2D57}"/>
    <cellStyle name="Style 95 3 2 3 2 3 3" xfId="18149" xr:uid="{5EB17CEF-3F9B-471C-9863-6054D614607B}"/>
    <cellStyle name="Style 95 3 2 3 2 3 3 2" xfId="36649" xr:uid="{B1485C9E-4F84-413B-879B-0505233B1BF3}"/>
    <cellStyle name="Style 95 3 2 3 2 4" xfId="18150" xr:uid="{9A720A04-E3F5-47D3-99D3-DE68F29F5BB0}"/>
    <cellStyle name="Style 95 3 2 3 2 4 2" xfId="18151" xr:uid="{F174FE2D-1512-44A7-85D1-0C68E23A271B}"/>
    <cellStyle name="Style 95 3 2 3 2 4 2 2" xfId="36651" xr:uid="{E6B6BB5F-3E27-4E3D-9D46-DCF1216DED9C}"/>
    <cellStyle name="Style 95 3 2 3 2 4 3" xfId="36650" xr:uid="{7276AF25-1229-4DA5-9332-A9094D19C70C}"/>
    <cellStyle name="Style 95 3 2 3 2 5" xfId="18152" xr:uid="{F1E5CF05-EF01-4122-89F5-9B7EC087EB70}"/>
    <cellStyle name="Style 95 3 2 3 2 5 2" xfId="18153" xr:uid="{C20F06AE-7FDB-4213-BC06-561DE87D3DB4}"/>
    <cellStyle name="Style 95 3 2 3 2 5 2 2" xfId="36653" xr:uid="{0ED28BC1-6DB0-4AE4-B57B-466452BC36A7}"/>
    <cellStyle name="Style 95 3 2 3 2 5 3" xfId="36652" xr:uid="{4014DBAE-D14C-4A86-8685-FF2DDF5096C9}"/>
    <cellStyle name="Style 95 3 2 3 2 6" xfId="18154" xr:uid="{945E29D8-6FCC-45D0-86D9-0FD432040A18}"/>
    <cellStyle name="Style 95 3 2 3 2 6 2" xfId="18155" xr:uid="{455A71A2-F534-431D-BC49-41F5BDD8E07D}"/>
    <cellStyle name="Style 95 3 2 3 2 6 2 2" xfId="36655" xr:uid="{62EB2B56-21B9-48B9-AD7B-A1F8006A6559}"/>
    <cellStyle name="Style 95 3 2 3 2 6 3" xfId="36654" xr:uid="{C6E368E1-4124-4A9D-A20B-44173CB91CA3}"/>
    <cellStyle name="Style 95 3 2 3 2 7" xfId="18156" xr:uid="{36E4116B-CFF7-430A-BC87-DDA32C95EE03}"/>
    <cellStyle name="Style 95 3 2 3 2 7 2" xfId="36656" xr:uid="{A0E50587-5735-46C8-A25D-F3D334521A13}"/>
    <cellStyle name="Style 95 3 2 3 2 8" xfId="18157" xr:uid="{8ED6AC60-A968-4CCF-AEE5-86236230BB1D}"/>
    <cellStyle name="Style 95 3 2 3 2 8 2" xfId="36657" xr:uid="{60CA99C2-C02C-4AFE-A8CF-AB071F318E91}"/>
    <cellStyle name="Style 95 3 2 3 3" xfId="7610" xr:uid="{57279819-8852-4A63-AFF9-3A7EC73A7545}"/>
    <cellStyle name="Style 95 3 2 3 3 2" xfId="18158" xr:uid="{A42FECD1-8DF6-4026-B20A-583CE30D9C64}"/>
    <cellStyle name="Style 95 3 2 3 3 2 2" xfId="36658" xr:uid="{20C58622-0C29-43AA-80B3-32A092B6C85F}"/>
    <cellStyle name="Style 95 3 2 3 3 3" xfId="18159" xr:uid="{BFC42C1A-09E1-4471-9B2D-85781D3AC3B2}"/>
    <cellStyle name="Style 95 3 2 3 3 3 2" xfId="36659" xr:uid="{2B3CF74F-1B7D-4F17-8E85-95A456BA8B0F}"/>
    <cellStyle name="Style 95 3 2 3 3 4" xfId="18160" xr:uid="{4DDF2A5B-BEB2-4158-83EE-A274DC53EEE1}"/>
    <cellStyle name="Style 95 3 2 3 3 4 2" xfId="36660" xr:uid="{47322E6B-C210-44C9-8B9D-72F8E6AF1BCF}"/>
    <cellStyle name="Style 95 3 2 3 4" xfId="18161" xr:uid="{46526E90-5704-4BF2-98DD-D53B6FC83F0E}"/>
    <cellStyle name="Style 95 3 2 3 4 2" xfId="18162" xr:uid="{DA38A9F3-A350-4A75-BB02-895C495EFF38}"/>
    <cellStyle name="Style 95 3 2 3 4 2 2" xfId="36661" xr:uid="{590B1953-312A-4D76-B717-39E8D938EBFB}"/>
    <cellStyle name="Style 95 3 2 3 4 3" xfId="18163" xr:uid="{E8B49DC5-878E-45F4-9DAF-509DD78C24E2}"/>
    <cellStyle name="Style 95 3 2 3 4 3 2" xfId="36662" xr:uid="{B0E55845-2225-4B76-A954-43F6759EB1C8}"/>
    <cellStyle name="Style 95 3 2 3 5" xfId="18164" xr:uid="{E234B679-7433-409A-A8A6-1A1B0252DC0D}"/>
    <cellStyle name="Style 95 3 2 3 5 2" xfId="18165" xr:uid="{87B6D935-B06D-4BD3-B0CE-F72A351A6D0B}"/>
    <cellStyle name="Style 95 3 2 3 5 2 2" xfId="36664" xr:uid="{CC875FAE-25B2-4B74-BC30-FF1BBE0B50C2}"/>
    <cellStyle name="Style 95 3 2 3 5 3" xfId="36663" xr:uid="{83C3F137-4775-4CE1-BC15-DB8FAF72DECD}"/>
    <cellStyle name="Style 95 3 2 3 6" xfId="18166" xr:uid="{AC31C41F-5430-4D82-84E2-B8A6381B71D0}"/>
    <cellStyle name="Style 95 3 2 3 6 2" xfId="18167" xr:uid="{D328A44B-1808-409D-834B-1563CFCF87D6}"/>
    <cellStyle name="Style 95 3 2 3 6 2 2" xfId="36666" xr:uid="{70DCDE70-954C-4B78-ACBD-88FD36AA2CDF}"/>
    <cellStyle name="Style 95 3 2 3 6 3" xfId="36665" xr:uid="{D6D9FDFB-70D9-4C3C-819F-CFB9E071ED19}"/>
    <cellStyle name="Style 95 3 2 3 7" xfId="18168" xr:uid="{3623D517-0077-4862-BD9A-8074ADA92C79}"/>
    <cellStyle name="Style 95 3 2 3 7 2" xfId="18169" xr:uid="{5503CBFA-18E2-4EA2-90B9-E6D2C2AD5F20}"/>
    <cellStyle name="Style 95 3 2 3 7 2 2" xfId="36668" xr:uid="{F168ABDF-3713-4FF5-8309-02DF98484B6C}"/>
    <cellStyle name="Style 95 3 2 3 7 3" xfId="36667" xr:uid="{6F7902C8-D398-4AE3-9514-4F4C5924E237}"/>
    <cellStyle name="Style 95 3 2 3 8" xfId="18170" xr:uid="{CF104FE5-6D64-42C3-9476-8AF7418C49C5}"/>
    <cellStyle name="Style 95 3 2 3 8 2" xfId="18171" xr:uid="{8F4B3E4B-B556-4F16-A1B6-87CB1CAF4C66}"/>
    <cellStyle name="Style 95 3 2 3 8 2 2" xfId="36670" xr:uid="{333B6137-5A90-4847-9945-29D3E30610E0}"/>
    <cellStyle name="Style 95 3 2 3 8 3" xfId="36669" xr:uid="{20CCABCE-1E72-4208-8C3E-ADF0B8A72F07}"/>
    <cellStyle name="Style 95 3 2 3 9" xfId="18172" xr:uid="{51340B1A-05C8-4327-9806-C503AC72AD79}"/>
    <cellStyle name="Style 95 3 2 3 9 2" xfId="36671" xr:uid="{0E2177D5-A427-4738-A834-E14E60817C37}"/>
    <cellStyle name="Style 95 3 2 4" xfId="3762" xr:uid="{5F99ECD2-DB7F-46D5-AA67-E900594B68FF}"/>
    <cellStyle name="Style 95 3 2 4 2" xfId="7612" xr:uid="{8EE20ADE-7C70-414F-9BB3-58C986083302}"/>
    <cellStyle name="Style 95 3 2 4 2 2" xfId="18173" xr:uid="{18CFB5E8-B7C0-4F04-BB91-2BB7C3E5EAE5}"/>
    <cellStyle name="Style 95 3 2 4 2 2 2" xfId="36672" xr:uid="{3985747E-25A9-4A00-A3BE-FFACC8D1C3F7}"/>
    <cellStyle name="Style 95 3 2 4 2 3" xfId="18174" xr:uid="{1E6A85B6-7D1B-40FB-897A-503B737D3E7E}"/>
    <cellStyle name="Style 95 3 2 4 2 3 2" xfId="36673" xr:uid="{B6A46191-BA22-40E1-9432-7F46D44D15EA}"/>
    <cellStyle name="Style 95 3 2 4 2 4" xfId="18175" xr:uid="{FC760F5D-4AF7-4A98-9B54-BD813A43C4EB}"/>
    <cellStyle name="Style 95 3 2 4 2 4 2" xfId="36674" xr:uid="{03D27C21-5761-4AE5-9C3F-84E23A810734}"/>
    <cellStyle name="Style 95 3 2 4 3" xfId="18176" xr:uid="{E2B0C4A9-2A3A-4308-85F7-DF2DA64CBD28}"/>
    <cellStyle name="Style 95 3 2 4 3 2" xfId="18177" xr:uid="{9394ED7A-B9BA-4F11-8528-B5528EDD7752}"/>
    <cellStyle name="Style 95 3 2 4 3 2 2" xfId="36675" xr:uid="{6EC8007B-66B4-4537-BF51-AF7D22457ACE}"/>
    <cellStyle name="Style 95 3 2 4 3 3" xfId="18178" xr:uid="{43ACF098-3DD6-404D-AB39-9E79AD4E49CD}"/>
    <cellStyle name="Style 95 3 2 4 3 3 2" xfId="36676" xr:uid="{DC223CD9-855C-46F1-97CD-D77E89059DF4}"/>
    <cellStyle name="Style 95 3 2 4 4" xfId="18179" xr:uid="{66F37164-CAC3-4A63-A7AA-C6F60AB4FDE5}"/>
    <cellStyle name="Style 95 3 2 4 4 2" xfId="18180" xr:uid="{B17AC2CA-DC2B-4898-86F8-B5C8F51C2142}"/>
    <cellStyle name="Style 95 3 2 4 4 2 2" xfId="36678" xr:uid="{8258EFF8-DB03-4DDA-B051-DF42E75E6946}"/>
    <cellStyle name="Style 95 3 2 4 4 3" xfId="36677" xr:uid="{20021BD5-8D88-4E23-999A-63EAA4FFDD6D}"/>
    <cellStyle name="Style 95 3 2 4 5" xfId="18181" xr:uid="{5E3308BF-92DA-4141-BD38-8B3C4A962A06}"/>
    <cellStyle name="Style 95 3 2 4 5 2" xfId="18182" xr:uid="{C4E847E8-7BB1-49A1-80EF-6EC9064FBE63}"/>
    <cellStyle name="Style 95 3 2 4 5 2 2" xfId="36680" xr:uid="{1ABBA18D-8FF6-44F9-ACAC-FAB93CEE374F}"/>
    <cellStyle name="Style 95 3 2 4 5 3" xfId="36679" xr:uid="{B52A703F-90FE-4BC4-9FCB-06A2ABF1D903}"/>
    <cellStyle name="Style 95 3 2 4 6" xfId="18183" xr:uid="{C5F7D7C1-07F7-4FA1-87C5-BD69C08BCE8E}"/>
    <cellStyle name="Style 95 3 2 4 6 2" xfId="18184" xr:uid="{CC74D82E-77A4-4291-956A-C252D5794BFC}"/>
    <cellStyle name="Style 95 3 2 4 6 2 2" xfId="36682" xr:uid="{489F6E34-E2C0-4845-9DA8-8024ACC02335}"/>
    <cellStyle name="Style 95 3 2 4 6 3" xfId="36681" xr:uid="{F055840E-7AA8-4976-8E84-892C1417F234}"/>
    <cellStyle name="Style 95 3 2 4 7" xfId="18185" xr:uid="{B22B74EA-1417-4C80-8093-EDC33C2697CE}"/>
    <cellStyle name="Style 95 3 2 4 7 2" xfId="36683" xr:uid="{6E922EE0-6EF7-4614-A904-8B650AAC6E4E}"/>
    <cellStyle name="Style 95 3 2 4 8" xfId="18186" xr:uid="{4A0FBA5B-1C0A-4261-85EC-3F91569F2948}"/>
    <cellStyle name="Style 95 3 2 4 8 2" xfId="36684" xr:uid="{52BD1EAB-4A80-4410-A513-115D3864BFB1}"/>
    <cellStyle name="Style 95 3 2 5" xfId="7605" xr:uid="{AC177ECA-7ED9-4C5D-A68F-A5440F0EFBA2}"/>
    <cellStyle name="Style 95 3 2 5 2" xfId="18187" xr:uid="{B392D0B6-542E-417B-9A12-A6929B9E988A}"/>
    <cellStyle name="Style 95 3 2 5 2 2" xfId="36685" xr:uid="{8B9CD4ED-7E52-48EE-B97C-8B538B4174B6}"/>
    <cellStyle name="Style 95 3 2 5 3" xfId="18188" xr:uid="{5DD012CF-41A9-4B78-BC35-3AE8247FEB87}"/>
    <cellStyle name="Style 95 3 2 5 3 2" xfId="36686" xr:uid="{C376CCB0-B570-4149-B60F-FD2B6B975EEE}"/>
    <cellStyle name="Style 95 3 2 5 4" xfId="18189" xr:uid="{32FDFB06-5D76-4570-A029-4BC3D2CD8B40}"/>
    <cellStyle name="Style 95 3 2 5 4 2" xfId="36687" xr:uid="{B4E91574-0119-42F5-A8CC-AF42D5FA2695}"/>
    <cellStyle name="Style 95 3 2 6" xfId="18190" xr:uid="{F147DFDE-5684-49F1-AE9B-D92F2904402A}"/>
    <cellStyle name="Style 95 3 2 6 2" xfId="18191" xr:uid="{49E818D9-A880-4F04-89CA-34C18A50B0D3}"/>
    <cellStyle name="Style 95 3 2 6 2 2" xfId="36688" xr:uid="{0BCEAC9F-CA8F-4CE5-B9F3-E4B4E8FF5975}"/>
    <cellStyle name="Style 95 3 2 6 3" xfId="18192" xr:uid="{D93A1B7F-A4A0-4760-A255-DFA0652912D1}"/>
    <cellStyle name="Style 95 3 2 6 3 2" xfId="36689" xr:uid="{9E385F88-CCE7-4F37-BC9E-4FE0148A4868}"/>
    <cellStyle name="Style 95 3 2 7" xfId="18193" xr:uid="{74B42F0C-DCCC-4E70-8ABC-1DDE7395F4F6}"/>
    <cellStyle name="Style 95 3 2 7 2" xfId="18194" xr:uid="{18789DF9-B395-4ED6-8AE1-3DA5590BC533}"/>
    <cellStyle name="Style 95 3 2 7 2 2" xfId="36691" xr:uid="{1987C1EF-3F4D-4B7B-97ED-187F7AE3F5CF}"/>
    <cellStyle name="Style 95 3 2 7 3" xfId="36690" xr:uid="{F7F1959D-43D8-4AA8-B201-8164EF8D2628}"/>
    <cellStyle name="Style 95 3 2 8" xfId="18195" xr:uid="{B4CA5EF0-2F30-4B69-9BA5-1ABE7265A959}"/>
    <cellStyle name="Style 95 3 2 8 2" xfId="18196" xr:uid="{DD7F390A-99B4-46D9-9FBD-6056B5970578}"/>
    <cellStyle name="Style 95 3 2 8 2 2" xfId="36693" xr:uid="{266DB4AB-F58A-471E-A3F0-67176D2BEAD9}"/>
    <cellStyle name="Style 95 3 2 8 3" xfId="36692" xr:uid="{F2E5D7F1-B10C-4051-921A-A5F624FAB986}"/>
    <cellStyle name="Style 95 3 2 9" xfId="18197" xr:uid="{B8F1A8C6-77C2-4EC0-A2E1-FBFA41AE82C1}"/>
    <cellStyle name="Style 95 3 2 9 2" xfId="18198" xr:uid="{5781D449-E2A8-4ED5-81F3-0E2D6C9188FC}"/>
    <cellStyle name="Style 95 3 2 9 2 2" xfId="36695" xr:uid="{DD16A081-DCBC-4629-B4B4-C634FF5C8653}"/>
    <cellStyle name="Style 95 3 2 9 3" xfId="36694" xr:uid="{20C63E35-7A4F-4BC8-941E-2ADD2EF8720C}"/>
    <cellStyle name="Style 95 3 3" xfId="3763" xr:uid="{37E7F788-EF41-48B8-8D80-FD1BCCAB474B}"/>
    <cellStyle name="Style 95 3 3 10" xfId="18199" xr:uid="{B34A94C8-F4BA-490A-87D4-7AB4CC9E6890}"/>
    <cellStyle name="Style 95 3 3 10 2" xfId="36696" xr:uid="{4C5D51C6-A465-4357-ABF0-BD1583118489}"/>
    <cellStyle name="Style 95 3 3 11" xfId="18200" xr:uid="{5C836DE2-06F3-477A-A995-B7745BB224FC}"/>
    <cellStyle name="Style 95 3 3 11 2" xfId="36697" xr:uid="{423B7599-28A7-4DF5-9715-B470845A2191}"/>
    <cellStyle name="Style 95 3 3 2" xfId="3764" xr:uid="{A44FB16E-C7EE-46BD-B2E4-F3A33374DD8E}"/>
    <cellStyle name="Style 95 3 3 2 10" xfId="18201" xr:uid="{7884F70C-7F6C-487C-B9AC-8F7E0EEF4053}"/>
    <cellStyle name="Style 95 3 3 2 10 2" xfId="36698" xr:uid="{DC9CEA7E-6D64-461B-B9FB-1604286E4D93}"/>
    <cellStyle name="Style 95 3 3 2 11" xfId="18202" xr:uid="{EB869FD4-17C5-411B-BBC4-CAC451323F4E}"/>
    <cellStyle name="Style 95 3 3 2 11 2" xfId="36699" xr:uid="{1D9E2526-BBA8-4E4C-A404-885C92C6DB8D}"/>
    <cellStyle name="Style 95 3 3 2 2" xfId="3765" xr:uid="{82671FC4-7923-4EB7-BA62-420DDC07C860}"/>
    <cellStyle name="Style 95 3 3 2 2 10" xfId="18203" xr:uid="{3940D123-32E3-4BB5-ADDF-93933053A189}"/>
    <cellStyle name="Style 95 3 3 2 2 10 2" xfId="36700" xr:uid="{DB652E51-6E95-4268-86E1-0DF092270D84}"/>
    <cellStyle name="Style 95 3 3 2 2 2" xfId="3766" xr:uid="{19004127-F601-448E-9467-0CD9D95E293F}"/>
    <cellStyle name="Style 95 3 3 2 2 2 2" xfId="7616" xr:uid="{470DDC6E-DC4B-43AB-8EFC-F4DC297B73CD}"/>
    <cellStyle name="Style 95 3 3 2 2 2 2 2" xfId="18204" xr:uid="{2B6E8878-56AC-4866-B8B7-A44FE603F13A}"/>
    <cellStyle name="Style 95 3 3 2 2 2 2 2 2" xfId="36701" xr:uid="{4A09DF7D-5D57-4E5F-982E-88B96CE07866}"/>
    <cellStyle name="Style 95 3 3 2 2 2 2 3" xfId="18205" xr:uid="{A5807695-3EB9-42B9-A4E0-52510642817A}"/>
    <cellStyle name="Style 95 3 3 2 2 2 2 3 2" xfId="36702" xr:uid="{23D65C29-C894-48BD-BC1C-BA7727B6965E}"/>
    <cellStyle name="Style 95 3 3 2 2 2 2 4" xfId="18206" xr:uid="{98FC8DA0-195F-4615-9A4A-E0404BBA9A96}"/>
    <cellStyle name="Style 95 3 3 2 2 2 2 4 2" xfId="36703" xr:uid="{21456B91-37AB-4CAC-BE85-BD37DE8A2520}"/>
    <cellStyle name="Style 95 3 3 2 2 2 3" xfId="18207" xr:uid="{53CB4173-5CA0-4338-AF94-C11A33CE1B78}"/>
    <cellStyle name="Style 95 3 3 2 2 2 3 2" xfId="18208" xr:uid="{80DB700C-87E3-401E-8BB1-0F6A17F9E941}"/>
    <cellStyle name="Style 95 3 3 2 2 2 3 2 2" xfId="36704" xr:uid="{D373381F-E3E2-4286-ABAE-8DD275671E78}"/>
    <cellStyle name="Style 95 3 3 2 2 2 3 3" xfId="18209" xr:uid="{EFBB4BF0-8B08-461A-A1BE-E3E103A76546}"/>
    <cellStyle name="Style 95 3 3 2 2 2 3 3 2" xfId="36705" xr:uid="{6DFDDF22-E823-4856-8F63-BD6F322A5D5C}"/>
    <cellStyle name="Style 95 3 3 2 2 2 4" xfId="18210" xr:uid="{C26CF5D8-F7B4-4FF0-A478-B86745255AEB}"/>
    <cellStyle name="Style 95 3 3 2 2 2 4 2" xfId="18211" xr:uid="{4D0668E9-D7FF-4402-A523-F52549075197}"/>
    <cellStyle name="Style 95 3 3 2 2 2 4 2 2" xfId="36707" xr:uid="{2B8D5457-17C0-4EF4-85AB-2120C8229A20}"/>
    <cellStyle name="Style 95 3 3 2 2 2 4 3" xfId="36706" xr:uid="{D2705F93-A08E-4E8E-BFD2-4DDD84D08771}"/>
    <cellStyle name="Style 95 3 3 2 2 2 5" xfId="18212" xr:uid="{37A36636-D245-41DB-AF72-BAB4652C0311}"/>
    <cellStyle name="Style 95 3 3 2 2 2 5 2" xfId="18213" xr:uid="{6FC25D2C-2688-4FE6-B456-212886ADB057}"/>
    <cellStyle name="Style 95 3 3 2 2 2 5 2 2" xfId="36709" xr:uid="{B714A4C1-68F3-45C9-8AFA-223C26F11711}"/>
    <cellStyle name="Style 95 3 3 2 2 2 5 3" xfId="36708" xr:uid="{000C332E-6263-4D47-95D7-25EA16F0A454}"/>
    <cellStyle name="Style 95 3 3 2 2 2 6" xfId="18214" xr:uid="{4ECDD82A-05E5-4975-A668-09E8D24E7822}"/>
    <cellStyle name="Style 95 3 3 2 2 2 6 2" xfId="18215" xr:uid="{56FC6354-B263-4011-BC4E-F330C8E52E20}"/>
    <cellStyle name="Style 95 3 3 2 2 2 6 2 2" xfId="36711" xr:uid="{A2344A81-BBEE-4B2A-9BF6-D6F9726FE9E5}"/>
    <cellStyle name="Style 95 3 3 2 2 2 6 3" xfId="36710" xr:uid="{4D528D70-4061-4BFE-A317-15CD2D3E2AC4}"/>
    <cellStyle name="Style 95 3 3 2 2 2 7" xfId="18216" xr:uid="{7CFAEB12-9C1B-4976-B8D0-185FA09DC90D}"/>
    <cellStyle name="Style 95 3 3 2 2 2 7 2" xfId="36712" xr:uid="{25B41084-0C02-44AD-A4A7-7B6484DF968F}"/>
    <cellStyle name="Style 95 3 3 2 2 2 8" xfId="18217" xr:uid="{84D2AD04-0BCA-482D-8EF3-5D755472F449}"/>
    <cellStyle name="Style 95 3 3 2 2 2 8 2" xfId="36713" xr:uid="{C4B3166C-1C2C-469D-9FC2-6963C3D033B9}"/>
    <cellStyle name="Style 95 3 3 2 2 3" xfId="7615" xr:uid="{F3262066-A8E4-4D2E-8182-22BBC16D53F2}"/>
    <cellStyle name="Style 95 3 3 2 2 3 2" xfId="18218" xr:uid="{4F7C7577-1B25-467C-A1DE-BD0E88763B8C}"/>
    <cellStyle name="Style 95 3 3 2 2 3 2 2" xfId="36714" xr:uid="{F4497533-B31F-43F2-8ED1-ED1F99674566}"/>
    <cellStyle name="Style 95 3 3 2 2 3 3" xfId="18219" xr:uid="{D5E9714A-7CD6-4D9F-9065-FC24A0CAD63B}"/>
    <cellStyle name="Style 95 3 3 2 2 3 3 2" xfId="36715" xr:uid="{1FF4DB2C-C6FF-44A2-B54E-3AF2734B7868}"/>
    <cellStyle name="Style 95 3 3 2 2 3 4" xfId="18220" xr:uid="{989C76ED-EE70-4B5E-9932-E53ED1A55318}"/>
    <cellStyle name="Style 95 3 3 2 2 3 4 2" xfId="36716" xr:uid="{17664E7F-E987-49DF-83E8-11370A01F26C}"/>
    <cellStyle name="Style 95 3 3 2 2 4" xfId="18221" xr:uid="{5ABA6D88-6E0A-490A-B8CB-904C452E4296}"/>
    <cellStyle name="Style 95 3 3 2 2 4 2" xfId="18222" xr:uid="{7224178D-4A4C-4360-BB73-8171596BA4FF}"/>
    <cellStyle name="Style 95 3 3 2 2 4 2 2" xfId="36717" xr:uid="{83CA0B70-4042-418F-BFC3-E0646AD7DE6D}"/>
    <cellStyle name="Style 95 3 3 2 2 4 3" xfId="18223" xr:uid="{ECAF757C-3777-4433-836C-2C2335736852}"/>
    <cellStyle name="Style 95 3 3 2 2 4 3 2" xfId="36718" xr:uid="{959E5FEC-73EB-4B2D-9C81-3205762D0371}"/>
    <cellStyle name="Style 95 3 3 2 2 5" xfId="18224" xr:uid="{38A7DE27-E50F-44FC-B906-6088B41AADD2}"/>
    <cellStyle name="Style 95 3 3 2 2 5 2" xfId="18225" xr:uid="{5E8AB01D-4B54-4396-A753-0EA7D15FD292}"/>
    <cellStyle name="Style 95 3 3 2 2 5 2 2" xfId="36720" xr:uid="{7433A49E-55A9-47C2-A1AD-67B5CB9A09B9}"/>
    <cellStyle name="Style 95 3 3 2 2 5 3" xfId="36719" xr:uid="{745E6C05-3561-46D6-89B4-264E3B41AE6C}"/>
    <cellStyle name="Style 95 3 3 2 2 6" xfId="18226" xr:uid="{00BD7AF8-1890-4025-9A92-5868C9DC5492}"/>
    <cellStyle name="Style 95 3 3 2 2 6 2" xfId="18227" xr:uid="{AEBAF319-F96C-4BA8-9287-9EA92EF180BC}"/>
    <cellStyle name="Style 95 3 3 2 2 6 2 2" xfId="36722" xr:uid="{CC376A83-0E64-4214-B7FF-D31DAAFFC03F}"/>
    <cellStyle name="Style 95 3 3 2 2 6 3" xfId="36721" xr:uid="{16AF2C6B-3427-4B23-86F6-6A0FB7C40192}"/>
    <cellStyle name="Style 95 3 3 2 2 7" xfId="18228" xr:uid="{74435A8E-D570-44EB-B248-DCBF66AA320E}"/>
    <cellStyle name="Style 95 3 3 2 2 7 2" xfId="18229" xr:uid="{062ECAC9-FCD5-46AB-8C5D-57C4ED0BC9FB}"/>
    <cellStyle name="Style 95 3 3 2 2 7 2 2" xfId="36724" xr:uid="{8D6D4437-75E4-45E7-B9B7-B20D3657DB62}"/>
    <cellStyle name="Style 95 3 3 2 2 7 3" xfId="36723" xr:uid="{78CB2968-1461-4193-8A99-557B87A82E15}"/>
    <cellStyle name="Style 95 3 3 2 2 8" xfId="18230" xr:uid="{4A281D03-B90F-4148-B07B-30FFC111D7D2}"/>
    <cellStyle name="Style 95 3 3 2 2 8 2" xfId="18231" xr:uid="{1257FC2D-816B-4C0F-BB74-315CEDC8D1B3}"/>
    <cellStyle name="Style 95 3 3 2 2 8 2 2" xfId="36726" xr:uid="{C137D8BF-C7E4-4512-B832-CCB0EC6C67B6}"/>
    <cellStyle name="Style 95 3 3 2 2 8 3" xfId="36725" xr:uid="{A86D8548-8644-4D15-951F-762B39B6E826}"/>
    <cellStyle name="Style 95 3 3 2 2 9" xfId="18232" xr:uid="{BFD70F89-B215-4C85-AF58-B1A70D08DB12}"/>
    <cellStyle name="Style 95 3 3 2 2 9 2" xfId="36727" xr:uid="{9C6C6174-C14D-4F4E-99B9-87038BB189C1}"/>
    <cellStyle name="Style 95 3 3 2 3" xfId="3767" xr:uid="{1FF9DF09-4882-4459-960E-328B782A3F63}"/>
    <cellStyle name="Style 95 3 3 2 3 2" xfId="7617" xr:uid="{765BAB79-4BD3-47B2-B78E-6B2420DA796A}"/>
    <cellStyle name="Style 95 3 3 2 3 2 2" xfId="18233" xr:uid="{9D23855D-348F-4BF2-A6E8-877D27A02605}"/>
    <cellStyle name="Style 95 3 3 2 3 2 2 2" xfId="36728" xr:uid="{E3F377C0-EA40-4ED3-862C-F0B13F71B3C3}"/>
    <cellStyle name="Style 95 3 3 2 3 2 3" xfId="18234" xr:uid="{BE390658-90F4-4095-BC14-40D6A1968A70}"/>
    <cellStyle name="Style 95 3 3 2 3 2 3 2" xfId="36729" xr:uid="{630BCF0E-B827-4A69-B4A6-8DC6E345AF63}"/>
    <cellStyle name="Style 95 3 3 2 3 2 4" xfId="18235" xr:uid="{F5C0E552-22B6-473D-BC49-53605A7F744A}"/>
    <cellStyle name="Style 95 3 3 2 3 2 4 2" xfId="36730" xr:uid="{8BC82231-9B83-4490-9E35-3E23402B2A68}"/>
    <cellStyle name="Style 95 3 3 2 3 3" xfId="18236" xr:uid="{44F5D4A1-B902-4925-AFD5-17216A33C9B8}"/>
    <cellStyle name="Style 95 3 3 2 3 3 2" xfId="18237" xr:uid="{5C72B2B2-B3E1-46E7-AD61-6B2DCBA430D2}"/>
    <cellStyle name="Style 95 3 3 2 3 3 2 2" xfId="36731" xr:uid="{D0E5340C-2BC5-44DD-AC98-3DB1F8A3D39F}"/>
    <cellStyle name="Style 95 3 3 2 3 3 3" xfId="18238" xr:uid="{9A8D0C9E-3B45-4E00-97A5-D1AAA605741A}"/>
    <cellStyle name="Style 95 3 3 2 3 3 3 2" xfId="36732" xr:uid="{473349CF-2636-47EA-8EEC-D86DD42C8968}"/>
    <cellStyle name="Style 95 3 3 2 3 4" xfId="18239" xr:uid="{380197E7-C3C6-42E5-A7ED-33DC532E8FA9}"/>
    <cellStyle name="Style 95 3 3 2 3 4 2" xfId="18240" xr:uid="{D55D9FB0-0180-4928-98CB-479B8536F7F1}"/>
    <cellStyle name="Style 95 3 3 2 3 4 2 2" xfId="36734" xr:uid="{1953E6D0-3DA4-4F02-B914-806374404918}"/>
    <cellStyle name="Style 95 3 3 2 3 4 3" xfId="36733" xr:uid="{04FD3E62-AD8F-4EB8-9885-9812638F2805}"/>
    <cellStyle name="Style 95 3 3 2 3 5" xfId="18241" xr:uid="{F3378FC7-62B5-45F4-9059-ECE144C87452}"/>
    <cellStyle name="Style 95 3 3 2 3 5 2" xfId="18242" xr:uid="{E1274396-8648-486F-AB3C-095053F24947}"/>
    <cellStyle name="Style 95 3 3 2 3 5 2 2" xfId="36736" xr:uid="{CF162EAF-0DEF-4E05-9423-B26E7B3B1067}"/>
    <cellStyle name="Style 95 3 3 2 3 5 3" xfId="36735" xr:uid="{37F09485-D2D2-4A2C-A968-22ADBF05DEEE}"/>
    <cellStyle name="Style 95 3 3 2 3 6" xfId="18243" xr:uid="{7CBA3977-248E-4BF6-ABB8-861B76CEA784}"/>
    <cellStyle name="Style 95 3 3 2 3 6 2" xfId="18244" xr:uid="{DB4D7C97-B292-4E4A-AD62-EDC6BB91AC0B}"/>
    <cellStyle name="Style 95 3 3 2 3 6 2 2" xfId="36738" xr:uid="{A0B3D5F8-C670-472A-A2AC-1301C6E42374}"/>
    <cellStyle name="Style 95 3 3 2 3 6 3" xfId="36737" xr:uid="{384C2845-C97A-4267-AB41-BEDE51C94AD7}"/>
    <cellStyle name="Style 95 3 3 2 3 7" xfId="18245" xr:uid="{B47653B7-6E50-445D-8A21-63E2EC8CBEB9}"/>
    <cellStyle name="Style 95 3 3 2 3 7 2" xfId="36739" xr:uid="{D2F3D19D-511E-4A02-943B-0B1CE7FE8A41}"/>
    <cellStyle name="Style 95 3 3 2 3 8" xfId="18246" xr:uid="{7C3A1B02-6DD7-4BF7-861F-F0CFC1BE401A}"/>
    <cellStyle name="Style 95 3 3 2 3 8 2" xfId="36740" xr:uid="{3C251961-0AD7-42D6-9591-DDCF8336EE93}"/>
    <cellStyle name="Style 95 3 3 2 4" xfId="7614" xr:uid="{31DC7920-3C4C-4FAA-8D8E-C7E666944121}"/>
    <cellStyle name="Style 95 3 3 2 4 2" xfId="18247" xr:uid="{8B86573B-2ED3-450D-8048-186B00AF10A7}"/>
    <cellStyle name="Style 95 3 3 2 4 2 2" xfId="36741" xr:uid="{1CE7D381-5A89-4BC3-BF40-57C7F011D973}"/>
    <cellStyle name="Style 95 3 3 2 4 3" xfId="18248" xr:uid="{E2B59A98-8F76-49BE-AEEB-26CC840E1A9C}"/>
    <cellStyle name="Style 95 3 3 2 4 3 2" xfId="36742" xr:uid="{0359EF6D-76D4-499D-8A2B-D037695CE5E0}"/>
    <cellStyle name="Style 95 3 3 2 4 4" xfId="18249" xr:uid="{13463554-81CF-445F-9044-F7E5B7664FBF}"/>
    <cellStyle name="Style 95 3 3 2 4 4 2" xfId="36743" xr:uid="{CD051DAC-3068-435B-97C6-0C008E1C1828}"/>
    <cellStyle name="Style 95 3 3 2 5" xfId="18250" xr:uid="{A1961FA4-8006-499F-A052-8DC363A2A868}"/>
    <cellStyle name="Style 95 3 3 2 5 2" xfId="18251" xr:uid="{ACC06199-FAE3-4EDB-B7C7-43857630C9EC}"/>
    <cellStyle name="Style 95 3 3 2 5 2 2" xfId="36744" xr:uid="{592294FE-B0B7-4084-B835-9BF2D7C45447}"/>
    <cellStyle name="Style 95 3 3 2 5 3" xfId="18252" xr:uid="{670E4321-CA6B-472D-8270-EFC275FC6397}"/>
    <cellStyle name="Style 95 3 3 2 5 3 2" xfId="36745" xr:uid="{FE014BAA-B2DB-4830-A404-81098755BE98}"/>
    <cellStyle name="Style 95 3 3 2 6" xfId="18253" xr:uid="{0560D6AE-2A77-4596-AA5E-42903C7B4878}"/>
    <cellStyle name="Style 95 3 3 2 6 2" xfId="18254" xr:uid="{1C77F78B-04C1-4712-ADA0-8DCC9BACFD39}"/>
    <cellStyle name="Style 95 3 3 2 6 2 2" xfId="36747" xr:uid="{96F2F33B-0342-458A-A9B1-9767D11C2486}"/>
    <cellStyle name="Style 95 3 3 2 6 3" xfId="36746" xr:uid="{7BEAA0D1-2EC2-49BB-A21B-1AB7C21213D1}"/>
    <cellStyle name="Style 95 3 3 2 7" xfId="18255" xr:uid="{57516C03-66EF-4E79-AFE7-84A59450B207}"/>
    <cellStyle name="Style 95 3 3 2 7 2" xfId="18256" xr:uid="{93BC1C47-46EE-4FB7-B995-0EFC258F3566}"/>
    <cellStyle name="Style 95 3 3 2 7 2 2" xfId="36749" xr:uid="{4B76A8CB-09E3-47DD-91B0-8CC9AF4308C1}"/>
    <cellStyle name="Style 95 3 3 2 7 3" xfId="36748" xr:uid="{D119A28E-2C4B-4D6F-8979-8D5704D4C125}"/>
    <cellStyle name="Style 95 3 3 2 8" xfId="18257" xr:uid="{659A243B-9EEA-4A44-9E56-47D695D71D2C}"/>
    <cellStyle name="Style 95 3 3 2 8 2" xfId="18258" xr:uid="{C512156C-E54F-46DA-90F6-E5D305A99F2A}"/>
    <cellStyle name="Style 95 3 3 2 8 2 2" xfId="36751" xr:uid="{1FCE4F79-FBEF-45CB-8443-C50B149D154D}"/>
    <cellStyle name="Style 95 3 3 2 8 3" xfId="36750" xr:uid="{9A4D7649-C6FB-4A45-B9F0-75E4154BBD48}"/>
    <cellStyle name="Style 95 3 3 2 9" xfId="18259" xr:uid="{216C3343-365C-4128-8C89-410553806410}"/>
    <cellStyle name="Style 95 3 3 2 9 2" xfId="18260" xr:uid="{935DF310-825C-40C6-BD3F-A249E654E918}"/>
    <cellStyle name="Style 95 3 3 2 9 2 2" xfId="36753" xr:uid="{61782CE6-E23B-4939-9F7E-62EFCBB46549}"/>
    <cellStyle name="Style 95 3 3 2 9 3" xfId="36752" xr:uid="{ACFDA70E-37CE-4F2E-8C05-59CB27BCB613}"/>
    <cellStyle name="Style 95 3 3 3" xfId="3768" xr:uid="{499ED400-FC55-4962-827D-5B7B6701C54F}"/>
    <cellStyle name="Style 95 3 3 3 2" xfId="7619" xr:uid="{2885E86E-CF07-4CF6-AAE1-8DBA4EA83CF8}"/>
    <cellStyle name="Style 95 3 3 3 2 2" xfId="18261" xr:uid="{5CE58EB9-BC2B-43C2-A075-DCE1435A2B96}"/>
    <cellStyle name="Style 95 3 3 3 2 2 2" xfId="36754" xr:uid="{E5E9B8AC-E7C9-4D26-971F-07AABF621381}"/>
    <cellStyle name="Style 95 3 3 3 2 3" xfId="18262" xr:uid="{CA2F26F2-90E3-4CA2-B798-43BA463B8C39}"/>
    <cellStyle name="Style 95 3 3 3 2 3 2" xfId="36755" xr:uid="{6045E818-C927-4310-A97E-54F5F6002D96}"/>
    <cellStyle name="Style 95 3 3 3 2 4" xfId="18263" xr:uid="{B18B9B31-A388-44B2-AEA3-9A1D38376B34}"/>
    <cellStyle name="Style 95 3 3 3 2 4 2" xfId="36756" xr:uid="{A99C16FE-8B28-4E6B-AFE1-6942CECA56DB}"/>
    <cellStyle name="Style 95 3 3 3 3" xfId="7618" xr:uid="{5D7F8F6B-3BB2-413C-ADF2-438E1F77D237}"/>
    <cellStyle name="Style 95 3 3 3 3 2" xfId="18264" xr:uid="{8279A49F-BC88-484C-9A5A-63CB8CD369BD}"/>
    <cellStyle name="Style 95 3 3 3 3 2 2" xfId="36757" xr:uid="{98E7F777-D88D-4C71-A48E-504573DF530C}"/>
    <cellStyle name="Style 95 3 3 3 3 3" xfId="18265" xr:uid="{2D580778-BC47-41EC-AABE-05FED26BA838}"/>
    <cellStyle name="Style 95 3 3 3 3 3 2" xfId="36758" xr:uid="{FF2CAB9F-818E-4B4F-A5DA-9E31971E0A8A}"/>
    <cellStyle name="Style 95 3 3 3 4" xfId="18266" xr:uid="{553316F8-39BC-432B-8155-96F662DAAF3B}"/>
    <cellStyle name="Style 95 3 3 3 4 2" xfId="18267" xr:uid="{3FF57BDC-9057-4C23-BB17-3B35216DE9EB}"/>
    <cellStyle name="Style 95 3 3 3 4 2 2" xfId="36759" xr:uid="{ECB786DB-611B-4E71-B997-29538141EE3F}"/>
    <cellStyle name="Style 95 3 3 3 4 3" xfId="18268" xr:uid="{F35B1656-D272-436C-9882-1D7A663E0999}"/>
    <cellStyle name="Style 95 3 3 3 4 3 2" xfId="36760" xr:uid="{49B4EB91-851C-475B-A6AB-45860B977D5D}"/>
    <cellStyle name="Style 95 3 3 3 5" xfId="18269" xr:uid="{00D34A66-A837-42E8-BC49-99239493D118}"/>
    <cellStyle name="Style 95 3 3 3 5 2" xfId="18270" xr:uid="{AFA6147F-9E09-4467-8CB6-7943B3D96C3E}"/>
    <cellStyle name="Style 95 3 3 3 5 2 2" xfId="36762" xr:uid="{20FD9366-3983-41C8-B627-10F2588A144E}"/>
    <cellStyle name="Style 95 3 3 3 5 3" xfId="36761" xr:uid="{16F729C2-E68A-41D7-B400-517AED64F24F}"/>
    <cellStyle name="Style 95 3 3 3 6" xfId="18271" xr:uid="{F24F8D90-CF0B-4942-A037-E3E726168591}"/>
    <cellStyle name="Style 95 3 3 3 6 2" xfId="18272" xr:uid="{81F85E18-EDAA-4E68-946E-0648FDCDA352}"/>
    <cellStyle name="Style 95 3 3 3 6 2 2" xfId="36764" xr:uid="{4874F0A4-2CCB-4542-A84B-20126CC57691}"/>
    <cellStyle name="Style 95 3 3 3 6 3" xfId="36763" xr:uid="{A6FC7924-B5DB-4E34-8EEF-F7DA23E38278}"/>
    <cellStyle name="Style 95 3 3 3 7" xfId="18273" xr:uid="{F23DE8B7-EF37-41B4-898A-6537B4474CEA}"/>
    <cellStyle name="Style 95 3 3 3 7 2" xfId="36765" xr:uid="{C646A0D7-264C-4FEA-BBEB-DB4359D9B7A8}"/>
    <cellStyle name="Style 95 3 3 3 8" xfId="18274" xr:uid="{A758FE9A-8A28-4135-9406-763B8BAA261D}"/>
    <cellStyle name="Style 95 3 3 3 8 2" xfId="36766" xr:uid="{5752F28E-E05A-4C71-B6A8-8762EBB72475}"/>
    <cellStyle name="Style 95 3 3 4" xfId="7620" xr:uid="{4E65F7E1-9366-4324-B23B-CA74DF7FEE38}"/>
    <cellStyle name="Style 95 3 3 4 2" xfId="18275" xr:uid="{53443992-EB24-471C-830D-8E7D30661C98}"/>
    <cellStyle name="Style 95 3 3 4 2 2" xfId="36767" xr:uid="{8158A1CD-B419-4B69-A2D4-EED77D15EB53}"/>
    <cellStyle name="Style 95 3 3 4 3" xfId="18276" xr:uid="{4A0DEE5B-6026-46A5-B27B-58262DA2BA32}"/>
    <cellStyle name="Style 95 3 3 4 3 2" xfId="36768" xr:uid="{6CA4AB77-9BC9-4BD1-A93E-100532EC4946}"/>
    <cellStyle name="Style 95 3 3 4 4" xfId="18277" xr:uid="{88EEF511-D1CE-4B75-BCEC-EACDF9F4D58D}"/>
    <cellStyle name="Style 95 3 3 4 4 2" xfId="36769" xr:uid="{7E3D550C-B998-4CDD-BFCD-C8CD9C99E622}"/>
    <cellStyle name="Style 95 3 3 5" xfId="7621" xr:uid="{65FA6F46-983C-43BD-8F61-B75BA4DF4041}"/>
    <cellStyle name="Style 95 3 3 5 2" xfId="18278" xr:uid="{6188E738-2C78-470F-BC8A-D4301B2EA83B}"/>
    <cellStyle name="Style 95 3 3 5 2 2" xfId="36770" xr:uid="{C35D9676-FB10-4149-B4B3-BFAE3FDD13A3}"/>
    <cellStyle name="Style 95 3 3 5 3" xfId="18279" xr:uid="{91810661-EE32-4E05-B189-A96C0867F69B}"/>
    <cellStyle name="Style 95 3 3 5 3 2" xfId="36771" xr:uid="{73AA5AEA-7D3A-45CC-8910-F49DF106B357}"/>
    <cellStyle name="Style 95 3 3 6" xfId="7613" xr:uid="{1C273703-536C-4675-AC88-B4394E2A1FAE}"/>
    <cellStyle name="Style 95 3 3 6 2" xfId="18280" xr:uid="{9881B7FB-F683-4D3F-AF6B-0298B57AEC1C}"/>
    <cellStyle name="Style 95 3 3 6 2 2" xfId="36772" xr:uid="{35BD0C69-0210-4E6E-BF75-B40486023344}"/>
    <cellStyle name="Style 95 3 3 6 3" xfId="18281" xr:uid="{CEAE3CE5-59F1-441A-95A2-1EA5741BE342}"/>
    <cellStyle name="Style 95 3 3 6 3 2" xfId="36773" xr:uid="{F120AD7A-9DE9-4AC8-82CC-D21E6B8ADD62}"/>
    <cellStyle name="Style 95 3 3 7" xfId="18282" xr:uid="{FE880704-3F94-4C7F-9A93-F9B98DE518A9}"/>
    <cellStyle name="Style 95 3 3 7 2" xfId="18283" xr:uid="{202D447F-A02F-4299-ADC2-BE4110728DD8}"/>
    <cellStyle name="Style 95 3 3 7 2 2" xfId="36774" xr:uid="{0F7CD73E-7791-4DE1-A7AF-5D5BAED14333}"/>
    <cellStyle name="Style 95 3 3 7 3" xfId="18284" xr:uid="{B0F6F40F-9D5C-4FF5-B296-6A7DECDA9463}"/>
    <cellStyle name="Style 95 3 3 7 3 2" xfId="36775" xr:uid="{A5E9F664-EEF2-4544-A16D-71B1F8D191DE}"/>
    <cellStyle name="Style 95 3 3 8" xfId="18285" xr:uid="{6125DACD-AFDB-490F-B2C2-F34B5120A3B3}"/>
    <cellStyle name="Style 95 3 3 8 2" xfId="18286" xr:uid="{12A95A1C-8044-4BA3-9D98-7B9CF5B99147}"/>
    <cellStyle name="Style 95 3 3 8 2 2" xfId="36777" xr:uid="{80177FE9-C440-46AD-AF44-21AC12A3CCA2}"/>
    <cellStyle name="Style 95 3 3 8 3" xfId="36776" xr:uid="{EBAD6710-63E3-44F7-BBB0-909D497C61C1}"/>
    <cellStyle name="Style 95 3 3 9" xfId="18287" xr:uid="{6532E379-0D9F-417C-BBC9-D89C2B164167}"/>
    <cellStyle name="Style 95 3 3 9 2" xfId="18288" xr:uid="{0BA72A28-E843-4A17-999D-0A8A037D3B3C}"/>
    <cellStyle name="Style 95 3 3 9 2 2" xfId="36779" xr:uid="{C9030844-EB3F-466B-A555-F19F99086AF9}"/>
    <cellStyle name="Style 95 3 3 9 3" xfId="36778" xr:uid="{6AADFD0B-5678-461B-BDF9-03753AEA247A}"/>
    <cellStyle name="Style 95 3 4" xfId="3769" xr:uid="{EB94974F-B741-4747-8B19-9A83D6DCC89B}"/>
    <cellStyle name="Style 95 3 4 10" xfId="18289" xr:uid="{C4409BC9-672D-43CC-A63F-0770FE9EA904}"/>
    <cellStyle name="Style 95 3 4 10 2" xfId="36780" xr:uid="{996FA72C-6852-47B9-ABD4-53F3E6DB22CB}"/>
    <cellStyle name="Style 95 3 4 2" xfId="3770" xr:uid="{DAF29A0C-575C-4CE0-9AFE-CD381F09A882}"/>
    <cellStyle name="Style 95 3 4 2 2" xfId="7623" xr:uid="{ED653336-A24B-4818-B53A-3E7599E42CCD}"/>
    <cellStyle name="Style 95 3 4 2 2 2" xfId="18290" xr:uid="{178B899D-5914-44AA-A703-0CFE4ACC18B9}"/>
    <cellStyle name="Style 95 3 4 2 2 2 2" xfId="36781" xr:uid="{BDCECAE1-7453-453A-A8E3-4FBD4DDCC355}"/>
    <cellStyle name="Style 95 3 4 2 2 3" xfId="18291" xr:uid="{CEAF428D-FBDD-47B7-A14B-88A9820B1601}"/>
    <cellStyle name="Style 95 3 4 2 2 3 2" xfId="36782" xr:uid="{AE3B9EA6-9C2F-4D97-A254-FCAB6725ED98}"/>
    <cellStyle name="Style 95 3 4 2 2 4" xfId="18292" xr:uid="{95BDB9CA-59AD-48F8-A57B-E89C6BD3F57A}"/>
    <cellStyle name="Style 95 3 4 2 2 4 2" xfId="36783" xr:uid="{BE0B2717-BDB1-4067-A706-6130BC73E14C}"/>
    <cellStyle name="Style 95 3 4 2 3" xfId="18293" xr:uid="{D5296BBF-56BA-48D1-BC5A-1A06B5B906F8}"/>
    <cellStyle name="Style 95 3 4 2 3 2" xfId="18294" xr:uid="{0FEA9508-1875-4310-BC75-C0D2BBE6F301}"/>
    <cellStyle name="Style 95 3 4 2 3 2 2" xfId="36784" xr:uid="{7B6E77A9-A107-4059-8972-CE20552DFE14}"/>
    <cellStyle name="Style 95 3 4 2 3 3" xfId="18295" xr:uid="{2082276F-95CA-4F24-B167-0DC77B5D7112}"/>
    <cellStyle name="Style 95 3 4 2 3 3 2" xfId="36785" xr:uid="{3F52F686-24A0-4835-AB8E-9913E3B8B52C}"/>
    <cellStyle name="Style 95 3 4 2 4" xfId="18296" xr:uid="{68608A18-7104-4995-959E-C03FE1C9A15E}"/>
    <cellStyle name="Style 95 3 4 2 4 2" xfId="18297" xr:uid="{898F602F-8A27-4572-8326-6369A487697E}"/>
    <cellStyle name="Style 95 3 4 2 4 2 2" xfId="36787" xr:uid="{46330F09-FF73-4097-8D93-23E441352D49}"/>
    <cellStyle name="Style 95 3 4 2 4 3" xfId="36786" xr:uid="{7431A5DC-9D76-44AA-B8F9-89F822821C5C}"/>
    <cellStyle name="Style 95 3 4 2 5" xfId="18298" xr:uid="{BBDFEDFF-9367-4953-88CF-ADF7DBB53031}"/>
    <cellStyle name="Style 95 3 4 2 5 2" xfId="18299" xr:uid="{359C9CD4-AA1A-4505-8DEC-3618E44B2DF2}"/>
    <cellStyle name="Style 95 3 4 2 5 2 2" xfId="36789" xr:uid="{F16BA752-39DA-418D-A1CF-005F073164F9}"/>
    <cellStyle name="Style 95 3 4 2 5 3" xfId="36788" xr:uid="{73AAB1F3-3E28-4CFF-97B5-8E52A86B3940}"/>
    <cellStyle name="Style 95 3 4 2 6" xfId="18300" xr:uid="{2D86CCC3-E2C2-40C9-AC2B-AABA660F73CD}"/>
    <cellStyle name="Style 95 3 4 2 6 2" xfId="18301" xr:uid="{0AF60E91-9376-45AF-B2CB-69B0AA9C5291}"/>
    <cellStyle name="Style 95 3 4 2 6 2 2" xfId="36791" xr:uid="{31E460E6-8C38-4FFD-B916-4C1F99E0D1ED}"/>
    <cellStyle name="Style 95 3 4 2 6 3" xfId="36790" xr:uid="{5E2AA53A-310F-43A9-8289-44846C5B2EA5}"/>
    <cellStyle name="Style 95 3 4 2 7" xfId="18302" xr:uid="{AFAA60B4-6937-4B68-B619-3A431536ED7C}"/>
    <cellStyle name="Style 95 3 4 2 7 2" xfId="36792" xr:uid="{B18AEBE6-7593-445F-B64F-C77541B0CAB2}"/>
    <cellStyle name="Style 95 3 4 2 8" xfId="18303" xr:uid="{30299534-2235-4D0F-8062-F809A5CB0C00}"/>
    <cellStyle name="Style 95 3 4 2 8 2" xfId="36793" xr:uid="{326FF7C6-60D9-4D20-A551-EC3E4E3360EA}"/>
    <cellStyle name="Style 95 3 4 3" xfId="7622" xr:uid="{E7A99E4D-7917-4FCB-B36A-BA10DAC4E422}"/>
    <cellStyle name="Style 95 3 4 3 2" xfId="18304" xr:uid="{0FEAE0AE-5696-4C2C-889D-B627C4DECF50}"/>
    <cellStyle name="Style 95 3 4 3 2 2" xfId="36794" xr:uid="{C4917D68-ECF0-4B84-8D15-18636C57AA05}"/>
    <cellStyle name="Style 95 3 4 3 3" xfId="18305" xr:uid="{6AF66D26-D2B8-49B8-B9C9-A8720D7970F8}"/>
    <cellStyle name="Style 95 3 4 3 3 2" xfId="36795" xr:uid="{56D0FD6D-02BD-4974-B715-EC5150BA2FCB}"/>
    <cellStyle name="Style 95 3 4 3 4" xfId="18306" xr:uid="{7346FE31-7913-4192-882A-C73403EA03F3}"/>
    <cellStyle name="Style 95 3 4 3 4 2" xfId="36796" xr:uid="{A8543C0C-3AAE-4DDB-AB15-E41852D7D362}"/>
    <cellStyle name="Style 95 3 4 4" xfId="18307" xr:uid="{2B1AD62C-F9B4-49BE-A7B5-3EC133168E29}"/>
    <cellStyle name="Style 95 3 4 4 2" xfId="18308" xr:uid="{94BC9941-E743-42A0-A627-07237AD9D796}"/>
    <cellStyle name="Style 95 3 4 4 2 2" xfId="36797" xr:uid="{0656B18B-C35B-402E-A42A-C9CEE804ECF5}"/>
    <cellStyle name="Style 95 3 4 4 3" xfId="18309" xr:uid="{F9FB2549-7FB6-4972-889B-2FFC7FFDB909}"/>
    <cellStyle name="Style 95 3 4 4 3 2" xfId="36798" xr:uid="{E176E74F-5A3C-43E6-8CEE-C2086D9F8A67}"/>
    <cellStyle name="Style 95 3 4 5" xfId="18310" xr:uid="{5D751924-F254-4421-AB73-4B9A9569139E}"/>
    <cellStyle name="Style 95 3 4 5 2" xfId="18311" xr:uid="{05004BE5-2600-4E5F-B373-F0C194BE7B67}"/>
    <cellStyle name="Style 95 3 4 5 2 2" xfId="36800" xr:uid="{975DE6AF-1F4D-40B5-A602-1DEB09C6EB82}"/>
    <cellStyle name="Style 95 3 4 5 3" xfId="36799" xr:uid="{78098ED3-F1B0-4B2F-ACAB-7ABA70AEF98A}"/>
    <cellStyle name="Style 95 3 4 6" xfId="18312" xr:uid="{D02EE4FC-AC49-4EB4-BA7E-51BE36D9228A}"/>
    <cellStyle name="Style 95 3 4 6 2" xfId="18313" xr:uid="{93BCE081-F406-4565-9FF9-25BB537FC50E}"/>
    <cellStyle name="Style 95 3 4 6 2 2" xfId="36802" xr:uid="{CC9E36A1-3529-40B0-B40D-DA8661BFA3CE}"/>
    <cellStyle name="Style 95 3 4 6 3" xfId="36801" xr:uid="{B7F33FF5-7163-4207-81D0-999A2927F278}"/>
    <cellStyle name="Style 95 3 4 7" xfId="18314" xr:uid="{563F529D-D782-40D3-B268-27548572DA04}"/>
    <cellStyle name="Style 95 3 4 7 2" xfId="18315" xr:uid="{AAA37231-BD2D-4233-9940-8FA02D0B9236}"/>
    <cellStyle name="Style 95 3 4 7 2 2" xfId="36804" xr:uid="{A8F8B1DE-DB28-4367-800E-A413924E32E0}"/>
    <cellStyle name="Style 95 3 4 7 3" xfId="36803" xr:uid="{75415F13-B2B1-4933-B18C-8827CD2CCA47}"/>
    <cellStyle name="Style 95 3 4 8" xfId="18316" xr:uid="{24346EE2-A71F-4025-A5E2-19BF907E7E68}"/>
    <cellStyle name="Style 95 3 4 8 2" xfId="18317" xr:uid="{0480A22C-402B-492C-AC08-C5B10FFE377B}"/>
    <cellStyle name="Style 95 3 4 8 2 2" xfId="36806" xr:uid="{8D495E03-FBC9-44C0-8717-3E4B3FE9E7CA}"/>
    <cellStyle name="Style 95 3 4 8 3" xfId="36805" xr:uid="{C5200909-79CE-44C9-8E58-E03CCDDBA742}"/>
    <cellStyle name="Style 95 3 4 9" xfId="18318" xr:uid="{EB238657-6C49-4077-BEA6-FE431B3EE2A7}"/>
    <cellStyle name="Style 95 3 4 9 2" xfId="36807" xr:uid="{5DDE7ECF-4016-4B59-A2B9-D32562CCC043}"/>
    <cellStyle name="Style 95 3 5" xfId="3771" xr:uid="{BFBE7ED7-1FC4-4BAE-A3CF-0520535664E5}"/>
    <cellStyle name="Style 95 3 5 2" xfId="7624" xr:uid="{E6C4AA9B-95DD-4FFF-A44B-38DB9C0F3D52}"/>
    <cellStyle name="Style 95 3 5 2 2" xfId="18319" xr:uid="{2F19198B-5D59-4271-93AA-B1B830D87ABF}"/>
    <cellStyle name="Style 95 3 5 2 2 2" xfId="36808" xr:uid="{B48D0145-C548-4D0D-8ADC-1C105DFFFF21}"/>
    <cellStyle name="Style 95 3 5 2 3" xfId="18320" xr:uid="{1361554D-1A9D-4FD4-840E-0249BB559F28}"/>
    <cellStyle name="Style 95 3 5 2 3 2" xfId="36809" xr:uid="{371711D8-5444-4A25-86A0-DB9DA3F52CBA}"/>
    <cellStyle name="Style 95 3 5 2 4" xfId="18321" xr:uid="{29E16007-4F99-4617-8E47-9BAEE73AE746}"/>
    <cellStyle name="Style 95 3 5 2 4 2" xfId="36810" xr:uid="{3B13DFF7-C333-48C2-9E28-4F7173C50EC4}"/>
    <cellStyle name="Style 95 3 5 3" xfId="18322" xr:uid="{22152926-EA10-42DF-AFC5-38FFC0DCE4D6}"/>
    <cellStyle name="Style 95 3 5 3 2" xfId="18323" xr:uid="{D29E5C68-B03E-44B9-989B-A7FB45C5B512}"/>
    <cellStyle name="Style 95 3 5 3 2 2" xfId="36811" xr:uid="{D8627C94-79C2-444C-B1C0-8965A9874F8B}"/>
    <cellStyle name="Style 95 3 5 3 3" xfId="18324" xr:uid="{C1EADD2E-6C69-4C97-8423-20C062462ABB}"/>
    <cellStyle name="Style 95 3 5 3 3 2" xfId="36812" xr:uid="{5DC32FFD-FC77-45AE-9212-F166160E0AF7}"/>
    <cellStyle name="Style 95 3 5 4" xfId="18325" xr:uid="{14191B8A-0078-4B14-BDC8-77CE3C77B276}"/>
    <cellStyle name="Style 95 3 5 4 2" xfId="18326" xr:uid="{4B7ABABD-5352-433A-8A24-AD12784A2544}"/>
    <cellStyle name="Style 95 3 5 4 2 2" xfId="36814" xr:uid="{103C4BB5-B771-4C66-81A7-646D81269285}"/>
    <cellStyle name="Style 95 3 5 4 3" xfId="36813" xr:uid="{AA14F196-DA97-4359-B861-FD435E367BC4}"/>
    <cellStyle name="Style 95 3 5 5" xfId="18327" xr:uid="{357D3C0E-4288-4344-86D1-DC92E2399EBA}"/>
    <cellStyle name="Style 95 3 5 5 2" xfId="18328" xr:uid="{55DFB82B-9C42-4B21-A608-5C2A8718FFBC}"/>
    <cellStyle name="Style 95 3 5 5 2 2" xfId="36816" xr:uid="{A8DCA21B-4463-44CC-9F07-47AA102D9998}"/>
    <cellStyle name="Style 95 3 5 5 3" xfId="36815" xr:uid="{8C9A986F-ED12-4047-BB4E-E28042363C2A}"/>
    <cellStyle name="Style 95 3 5 6" xfId="18329" xr:uid="{39680E4E-9E5E-4885-A165-74E897E1FBD8}"/>
    <cellStyle name="Style 95 3 5 6 2" xfId="18330" xr:uid="{068637CC-F62E-4070-9945-7A8C4A1E4CC0}"/>
    <cellStyle name="Style 95 3 5 6 2 2" xfId="36818" xr:uid="{639A94D8-D78E-42BA-B064-C848E7240417}"/>
    <cellStyle name="Style 95 3 5 6 3" xfId="36817" xr:uid="{730D027A-B434-469F-AE42-FCBB2D1C6F86}"/>
    <cellStyle name="Style 95 3 5 7" xfId="18331" xr:uid="{497A2400-490C-4D6D-BC62-BF837FEACB76}"/>
    <cellStyle name="Style 95 3 5 7 2" xfId="36819" xr:uid="{2268D29F-48D6-4B83-8825-3D49CE4B10DB}"/>
    <cellStyle name="Style 95 3 5 8" xfId="18332" xr:uid="{9BB10844-AEAF-4B3A-9BBF-8C1B8A792FD2}"/>
    <cellStyle name="Style 95 3 5 8 2" xfId="36820" xr:uid="{3B9E9F51-867D-4EE0-93A9-0CA49186585F}"/>
    <cellStyle name="Style 95 3 6" xfId="7625" xr:uid="{8D7672B8-7C91-429C-B5D2-8409ED8483F3}"/>
    <cellStyle name="Style 95 3 6 2" xfId="18333" xr:uid="{08B15CE2-2698-44B0-8279-09DBD9503B27}"/>
    <cellStyle name="Style 95 3 6 2 2" xfId="36821" xr:uid="{5F9A1822-2312-4461-9B6D-7C6F43E7DBD3}"/>
    <cellStyle name="Style 95 3 6 3" xfId="18334" xr:uid="{176E0F90-1646-4AA0-B210-3A12A6DD0929}"/>
    <cellStyle name="Style 95 3 6 3 2" xfId="36822" xr:uid="{8C01D0C2-9885-4BA7-A8B3-189E76128984}"/>
    <cellStyle name="Style 95 3 6 4" xfId="18335" xr:uid="{A13FCA6C-B557-43FE-AACD-321F29BD8D1A}"/>
    <cellStyle name="Style 95 3 6 4 2" xfId="36823" xr:uid="{55F3EF2F-2ADB-4B0C-829F-E85807FB3308}"/>
    <cellStyle name="Style 95 3 7" xfId="7604" xr:uid="{57EF97D8-B9FF-4CA9-A99A-E9421DDB46B9}"/>
    <cellStyle name="Style 95 3 7 2" xfId="18336" xr:uid="{BE118A1A-AF04-4D14-A7F3-5719B9BBF39D}"/>
    <cellStyle name="Style 95 3 7 2 2" xfId="36824" xr:uid="{1A080E97-2DB2-4A11-BFDC-CD3905A39762}"/>
    <cellStyle name="Style 95 3 7 3" xfId="18337" xr:uid="{FEF4B61F-F482-4C86-8A87-EB70B6816E63}"/>
    <cellStyle name="Style 95 3 7 3 2" xfId="36825" xr:uid="{EE882B22-552A-4EDB-9B08-CC1193EAB24B}"/>
    <cellStyle name="Style 95 3 8" xfId="18338" xr:uid="{3275859C-AAFA-436A-BDB8-9587AE1C1197}"/>
    <cellStyle name="Style 95 3 8 2" xfId="18339" xr:uid="{314C54E9-BC1B-495B-BB64-14999EF4A71A}"/>
    <cellStyle name="Style 95 3 8 2 2" xfId="36826" xr:uid="{933AA29D-7106-4AF6-8F32-9101A5D7DCC5}"/>
    <cellStyle name="Style 95 3 8 3" xfId="18340" xr:uid="{7B6221FC-7F08-4D22-A17E-9AAB7222ED81}"/>
    <cellStyle name="Style 95 3 8 3 2" xfId="36827" xr:uid="{DBE39399-3F4C-4F43-A704-25EE450E811F}"/>
    <cellStyle name="Style 95 3 9" xfId="18341" xr:uid="{2F5704BA-F1F0-49D5-B71D-BBD699EB4C55}"/>
    <cellStyle name="Style 95 3 9 2" xfId="18342" xr:uid="{3B9EFFC3-3B46-4CCF-9036-F6BEF6E5D728}"/>
    <cellStyle name="Style 95 3 9 2 2" xfId="36829" xr:uid="{017F7F2B-8A72-4EBD-9B84-2C652F358088}"/>
    <cellStyle name="Style 95 3 9 3" xfId="36828" xr:uid="{FFBD0974-1F6C-4A32-A5E9-970F37C2FEC4}"/>
    <cellStyle name="Style 95 4" xfId="3772" xr:uid="{DBD7947E-E7F2-482C-A576-C0078C87F8AE}"/>
    <cellStyle name="Style 95 4 10" xfId="18343" xr:uid="{C50ED53C-A89A-4FAE-AADB-AF32F6BA66CB}"/>
    <cellStyle name="Style 95 4 10 2" xfId="36830" xr:uid="{D0848748-C4C5-4042-903E-890DBA6154D5}"/>
    <cellStyle name="Style 95 4 11" xfId="18344" xr:uid="{7EDBC377-F9D7-4C87-BC56-59DD02ADE7B3}"/>
    <cellStyle name="Style 95 4 11 2" xfId="36831" xr:uid="{8E207721-142B-42CB-B339-F8C424CFF5B5}"/>
    <cellStyle name="Style 95 4 2" xfId="3773" xr:uid="{E7256DB1-C137-48FC-9249-8FD9C6059223}"/>
    <cellStyle name="Style 95 4 2 10" xfId="18345" xr:uid="{9D9E4855-CA29-46E5-A8BA-719CF7E345BF}"/>
    <cellStyle name="Style 95 4 2 10 2" xfId="36832" xr:uid="{BF225EEC-E56A-440C-8D79-C15B7199D8AB}"/>
    <cellStyle name="Style 95 4 2 11" xfId="18346" xr:uid="{DF50B4F7-D48A-456F-A41B-2D2FD1B6063C}"/>
    <cellStyle name="Style 95 4 2 11 2" xfId="36833" xr:uid="{6DC6931F-D202-48B3-AFAE-68C7AF1F107D}"/>
    <cellStyle name="Style 95 4 2 2" xfId="3774" xr:uid="{9FBCF0D8-D060-4EF1-98F3-A593EE4314D1}"/>
    <cellStyle name="Style 95 4 2 2 10" xfId="18347" xr:uid="{76AE59B2-3F93-44A3-A2DE-21AB9F230B32}"/>
    <cellStyle name="Style 95 4 2 2 10 2" xfId="36834" xr:uid="{42BDB9D7-4B99-4666-A16E-3AA51F72D728}"/>
    <cellStyle name="Style 95 4 2 2 2" xfId="3775" xr:uid="{AE3571C7-48AB-4D11-9A6C-A8DB7B5B6557}"/>
    <cellStyle name="Style 95 4 2 2 2 2" xfId="7629" xr:uid="{B40CEBE8-FA51-49D5-BD7A-A795DA6EFC23}"/>
    <cellStyle name="Style 95 4 2 2 2 2 2" xfId="18348" xr:uid="{39A33DA3-18C3-4CFE-B7B5-7B75215426E8}"/>
    <cellStyle name="Style 95 4 2 2 2 2 2 2" xfId="36835" xr:uid="{68E07248-3384-4B15-90B2-D6345B7383B8}"/>
    <cellStyle name="Style 95 4 2 2 2 2 3" xfId="18349" xr:uid="{0BF63891-9F4A-4115-A5DE-492836A6672B}"/>
    <cellStyle name="Style 95 4 2 2 2 2 3 2" xfId="36836" xr:uid="{FB992936-BFA0-4933-8240-55613B4C6B9A}"/>
    <cellStyle name="Style 95 4 2 2 2 2 4" xfId="18350" xr:uid="{E612415D-81D1-4773-8963-E3BD62CACB85}"/>
    <cellStyle name="Style 95 4 2 2 2 2 4 2" xfId="36837" xr:uid="{CDBA8AC1-7FD9-4D0B-80E1-32F6C55D8364}"/>
    <cellStyle name="Style 95 4 2 2 2 3" xfId="18351" xr:uid="{A882A10A-E09F-47D1-A76B-F2593130E520}"/>
    <cellStyle name="Style 95 4 2 2 2 3 2" xfId="18352" xr:uid="{E6B18F33-93C2-42D3-A6E4-D11AF8C16D2C}"/>
    <cellStyle name="Style 95 4 2 2 2 3 2 2" xfId="36838" xr:uid="{35795D59-6DBE-46A2-8448-A0C28E4936B3}"/>
    <cellStyle name="Style 95 4 2 2 2 3 3" xfId="18353" xr:uid="{2665EFE4-2356-4A1D-8082-215D614EECAC}"/>
    <cellStyle name="Style 95 4 2 2 2 3 3 2" xfId="36839" xr:uid="{B254EE1D-9475-4D6B-B233-BD4CCA18DC9D}"/>
    <cellStyle name="Style 95 4 2 2 2 4" xfId="18354" xr:uid="{88194E2D-E84D-41F7-ACDF-94D58A0A87A0}"/>
    <cellStyle name="Style 95 4 2 2 2 4 2" xfId="18355" xr:uid="{C8C03470-1C26-44D6-8333-92668A4ACF79}"/>
    <cellStyle name="Style 95 4 2 2 2 4 2 2" xfId="36841" xr:uid="{25BB2297-245B-4615-91EF-393E4A7F738A}"/>
    <cellStyle name="Style 95 4 2 2 2 4 3" xfId="36840" xr:uid="{4E950692-F700-4743-97AD-915698AD839C}"/>
    <cellStyle name="Style 95 4 2 2 2 5" xfId="18356" xr:uid="{B9F63C9F-0BCF-405C-82EF-4303D582A914}"/>
    <cellStyle name="Style 95 4 2 2 2 5 2" xfId="18357" xr:uid="{6700C989-50C0-4D02-85B7-A5AFFEE16C5A}"/>
    <cellStyle name="Style 95 4 2 2 2 5 2 2" xfId="36843" xr:uid="{B927F5B4-13DC-4E95-BE6D-CA3AB496A22A}"/>
    <cellStyle name="Style 95 4 2 2 2 5 3" xfId="36842" xr:uid="{29248C84-E68A-4547-8D94-A6B7BAD21861}"/>
    <cellStyle name="Style 95 4 2 2 2 6" xfId="18358" xr:uid="{E563E224-4922-4864-865A-C0CACEBDC96C}"/>
    <cellStyle name="Style 95 4 2 2 2 6 2" xfId="18359" xr:uid="{F9432A5C-B8AB-4323-9D5D-E1E1D3B9880D}"/>
    <cellStyle name="Style 95 4 2 2 2 6 2 2" xfId="36845" xr:uid="{237F3A16-107C-4435-A7AC-5980B4E39D11}"/>
    <cellStyle name="Style 95 4 2 2 2 6 3" xfId="36844" xr:uid="{6041956A-B34C-40FE-9687-F59513D13142}"/>
    <cellStyle name="Style 95 4 2 2 2 7" xfId="18360" xr:uid="{E723CB40-81F0-431D-A3FE-D1B945E05D2C}"/>
    <cellStyle name="Style 95 4 2 2 2 7 2" xfId="36846" xr:uid="{3E4D61F1-97A9-4F04-ABB8-37C476531090}"/>
    <cellStyle name="Style 95 4 2 2 2 8" xfId="18361" xr:uid="{68537E86-B06C-4BB4-8E1C-ED2E38BC1CF4}"/>
    <cellStyle name="Style 95 4 2 2 2 8 2" xfId="36847" xr:uid="{FA850B5F-38A7-4B20-BC73-AA780603CF6B}"/>
    <cellStyle name="Style 95 4 2 2 3" xfId="7628" xr:uid="{856937E8-451F-474D-A3CF-E258E28B01FC}"/>
    <cellStyle name="Style 95 4 2 2 3 2" xfId="18362" xr:uid="{30CB6285-6411-4F52-B474-2C658925590B}"/>
    <cellStyle name="Style 95 4 2 2 3 2 2" xfId="36848" xr:uid="{358DE00B-0797-4126-B9A8-4549FD0CB958}"/>
    <cellStyle name="Style 95 4 2 2 3 3" xfId="18363" xr:uid="{F50D1949-9F02-4C55-BEE2-3F8E319A9AE3}"/>
    <cellStyle name="Style 95 4 2 2 3 3 2" xfId="36849" xr:uid="{1C8FD3FA-19FE-432D-AD10-0F53B06E9C9E}"/>
    <cellStyle name="Style 95 4 2 2 3 4" xfId="18364" xr:uid="{BA89C201-8E1D-48BD-9A6F-012B8DB130A0}"/>
    <cellStyle name="Style 95 4 2 2 3 4 2" xfId="36850" xr:uid="{41EE25D2-8000-4783-B748-8B1F5CD5A800}"/>
    <cellStyle name="Style 95 4 2 2 4" xfId="18365" xr:uid="{F16E4901-9BD7-4C2F-9323-4048CC511AB3}"/>
    <cellStyle name="Style 95 4 2 2 4 2" xfId="18366" xr:uid="{1A45A91E-A5D3-4477-AF47-F67D21A214CC}"/>
    <cellStyle name="Style 95 4 2 2 4 2 2" xfId="36851" xr:uid="{AEE9842E-21DD-4DE9-917A-E34DFDF898DA}"/>
    <cellStyle name="Style 95 4 2 2 4 3" xfId="18367" xr:uid="{609ADC8A-A6AB-4D40-9D7D-4252B3D87021}"/>
    <cellStyle name="Style 95 4 2 2 4 3 2" xfId="36852" xr:uid="{8A0AB123-A4A0-486A-AA5B-5E46204F8F44}"/>
    <cellStyle name="Style 95 4 2 2 5" xfId="18368" xr:uid="{FB087D00-FC49-4224-9D90-C92CEA308573}"/>
    <cellStyle name="Style 95 4 2 2 5 2" xfId="18369" xr:uid="{D08CEF13-679E-48F4-B176-25ED7A3127A1}"/>
    <cellStyle name="Style 95 4 2 2 5 2 2" xfId="36854" xr:uid="{21865B5B-959D-44E4-90E1-DC11C6CA45A0}"/>
    <cellStyle name="Style 95 4 2 2 5 3" xfId="36853" xr:uid="{B866D17E-A944-44DA-82DA-917ED7B13461}"/>
    <cellStyle name="Style 95 4 2 2 6" xfId="18370" xr:uid="{A1D558FD-DBC8-4BC2-9DE6-73389C64B767}"/>
    <cellStyle name="Style 95 4 2 2 6 2" xfId="18371" xr:uid="{2AF20438-9237-40C3-9CF5-65CB526482EE}"/>
    <cellStyle name="Style 95 4 2 2 6 2 2" xfId="36856" xr:uid="{8FDD9811-6DC5-45B9-9FD3-EACC18FFF2AB}"/>
    <cellStyle name="Style 95 4 2 2 6 3" xfId="36855" xr:uid="{F5E08AC1-1869-4D62-B625-46A1E722774D}"/>
    <cellStyle name="Style 95 4 2 2 7" xfId="18372" xr:uid="{C823F82C-A263-4EA9-AB13-C04CA8B2866C}"/>
    <cellStyle name="Style 95 4 2 2 7 2" xfId="18373" xr:uid="{50CD3A74-9E5E-4922-8946-850F12DA2057}"/>
    <cellStyle name="Style 95 4 2 2 7 2 2" xfId="36858" xr:uid="{2024F8D6-55FC-4798-ABD3-6133751B0C11}"/>
    <cellStyle name="Style 95 4 2 2 7 3" xfId="36857" xr:uid="{A2B18DAB-0492-45B1-A6CD-36A58E749CCE}"/>
    <cellStyle name="Style 95 4 2 2 8" xfId="18374" xr:uid="{DA72C4F5-D07E-454D-9CB1-4922C5C3041D}"/>
    <cellStyle name="Style 95 4 2 2 8 2" xfId="18375" xr:uid="{3F297E14-1253-4883-A6FE-02846747FF51}"/>
    <cellStyle name="Style 95 4 2 2 8 2 2" xfId="36860" xr:uid="{3567042C-7372-44A1-ADA2-71EEADF9746E}"/>
    <cellStyle name="Style 95 4 2 2 8 3" xfId="36859" xr:uid="{342448B8-B760-4526-BE21-9DFA02AEE505}"/>
    <cellStyle name="Style 95 4 2 2 9" xfId="18376" xr:uid="{1888F1A7-B6B1-4341-8561-E26ACD64A061}"/>
    <cellStyle name="Style 95 4 2 2 9 2" xfId="36861" xr:uid="{FF558BB9-2B40-45D9-979E-842144A67BB6}"/>
    <cellStyle name="Style 95 4 2 3" xfId="3776" xr:uid="{45D201B4-A69D-4AC3-B3FB-195971DD3910}"/>
    <cellStyle name="Style 95 4 2 3 2" xfId="7630" xr:uid="{43ADA6D1-A029-4608-A3ED-534219168AC4}"/>
    <cellStyle name="Style 95 4 2 3 2 2" xfId="18377" xr:uid="{31875328-5738-471F-BB90-4504211AACE9}"/>
    <cellStyle name="Style 95 4 2 3 2 2 2" xfId="36862" xr:uid="{28C0A127-CA33-45C9-ADCA-A1DCC5276AD9}"/>
    <cellStyle name="Style 95 4 2 3 2 3" xfId="18378" xr:uid="{4203523C-08B9-4547-AB02-5C9CADA3D712}"/>
    <cellStyle name="Style 95 4 2 3 2 3 2" xfId="36863" xr:uid="{DFF7826D-6D8A-4BA3-BB0B-5A6746F33011}"/>
    <cellStyle name="Style 95 4 2 3 2 4" xfId="18379" xr:uid="{6FC7A7B9-32D5-4661-8865-341BC47012D9}"/>
    <cellStyle name="Style 95 4 2 3 2 4 2" xfId="36864" xr:uid="{802CED55-4135-4398-91F7-EA0D00679B52}"/>
    <cellStyle name="Style 95 4 2 3 3" xfId="18380" xr:uid="{125EF09F-B094-4B75-8246-1FF2741CF088}"/>
    <cellStyle name="Style 95 4 2 3 3 2" xfId="18381" xr:uid="{83903D0C-F10E-4D86-8CFD-211F2828B45A}"/>
    <cellStyle name="Style 95 4 2 3 3 2 2" xfId="36865" xr:uid="{C40547F2-0C9A-45D5-ADFD-4F4DEFFB8651}"/>
    <cellStyle name="Style 95 4 2 3 3 3" xfId="18382" xr:uid="{54448981-4481-4383-A93E-610CB971A75B}"/>
    <cellStyle name="Style 95 4 2 3 3 3 2" xfId="36866" xr:uid="{565BE627-08CF-4CCD-BA8A-FA6405FAEF1D}"/>
    <cellStyle name="Style 95 4 2 3 4" xfId="18383" xr:uid="{9DA69BCF-6E14-4AF2-BADD-AF040C324A2E}"/>
    <cellStyle name="Style 95 4 2 3 4 2" xfId="18384" xr:uid="{11A1AFF6-3EC1-41A3-82B0-73DA549D3358}"/>
    <cellStyle name="Style 95 4 2 3 4 2 2" xfId="36868" xr:uid="{7CB8A018-18BC-4887-B07B-2F5C5F9A7E84}"/>
    <cellStyle name="Style 95 4 2 3 4 3" xfId="36867" xr:uid="{83A064D4-A858-449B-99D2-8DB0C136F559}"/>
    <cellStyle name="Style 95 4 2 3 5" xfId="18385" xr:uid="{3DEFE1DE-956D-4032-A869-5FE3C1B728D0}"/>
    <cellStyle name="Style 95 4 2 3 5 2" xfId="18386" xr:uid="{8C7BFF5B-5236-4E4A-A6A2-E9A56ACD12D4}"/>
    <cellStyle name="Style 95 4 2 3 5 2 2" xfId="36870" xr:uid="{F5369A9F-FE00-4995-896C-44C6BD611345}"/>
    <cellStyle name="Style 95 4 2 3 5 3" xfId="36869" xr:uid="{3D14D431-72FE-40BB-9C77-37B196009059}"/>
    <cellStyle name="Style 95 4 2 3 6" xfId="18387" xr:uid="{CB002FAA-8C27-4325-BF0F-9CF869B7B362}"/>
    <cellStyle name="Style 95 4 2 3 6 2" xfId="18388" xr:uid="{87813DFA-6B0B-4157-9DFF-D2B32EFC9DD8}"/>
    <cellStyle name="Style 95 4 2 3 6 2 2" xfId="36872" xr:uid="{FC126F1B-A746-4FB4-B756-33BE2F0DE375}"/>
    <cellStyle name="Style 95 4 2 3 6 3" xfId="36871" xr:uid="{9316E473-4561-4130-8805-F797156912FF}"/>
    <cellStyle name="Style 95 4 2 3 7" xfId="18389" xr:uid="{F8A5E3A9-954A-4DA6-932F-861D79928F61}"/>
    <cellStyle name="Style 95 4 2 3 7 2" xfId="36873" xr:uid="{C491FC1B-10F3-4AE9-90DB-E605B3ED9336}"/>
    <cellStyle name="Style 95 4 2 3 8" xfId="18390" xr:uid="{E180EF1A-A9AA-48BD-A3F1-02EFEF5680E9}"/>
    <cellStyle name="Style 95 4 2 3 8 2" xfId="36874" xr:uid="{CCD0C7D8-BD85-439F-A0FB-C435FC7123D8}"/>
    <cellStyle name="Style 95 4 2 4" xfId="7627" xr:uid="{05BA391D-885A-46DA-8FE2-68CD35A3744C}"/>
    <cellStyle name="Style 95 4 2 4 2" xfId="18391" xr:uid="{AE3AF064-8ECC-43DC-9736-359885743AB4}"/>
    <cellStyle name="Style 95 4 2 4 2 2" xfId="36875" xr:uid="{FDE3DEBA-C269-4E35-9AA7-99C59522A8E4}"/>
    <cellStyle name="Style 95 4 2 4 3" xfId="18392" xr:uid="{F98F4317-00E9-46CC-96F8-E271C20B0D32}"/>
    <cellStyle name="Style 95 4 2 4 3 2" xfId="36876" xr:uid="{8F522F5F-23F9-4622-BA5E-7D9E54A9A25F}"/>
    <cellStyle name="Style 95 4 2 4 4" xfId="18393" xr:uid="{0A1E1E48-D4B2-4F24-94D3-F37FC0D69618}"/>
    <cellStyle name="Style 95 4 2 4 4 2" xfId="36877" xr:uid="{57FF6EA0-E0EF-4C11-95A2-CD483B030F42}"/>
    <cellStyle name="Style 95 4 2 5" xfId="18394" xr:uid="{5731E6FE-B3C1-4CD8-B0C0-991314B69C6C}"/>
    <cellStyle name="Style 95 4 2 5 2" xfId="18395" xr:uid="{54431101-1329-4879-923E-71AD82787A65}"/>
    <cellStyle name="Style 95 4 2 5 2 2" xfId="36878" xr:uid="{AFA4691C-12BE-48F4-8C1C-5D77DDD4528A}"/>
    <cellStyle name="Style 95 4 2 5 3" xfId="18396" xr:uid="{942E4FA6-199F-45DD-819A-06BF1481E4ED}"/>
    <cellStyle name="Style 95 4 2 5 3 2" xfId="36879" xr:uid="{32C9DFED-8460-42BB-9D23-988A8AB96CF2}"/>
    <cellStyle name="Style 95 4 2 6" xfId="18397" xr:uid="{6D61F8A9-7898-4128-B784-901774BB79ED}"/>
    <cellStyle name="Style 95 4 2 6 2" xfId="18398" xr:uid="{69E91DDD-0F16-4E1B-BF77-5BD104E7B572}"/>
    <cellStyle name="Style 95 4 2 6 2 2" xfId="36881" xr:uid="{5974C7AF-FF42-4760-9E46-B1D9F07189EF}"/>
    <cellStyle name="Style 95 4 2 6 3" xfId="36880" xr:uid="{5B991E38-46CA-4F29-8DD6-3408F227DD34}"/>
    <cellStyle name="Style 95 4 2 7" xfId="18399" xr:uid="{82E05168-5A94-49AA-BC1F-FE722B2CE671}"/>
    <cellStyle name="Style 95 4 2 7 2" xfId="18400" xr:uid="{FD73DEE0-635F-498A-954B-9AEE19C6F8E1}"/>
    <cellStyle name="Style 95 4 2 7 2 2" xfId="36883" xr:uid="{6B11C8B0-39BE-469F-A1DA-33EED65BBF9F}"/>
    <cellStyle name="Style 95 4 2 7 3" xfId="36882" xr:uid="{A3960CD7-32E9-4BD4-BFAD-BD3754628A93}"/>
    <cellStyle name="Style 95 4 2 8" xfId="18401" xr:uid="{D8B191EF-504E-4237-BE56-65172891FD6A}"/>
    <cellStyle name="Style 95 4 2 8 2" xfId="18402" xr:uid="{04926F42-5B43-413D-8A31-EA3F350E8664}"/>
    <cellStyle name="Style 95 4 2 8 2 2" xfId="36885" xr:uid="{B5EFD547-B12F-42A5-8A02-1F97A912E15C}"/>
    <cellStyle name="Style 95 4 2 8 3" xfId="36884" xr:uid="{70FA109E-544D-483D-8FCE-ACC4414A442D}"/>
    <cellStyle name="Style 95 4 2 9" xfId="18403" xr:uid="{BFFE40A8-9CAB-4E75-A8B7-EDF4CA5F3922}"/>
    <cellStyle name="Style 95 4 2 9 2" xfId="18404" xr:uid="{3C494032-300C-4259-B958-CB8C5F82E138}"/>
    <cellStyle name="Style 95 4 2 9 2 2" xfId="36887" xr:uid="{B1BB282C-F3EF-4094-BAA7-6D6C6EE0D95E}"/>
    <cellStyle name="Style 95 4 2 9 3" xfId="36886" xr:uid="{B1BD7D69-C081-4C0A-A5E1-26E2BF8C6DE1}"/>
    <cellStyle name="Style 95 4 3" xfId="3777" xr:uid="{84AA7327-9242-47A6-9F05-8159091C30F3}"/>
    <cellStyle name="Style 95 4 3 2" xfId="7632" xr:uid="{8E124665-A30E-404F-ACB0-35B9A4D41DF8}"/>
    <cellStyle name="Style 95 4 3 2 2" xfId="18405" xr:uid="{C020BDFD-3CAB-4CCE-AE45-E1E42244DAFE}"/>
    <cellStyle name="Style 95 4 3 2 2 2" xfId="36888" xr:uid="{CA3EA13E-199A-4B88-A979-C8DBD55F20FD}"/>
    <cellStyle name="Style 95 4 3 2 3" xfId="18406" xr:uid="{9E0B82CD-EFD5-42F5-A07D-B8750B5EA12B}"/>
    <cellStyle name="Style 95 4 3 2 3 2" xfId="36889" xr:uid="{35408A29-8524-47C4-B083-0C5B3DC55CFA}"/>
    <cellStyle name="Style 95 4 3 2 4" xfId="18407" xr:uid="{B9A0C19C-33A1-4712-911D-73A38B7C2767}"/>
    <cellStyle name="Style 95 4 3 2 4 2" xfId="36890" xr:uid="{B78466A7-BDA3-4749-AB32-0A71628DF5B0}"/>
    <cellStyle name="Style 95 4 3 3" xfId="7631" xr:uid="{49285645-B26D-4AEF-AE70-38524F23D85A}"/>
    <cellStyle name="Style 95 4 3 3 2" xfId="18408" xr:uid="{FF1FDDE0-C16D-420F-BBFF-9BD406E72554}"/>
    <cellStyle name="Style 95 4 3 3 2 2" xfId="36891" xr:uid="{C4413008-3818-4E42-8707-5A7E9E353E2F}"/>
    <cellStyle name="Style 95 4 3 3 3" xfId="18409" xr:uid="{A922B588-1343-4BC2-B847-04C8D589AFD1}"/>
    <cellStyle name="Style 95 4 3 3 3 2" xfId="36892" xr:uid="{EF1B617D-AEA5-4FC8-A88F-182629E6D2DF}"/>
    <cellStyle name="Style 95 4 3 4" xfId="18410" xr:uid="{DD2BF1EF-BFEB-4730-815C-AD6DA99357DA}"/>
    <cellStyle name="Style 95 4 3 4 2" xfId="18411" xr:uid="{8C4C5237-5BF9-438E-A546-22C66BB72497}"/>
    <cellStyle name="Style 95 4 3 4 2 2" xfId="36893" xr:uid="{217330B0-E0AB-4BAA-AEB0-188616B5C311}"/>
    <cellStyle name="Style 95 4 3 4 3" xfId="18412" xr:uid="{42927875-E1D6-4BC0-BD6B-F3D43A2A954C}"/>
    <cellStyle name="Style 95 4 3 4 3 2" xfId="36894" xr:uid="{2AED610C-5854-4E65-BCCE-3122A4F90549}"/>
    <cellStyle name="Style 95 4 3 5" xfId="18413" xr:uid="{D51CA2FC-26C6-4C28-BD74-E3AD99B9F36B}"/>
    <cellStyle name="Style 95 4 3 5 2" xfId="18414" xr:uid="{8E93C5A2-20B1-4DB4-88C6-397DF7B85979}"/>
    <cellStyle name="Style 95 4 3 5 2 2" xfId="36896" xr:uid="{7D5D3105-12A5-48DD-AC80-DD27C3CE6DFD}"/>
    <cellStyle name="Style 95 4 3 5 3" xfId="36895" xr:uid="{B5E97DB9-35D3-4080-B06A-D281AF62C767}"/>
    <cellStyle name="Style 95 4 3 6" xfId="18415" xr:uid="{B025E701-DCBE-4728-B96E-88383D7DEA49}"/>
    <cellStyle name="Style 95 4 3 6 2" xfId="18416" xr:uid="{07C62F9A-129F-4844-9D58-40AEDDBCCEAD}"/>
    <cellStyle name="Style 95 4 3 6 2 2" xfId="36898" xr:uid="{63C4BE15-17C5-4396-A663-B3573ABABEED}"/>
    <cellStyle name="Style 95 4 3 6 3" xfId="36897" xr:uid="{77D7FF54-F944-44A5-920B-A1BAEB1E6F77}"/>
    <cellStyle name="Style 95 4 3 7" xfId="18417" xr:uid="{FED50C44-258F-46E1-8302-287582B09040}"/>
    <cellStyle name="Style 95 4 3 7 2" xfId="36899" xr:uid="{0CC8A80C-D136-45A2-B0F2-93209F8FAB72}"/>
    <cellStyle name="Style 95 4 3 8" xfId="18418" xr:uid="{CDAC6BF1-D9FD-4E77-B442-343F7DD1D77A}"/>
    <cellStyle name="Style 95 4 3 8 2" xfId="36900" xr:uid="{197A4C70-141F-4442-92A6-1A54328D9A20}"/>
    <cellStyle name="Style 95 4 4" xfId="7633" xr:uid="{DBA2AF66-9AD5-4967-9E6D-D0EF599772B1}"/>
    <cellStyle name="Style 95 4 4 2" xfId="18419" xr:uid="{269DA338-C7F3-48D5-94BD-88B4F615D71E}"/>
    <cellStyle name="Style 95 4 4 2 2" xfId="36901" xr:uid="{201745B4-9A9F-441C-A69C-7DF323D47EF8}"/>
    <cellStyle name="Style 95 4 4 3" xfId="18420" xr:uid="{BC332F64-14C0-45E7-9996-560F683A7D35}"/>
    <cellStyle name="Style 95 4 4 3 2" xfId="36902" xr:uid="{925B7264-E4C9-4260-B8D7-54C8E71DB604}"/>
    <cellStyle name="Style 95 4 4 4" xfId="18421" xr:uid="{96B55F46-CD24-4C30-B387-A2711A3BF021}"/>
    <cellStyle name="Style 95 4 4 4 2" xfId="36903" xr:uid="{7019EDA0-5B9A-4986-A759-C1684AD8984E}"/>
    <cellStyle name="Style 95 4 5" xfId="7634" xr:uid="{07CE2C08-42F1-4D88-82FB-ED0DCE8ECA29}"/>
    <cellStyle name="Style 95 4 5 2" xfId="18422" xr:uid="{CA758BE8-F70E-4857-88F4-DB01F2EF5BE0}"/>
    <cellStyle name="Style 95 4 5 2 2" xfId="36904" xr:uid="{204C9E37-BD1B-4AF5-A8D0-FAE28DAF0847}"/>
    <cellStyle name="Style 95 4 5 3" xfId="18423" xr:uid="{EFE43248-8D6A-4EB0-B007-AE76AC5AB602}"/>
    <cellStyle name="Style 95 4 5 3 2" xfId="36905" xr:uid="{9D37A995-EC87-4CAB-AD25-E405B2149E1F}"/>
    <cellStyle name="Style 95 4 6" xfId="7626" xr:uid="{23096E65-96A7-4835-BC61-F965D21932A4}"/>
    <cellStyle name="Style 95 4 6 2" xfId="18424" xr:uid="{25C82393-9268-4A77-A7F0-F8271B72AEE2}"/>
    <cellStyle name="Style 95 4 6 2 2" xfId="36906" xr:uid="{F40CEF37-1C2A-44F8-A047-2F90E9378DAE}"/>
    <cellStyle name="Style 95 4 6 3" xfId="18425" xr:uid="{307198EC-3123-4881-AB7A-23DD05359017}"/>
    <cellStyle name="Style 95 4 6 3 2" xfId="36907" xr:uid="{1C9E95AF-5D65-4EF1-9CF9-F75F83ECCE16}"/>
    <cellStyle name="Style 95 4 7" xfId="18426" xr:uid="{57696032-AD5C-4FE2-9FAE-07ADCF4414D5}"/>
    <cellStyle name="Style 95 4 7 2" xfId="18427" xr:uid="{9B2B1277-0275-4C9D-9E64-BE376431EE1B}"/>
    <cellStyle name="Style 95 4 7 2 2" xfId="36908" xr:uid="{706683C3-249B-44D4-B4BC-10A6B237F86F}"/>
    <cellStyle name="Style 95 4 7 3" xfId="18428" xr:uid="{09B84B23-5F55-46EA-B390-7C16A0225724}"/>
    <cellStyle name="Style 95 4 7 3 2" xfId="36909" xr:uid="{99E89380-82D1-4082-84D4-F6A8A0D577C7}"/>
    <cellStyle name="Style 95 4 8" xfId="18429" xr:uid="{C44D87EF-7FD6-4E61-89E8-63D7BB19A909}"/>
    <cellStyle name="Style 95 4 8 2" xfId="18430" xr:uid="{7798984C-52F2-4757-A100-2A36068FC469}"/>
    <cellStyle name="Style 95 4 8 2 2" xfId="36911" xr:uid="{89B96D6E-C28A-444F-A273-307E364EE271}"/>
    <cellStyle name="Style 95 4 8 3" xfId="36910" xr:uid="{C6DFC8D1-6652-4EE8-B5B1-8DC8A96510E5}"/>
    <cellStyle name="Style 95 4 9" xfId="18431" xr:uid="{EFD77A52-1F69-46AD-A765-BB40EF5F4435}"/>
    <cellStyle name="Style 95 4 9 2" xfId="18432" xr:uid="{23AE92A7-BAE5-4370-A0E1-075C8699E3F3}"/>
    <cellStyle name="Style 95 4 9 2 2" xfId="36913" xr:uid="{7FAF0745-75F6-418F-95F7-792D82C58F25}"/>
    <cellStyle name="Style 95 4 9 3" xfId="36912" xr:uid="{422009CE-B14D-4034-83EE-513400B24A9E}"/>
    <cellStyle name="Style 95 5" xfId="3778" xr:uid="{9ED0EFF6-01B4-4162-891D-E8A935A37489}"/>
    <cellStyle name="Style 95 5 10" xfId="18433" xr:uid="{CE960EED-2836-4722-AC3C-E1B9C94832B8}"/>
    <cellStyle name="Style 95 5 10 2" xfId="36914" xr:uid="{B70FA007-11C0-4820-A6C4-80A36B2A9536}"/>
    <cellStyle name="Style 95 5 2" xfId="3779" xr:uid="{2EFE289D-458F-4F44-84B2-0033D050E821}"/>
    <cellStyle name="Style 95 5 2 2" xfId="7636" xr:uid="{2BF445A2-0F22-4A06-A3F6-50AA76801CEE}"/>
    <cellStyle name="Style 95 5 2 2 2" xfId="18434" xr:uid="{0AB1154E-F32F-4262-9E40-F41F1418CE15}"/>
    <cellStyle name="Style 95 5 2 2 2 2" xfId="36915" xr:uid="{375F6C3B-C557-41A8-BDC2-9F6802018494}"/>
    <cellStyle name="Style 95 5 2 2 3" xfId="18435" xr:uid="{41FDEF9E-8B01-4A65-A242-BCDAC7965D59}"/>
    <cellStyle name="Style 95 5 2 2 3 2" xfId="36916" xr:uid="{8810A7DB-A9D1-433D-B811-0E6141497EA8}"/>
    <cellStyle name="Style 95 5 2 2 4" xfId="18436" xr:uid="{A2055542-A667-4D6F-B6B3-8DB3E8F5420D}"/>
    <cellStyle name="Style 95 5 2 2 4 2" xfId="36917" xr:uid="{375C9CC2-87DA-4C6D-81EC-49EC77CDC9DB}"/>
    <cellStyle name="Style 95 5 2 3" xfId="18437" xr:uid="{EE5B9EA4-AC44-4BE9-9264-6A9528916B5D}"/>
    <cellStyle name="Style 95 5 2 3 2" xfId="18438" xr:uid="{DDF82865-733C-4B5A-B6B3-6C983550EF08}"/>
    <cellStyle name="Style 95 5 2 3 2 2" xfId="36918" xr:uid="{B5973E95-5120-404A-B481-BDC84A74664A}"/>
    <cellStyle name="Style 95 5 2 3 3" xfId="18439" xr:uid="{4AA918C1-15E1-4400-8A54-6AFDB288E6E2}"/>
    <cellStyle name="Style 95 5 2 3 3 2" xfId="36919" xr:uid="{4D98FD91-A996-4AF7-BAA1-35FE7CE74001}"/>
    <cellStyle name="Style 95 5 2 4" xfId="18440" xr:uid="{73AA7ED6-C3A8-4533-9347-0B389C82AC5A}"/>
    <cellStyle name="Style 95 5 2 4 2" xfId="18441" xr:uid="{E45D1928-3807-4082-8D1C-2C46048476C9}"/>
    <cellStyle name="Style 95 5 2 4 2 2" xfId="36921" xr:uid="{95EFDA16-971C-4368-A2FB-956D0DF02068}"/>
    <cellStyle name="Style 95 5 2 4 3" xfId="36920" xr:uid="{784AEB28-ACD3-4B23-BA7C-2EF2F1408B98}"/>
    <cellStyle name="Style 95 5 2 5" xfId="18442" xr:uid="{CFD3DBF0-0175-4D6E-8EA6-0D4F83C10BDE}"/>
    <cellStyle name="Style 95 5 2 5 2" xfId="18443" xr:uid="{9914B569-80F8-4D11-91C8-12F486A6C537}"/>
    <cellStyle name="Style 95 5 2 5 2 2" xfId="36923" xr:uid="{77CBB853-2E7B-47E3-9761-58ED0C2F3C54}"/>
    <cellStyle name="Style 95 5 2 5 3" xfId="36922" xr:uid="{A95140AC-0865-49BB-849E-6DFC78AD343F}"/>
    <cellStyle name="Style 95 5 2 6" xfId="18444" xr:uid="{711696E2-BAB4-4571-8CAC-8B060ECB2600}"/>
    <cellStyle name="Style 95 5 2 6 2" xfId="18445" xr:uid="{3E2B3AE6-CE80-4213-98A4-9D084ACC469E}"/>
    <cellStyle name="Style 95 5 2 6 2 2" xfId="36925" xr:uid="{CA81E91C-3218-43F8-85D2-4E4E66153981}"/>
    <cellStyle name="Style 95 5 2 6 3" xfId="36924" xr:uid="{22FA0E95-FDD4-4A30-8A35-B1332953C06F}"/>
    <cellStyle name="Style 95 5 2 7" xfId="18446" xr:uid="{46E5C58A-86ED-4DE6-B66D-E9850C16A861}"/>
    <cellStyle name="Style 95 5 2 7 2" xfId="36926" xr:uid="{DE93FA70-440D-4402-84EC-5C91E8783DE1}"/>
    <cellStyle name="Style 95 5 2 8" xfId="18447" xr:uid="{5E595136-B01E-4919-9CD9-20251B8D1782}"/>
    <cellStyle name="Style 95 5 2 8 2" xfId="36927" xr:uid="{0EEE0858-78A3-42C7-A092-F7B75DAED758}"/>
    <cellStyle name="Style 95 5 3" xfId="7635" xr:uid="{73C63CC9-E014-4C14-A32F-119C51B2722D}"/>
    <cellStyle name="Style 95 5 3 2" xfId="18448" xr:uid="{D52F56A2-7EB6-4D2B-9588-ADB4C446CEE6}"/>
    <cellStyle name="Style 95 5 3 2 2" xfId="36928" xr:uid="{190840FC-D617-4BBB-97FC-A5F7B0B89111}"/>
    <cellStyle name="Style 95 5 3 3" xfId="18449" xr:uid="{42F9E44B-6804-4D38-BE96-1B5251A62F49}"/>
    <cellStyle name="Style 95 5 3 3 2" xfId="36929" xr:uid="{394A044E-6561-4047-B7EE-999F5221D98D}"/>
    <cellStyle name="Style 95 5 3 4" xfId="18450" xr:uid="{23A391C7-5587-4ED0-852C-CA13C4DF6C0F}"/>
    <cellStyle name="Style 95 5 3 4 2" xfId="36930" xr:uid="{9A20CCCF-1C1D-44CF-92F8-365C1F41BD68}"/>
    <cellStyle name="Style 95 5 4" xfId="18451" xr:uid="{EB5F7881-C7BD-49C5-9929-C76453D4AC80}"/>
    <cellStyle name="Style 95 5 4 2" xfId="18452" xr:uid="{E09BC3F5-912E-4A03-A67F-62E4E23ED7F9}"/>
    <cellStyle name="Style 95 5 4 2 2" xfId="36931" xr:uid="{261BC7D0-37F1-429B-95BF-002B53FF5BEF}"/>
    <cellStyle name="Style 95 5 4 3" xfId="18453" xr:uid="{8D50DF66-A219-4C30-B4E4-C6E561B0212F}"/>
    <cellStyle name="Style 95 5 4 3 2" xfId="36932" xr:uid="{1022C40F-4793-4EE9-A7C5-D3A32054EB34}"/>
    <cellStyle name="Style 95 5 5" xfId="18454" xr:uid="{3604F835-3956-4B4F-919B-5F51711E0464}"/>
    <cellStyle name="Style 95 5 5 2" xfId="18455" xr:uid="{7ED95B68-3B74-46ED-9484-C0DA4AE5EB90}"/>
    <cellStyle name="Style 95 5 5 2 2" xfId="36934" xr:uid="{9843AEA5-6013-4BA1-9195-2ABE918B3E94}"/>
    <cellStyle name="Style 95 5 5 3" xfId="36933" xr:uid="{741B8A6F-DFA0-45E9-A293-58C0B82BACD7}"/>
    <cellStyle name="Style 95 5 6" xfId="18456" xr:uid="{C0FB1F0F-CB3C-45B8-824B-7F9D40926E28}"/>
    <cellStyle name="Style 95 5 6 2" xfId="18457" xr:uid="{44B88151-F41E-4EB4-A8EA-95B77A998BFA}"/>
    <cellStyle name="Style 95 5 6 2 2" xfId="36936" xr:uid="{4DD73A9D-37E5-42B2-B7CE-8E8418A6A731}"/>
    <cellStyle name="Style 95 5 6 3" xfId="36935" xr:uid="{B0281DE3-8729-4792-9B5C-B3B05579824B}"/>
    <cellStyle name="Style 95 5 7" xfId="18458" xr:uid="{6918BB4A-BF22-4200-A6B2-CC7F2D002D20}"/>
    <cellStyle name="Style 95 5 7 2" xfId="18459" xr:uid="{90A30469-7242-43DD-BA5F-38548FC3EF37}"/>
    <cellStyle name="Style 95 5 7 2 2" xfId="36938" xr:uid="{01341198-55B6-4ED5-9336-37BF144FB495}"/>
    <cellStyle name="Style 95 5 7 3" xfId="36937" xr:uid="{6D461618-8165-48F8-8C1F-2B1920D325F6}"/>
    <cellStyle name="Style 95 5 8" xfId="18460" xr:uid="{F76708DB-8B3E-45E4-BFEE-034541817AAE}"/>
    <cellStyle name="Style 95 5 8 2" xfId="18461" xr:uid="{41662CDF-AF1A-44B1-8F11-0678C6EFA430}"/>
    <cellStyle name="Style 95 5 8 2 2" xfId="36940" xr:uid="{5F756B3C-2463-4123-826A-68A65E93E201}"/>
    <cellStyle name="Style 95 5 8 3" xfId="36939" xr:uid="{79450A52-5090-406D-90B4-375A1621CEE4}"/>
    <cellStyle name="Style 95 5 9" xfId="18462" xr:uid="{24780BE2-3946-4BFB-B387-24E323454D4B}"/>
    <cellStyle name="Style 95 5 9 2" xfId="36941" xr:uid="{5D427B4F-6F14-4A88-ABB2-8B630B577B7C}"/>
    <cellStyle name="Style 95 6" xfId="3780" xr:uid="{A8C6D1C9-576F-4B49-8B13-051F65B3E835}"/>
    <cellStyle name="Style 95 6 2" xfId="4225" xr:uid="{0DB7E5D4-58BA-46E2-9F2A-F20D9E5F0431}"/>
    <cellStyle name="Style 95 6 2 2" xfId="7638" xr:uid="{DF9FDEFD-192D-4136-903D-28967F5E580B}"/>
    <cellStyle name="Style 95 6 2 2 2" xfId="18463" xr:uid="{166679FC-B126-4B76-B6DE-8D6F4C6952DA}"/>
    <cellStyle name="Style 95 6 2 2 2 2" xfId="36942" xr:uid="{6A704A4C-D74C-41B5-B829-8E914BA444EF}"/>
    <cellStyle name="Style 95 6 2 2 3" xfId="28358" xr:uid="{19EF0B54-2429-484A-AF7C-31A263A864CB}"/>
    <cellStyle name="Style 95 6 2 3" xfId="18464" xr:uid="{D775D402-ECB5-4123-A4E4-487973ABC3BB}"/>
    <cellStyle name="Style 95 6 2 3 2" xfId="36943" xr:uid="{8C1092FB-7321-44C0-A3F5-DA80556CCAC3}"/>
    <cellStyle name="Style 95 6 2 4" xfId="18465" xr:uid="{EFA8994A-E3D1-4BF7-9C26-B43BB24D96E7}"/>
    <cellStyle name="Style 95 6 2 4 2" xfId="36944" xr:uid="{3CC51655-51D9-4014-8DCB-10E17E884A8E}"/>
    <cellStyle name="Style 95 6 3" xfId="7639" xr:uid="{88C10520-8F10-4132-AC63-B9B2B95FF693}"/>
    <cellStyle name="Style 95 6 3 2" xfId="18466" xr:uid="{F73E5268-B15B-4642-8610-7D5FFE0FCE88}"/>
    <cellStyle name="Style 95 6 3 2 2" xfId="36945" xr:uid="{ED9F128B-3847-4E3A-9AAA-6E43BDE2CF37}"/>
    <cellStyle name="Style 95 6 3 3" xfId="18467" xr:uid="{9EC0B942-302F-433C-BF4D-04EED8025242}"/>
    <cellStyle name="Style 95 6 3 3 2" xfId="36946" xr:uid="{BC59C625-5CBE-43BB-B2ED-1FB244B593F0}"/>
    <cellStyle name="Style 95 6 4" xfId="7637" xr:uid="{A1AF17D9-27C8-4296-B212-F4FB56E366D0}"/>
    <cellStyle name="Style 95 6 4 2" xfId="18468" xr:uid="{D09C25B5-6315-4204-BBBC-30FFA5523E12}"/>
    <cellStyle name="Style 95 6 4 2 2" xfId="36947" xr:uid="{4E2C48B2-8260-49B6-A930-B8EBD6748E64}"/>
    <cellStyle name="Style 95 6 4 3" xfId="18469" xr:uid="{1DEE62C2-A1F3-4DDE-9D25-5CD5E0FDC769}"/>
    <cellStyle name="Style 95 6 4 3 2" xfId="36948" xr:uid="{8887E368-6A78-4DDE-B755-92D16E8ACAC0}"/>
    <cellStyle name="Style 95 6 5" xfId="18470" xr:uid="{04D895AD-37ED-4211-9BA8-993CA72999A7}"/>
    <cellStyle name="Style 95 6 5 2" xfId="18471" xr:uid="{E645A907-4E03-45F4-AF33-9CD0A12CFAE8}"/>
    <cellStyle name="Style 95 6 5 2 2" xfId="36949" xr:uid="{1688088F-725E-48B8-8398-F75A5D5E61F0}"/>
    <cellStyle name="Style 95 6 5 3" xfId="18472" xr:uid="{E49C6EC0-A8B9-4896-B861-8D9FF0A301E6}"/>
    <cellStyle name="Style 95 6 5 3 2" xfId="36950" xr:uid="{8BFE0659-F1C0-4AAC-B570-5C9C63FC181A}"/>
    <cellStyle name="Style 95 6 6" xfId="18473" xr:uid="{AD394502-8A4D-4B27-A6B9-6D5C62A8AB3E}"/>
    <cellStyle name="Style 95 6 6 2" xfId="18474" xr:uid="{BC036791-5AFA-4620-B3BE-3F8BB27E8567}"/>
    <cellStyle name="Style 95 6 6 2 2" xfId="36952" xr:uid="{F7037893-3B62-4777-8B48-3581FA44C066}"/>
    <cellStyle name="Style 95 6 6 3" xfId="36951" xr:uid="{9BC184E3-08DF-4FC2-9590-E64D21C74F9E}"/>
    <cellStyle name="Style 95 6 7" xfId="18475" xr:uid="{03CFB88C-6B45-467C-B69D-9D56BD1B77D1}"/>
    <cellStyle name="Style 95 6 7 2" xfId="18476" xr:uid="{AA98DE22-9EB4-425E-82B4-01565CC9A77A}"/>
    <cellStyle name="Style 95 6 7 2 2" xfId="36954" xr:uid="{EA60FF4F-2789-445E-A059-142311613462}"/>
    <cellStyle name="Style 95 6 7 3" xfId="36953" xr:uid="{A9833D56-AA1D-4CCB-B875-87C5ED1DA06C}"/>
    <cellStyle name="Style 95 6 8" xfId="18477" xr:uid="{88B3B176-6FF5-4CC6-84D9-02D1B4E82597}"/>
    <cellStyle name="Style 95 6 8 2" xfId="36955" xr:uid="{16084A6B-FBE3-40E9-AEB0-67A7FF9FE32A}"/>
    <cellStyle name="Style 95 6 9" xfId="18478" xr:uid="{CF99B023-0739-4AEB-9147-BAF329D4BBEC}"/>
    <cellStyle name="Style 95 6 9 2" xfId="36956" xr:uid="{013FACAD-39B2-46A4-8E0F-EEC7341247FE}"/>
    <cellStyle name="Style 95 7" xfId="4224" xr:uid="{0335CED8-E843-48DE-9461-BF287B4ADF63}"/>
    <cellStyle name="Style 95 7 2" xfId="7641" xr:uid="{64409F0B-7675-422A-B084-F5C9B613656F}"/>
    <cellStyle name="Style 95 7 2 2" xfId="18479" xr:uid="{1AEFE53E-8184-41B5-987B-E03E3132988D}"/>
    <cellStyle name="Style 95 7 2 2 2" xfId="36957" xr:uid="{67519CBE-A772-4666-8DB4-93AF8CFE71C6}"/>
    <cellStyle name="Style 95 7 3" xfId="7642" xr:uid="{5B5006D8-0F0B-495C-948A-71A2737B6485}"/>
    <cellStyle name="Style 95 7 3 2" xfId="18480" xr:uid="{D265274A-A8EF-4F89-8322-F41AC924BFA6}"/>
    <cellStyle name="Style 95 7 3 2 2" xfId="36958" xr:uid="{67D6FAA6-50CC-4E8E-B0C7-1A23FA8FD7FE}"/>
    <cellStyle name="Style 95 7 4" xfId="7640" xr:uid="{F32DDF80-A0C8-4A69-838F-821A9136072A}"/>
    <cellStyle name="Style 95 7 4 2" xfId="28357" xr:uid="{ECA081AE-4D0B-4128-8DE6-5882C25805E2}"/>
    <cellStyle name="Style 95 7 5" xfId="18481" xr:uid="{96E6C82C-8E3A-43C2-B3E4-D5B5609459A9}"/>
    <cellStyle name="Style 95 7 5 2" xfId="36959" xr:uid="{8EE2999A-C433-470D-9F15-48937527E54D}"/>
    <cellStyle name="Style 95 7 6" xfId="24230" xr:uid="{DF9D0095-6BD5-4F74-930D-669CD19DBAD9}"/>
    <cellStyle name="Style 95 8" xfId="7643" xr:uid="{978568C0-4777-4618-85D0-6ABB2634386F}"/>
    <cellStyle name="Style 95 8 2" xfId="18482" xr:uid="{E57E318D-FA5F-4510-8709-C27CFD3E5032}"/>
    <cellStyle name="Style 95 8 2 2" xfId="36960" xr:uid="{6B97351F-4407-43D2-A07F-E29920965F9A}"/>
    <cellStyle name="Style 95 8 3" xfId="18483" xr:uid="{00482615-994C-4468-B230-CB344D37A230}"/>
    <cellStyle name="Style 95 8 3 2" xfId="36961" xr:uid="{86322262-62DA-40D2-8156-705DECD0D667}"/>
    <cellStyle name="Style 95 9" xfId="7644" xr:uid="{5E566A6A-87CC-40C8-A903-67AAAE1D2AC1}"/>
    <cellStyle name="Style 95 9 2" xfId="18484" xr:uid="{0A6AF669-415F-47CB-AB7F-52C6CCF55416}"/>
    <cellStyle name="Style 95 9 2 2" xfId="36962" xr:uid="{71149B1B-D1A5-4A10-AE68-E4F9F0FC043F}"/>
    <cellStyle name="Style 95 9 3" xfId="18485" xr:uid="{A1377EF1-E746-48FD-BAB5-67DF11094DFD}"/>
    <cellStyle name="Style 95 9 3 2" xfId="36963" xr:uid="{9974C406-1167-466A-B4F0-DB787E08464C}"/>
    <cellStyle name="Style 95_ADDON" xfId="25816" xr:uid="{C129D7BE-3AC2-41D3-B3B9-351BC7442103}"/>
    <cellStyle name="Style 96" xfId="3781" xr:uid="{25FD344A-7B7C-46BE-B682-526B34F90194}"/>
    <cellStyle name="Style 96 10" xfId="7645" xr:uid="{B21F73D4-3319-4BD9-B523-3223EB22288B}"/>
    <cellStyle name="Style 96 10 2" xfId="18486" xr:uid="{56D2FC57-1C64-4E74-9D41-82495EC2F0AF}"/>
    <cellStyle name="Style 96 10 2 2" xfId="36964" xr:uid="{9E6985CF-8CB6-497C-B33C-0328BF685B82}"/>
    <cellStyle name="Style 96 10 3" xfId="18487" xr:uid="{E1CB87FE-5548-42F1-9796-CE5F7FD1C3C9}"/>
    <cellStyle name="Style 96 10 3 2" xfId="36965" xr:uid="{00366474-2C24-448F-89C0-19F2CE4C38B4}"/>
    <cellStyle name="Style 96 11" xfId="18488" xr:uid="{F6E149C8-06D5-4C9B-A026-1DCD4E14BEA9}"/>
    <cellStyle name="Style 96 11 2" xfId="18489" xr:uid="{548C3864-DED4-4B9A-82B6-2E8FA7DC3764}"/>
    <cellStyle name="Style 96 11 2 2" xfId="36966" xr:uid="{05B2BDEB-613F-4AD2-9B02-8B22023D16D1}"/>
    <cellStyle name="Style 96 11 3" xfId="18490" xr:uid="{0E81CA76-271C-4139-A2DA-F8BA8B0F2E59}"/>
    <cellStyle name="Style 96 11 3 2" xfId="36967" xr:uid="{8CB529CD-18C7-431D-9E10-749C209B543B}"/>
    <cellStyle name="Style 96 11 4" xfId="26726" xr:uid="{9327C888-8613-4BC0-A9C2-6AE374E8BC9B}"/>
    <cellStyle name="Style 96 12" xfId="18491" xr:uid="{2379056A-EE9C-4C97-A84D-3039537400D7}"/>
    <cellStyle name="Style 96 12 2" xfId="18492" xr:uid="{4CCB6BA1-58E6-4F38-85DA-A67416105F62}"/>
    <cellStyle name="Style 96 12 2 2" xfId="36969" xr:uid="{4864D118-30FC-4692-833C-CACB304D24B3}"/>
    <cellStyle name="Style 96 12 3" xfId="36968" xr:uid="{5114A63D-C474-4F49-AFA3-0B730AE149A6}"/>
    <cellStyle name="Style 96 13" xfId="18493" xr:uid="{CA14817E-07E6-4C43-82E4-1847EB5EEE6A}"/>
    <cellStyle name="Style 96 13 2" xfId="36970" xr:uid="{B7C337CD-F841-4D9C-9903-4990304C2929}"/>
    <cellStyle name="Style 96 14" xfId="18494" xr:uid="{3EEDE6B9-9234-402D-8679-A00DFF8E4617}"/>
    <cellStyle name="Style 96 14 2" xfId="36971" xr:uid="{4A2EF4D8-0CFA-4F3F-A64E-60F70266EE33}"/>
    <cellStyle name="Style 96 15" xfId="18495" xr:uid="{69607F42-15B4-4807-89D4-496A6C873B79}"/>
    <cellStyle name="Style 96 15 2" xfId="36972" xr:uid="{F00AD0AA-8A26-42FA-9D93-F25B00544C3A}"/>
    <cellStyle name="Style 96 16" xfId="24231" xr:uid="{C94EAFBA-5FCF-4C5C-8520-D7BF4E66A70F}"/>
    <cellStyle name="Style 96 2" xfId="3782" xr:uid="{7B2C3AF1-6241-40C6-9365-0C480C81F016}"/>
    <cellStyle name="Style 96 2 10" xfId="18496" xr:uid="{5271A85E-CBD4-4371-A2E7-1107FFBDB2CB}"/>
    <cellStyle name="Style 96 2 10 2" xfId="36973" xr:uid="{78A5A542-1C9B-49AA-B853-68F0F5E470EE}"/>
    <cellStyle name="Style 96 2 11" xfId="24232" xr:uid="{67C2AEB7-57E3-4408-9E6A-2B547ACED743}"/>
    <cellStyle name="Style 96 2 2" xfId="7647" xr:uid="{4E2E674E-BD74-4921-9286-6239AD0B3CDF}"/>
    <cellStyle name="Style 96 2 2 2" xfId="18497" xr:uid="{988497DB-034F-453D-B779-5F80727E540E}"/>
    <cellStyle name="Style 96 2 2 2 2" xfId="18498" xr:uid="{954478A7-7DB7-4A97-A3E9-BCB6640CE076}"/>
    <cellStyle name="Style 96 2 2 2 2 2" xfId="36975" xr:uid="{1BFACD62-BCEA-4F91-9CB1-55BED3597BE2}"/>
    <cellStyle name="Style 96 2 2 2 3" xfId="36974" xr:uid="{DBF9B25D-3FF3-4A71-9E76-F0AA460EC08C}"/>
    <cellStyle name="Style 96 2 2 3" xfId="18499" xr:uid="{4C9467D4-707C-4659-B5B0-F1B3C434F7BF}"/>
    <cellStyle name="Style 96 2 2 3 2" xfId="36976" xr:uid="{815679B4-B228-401A-9FB4-3E3D0992CCEF}"/>
    <cellStyle name="Style 96 2 2 4" xfId="18500" xr:uid="{014F864D-E480-4E95-8D0D-605F6CCE0E8E}"/>
    <cellStyle name="Style 96 2 2 4 2" xfId="36977" xr:uid="{4E695167-0705-4B1C-ADC2-37E3540C531E}"/>
    <cellStyle name="Style 96 2 2 5" xfId="18501" xr:uid="{FE22AAE7-8644-4CFE-8A35-C5856B7EC686}"/>
    <cellStyle name="Style 96 2 2 5 2" xfId="36978" xr:uid="{475E2BAB-CC1B-4359-8946-784619A66BF6}"/>
    <cellStyle name="Style 96 2 2 6" xfId="18502" xr:uid="{AF0A54F1-B2A1-4B8C-9227-6D7C0B0B4782}"/>
    <cellStyle name="Style 96 2 2 6 2" xfId="36979" xr:uid="{7BC3DEB9-6106-45A4-AFBF-94BCC9CA0A33}"/>
    <cellStyle name="Style 96 2 3" xfId="7646" xr:uid="{9696D631-3C55-4A2D-B6DC-431646BD28F8}"/>
    <cellStyle name="Style 96 2 3 2" xfId="18503" xr:uid="{1A30929A-BB14-48A5-ABB1-CA48F9B0B099}"/>
    <cellStyle name="Style 96 2 3 2 2" xfId="36980" xr:uid="{C82038D1-3D99-4755-995B-EE4A5EFCE64A}"/>
    <cellStyle name="Style 96 2 3 3" xfId="18504" xr:uid="{778CB5AF-AC73-48AB-9132-2BF021D96CFB}"/>
    <cellStyle name="Style 96 2 3 3 2" xfId="36981" xr:uid="{C8E45AD3-7190-4AA2-B94A-E508DDB982FA}"/>
    <cellStyle name="Style 96 2 3 4" xfId="18505" xr:uid="{733058CF-D0E8-4EB8-9032-B1A8A84FD842}"/>
    <cellStyle name="Style 96 2 3 4 2" xfId="36982" xr:uid="{5D06822F-4752-4E0F-8766-F0B4E7330C0E}"/>
    <cellStyle name="Style 96 2 4" xfId="18506" xr:uid="{AD63DFD9-1284-4CE4-9900-52B3D1C986DC}"/>
    <cellStyle name="Style 96 2 4 2" xfId="18507" xr:uid="{9FD9854C-2520-487D-9C94-0060D362C2C0}"/>
    <cellStyle name="Style 96 2 4 2 2" xfId="36984" xr:uid="{678DCA78-EFF1-40E6-8336-6F9DB5F6BC2B}"/>
    <cellStyle name="Style 96 2 4 3" xfId="36983" xr:uid="{3C36F13D-71FA-48CA-AC0D-EC6D23A6923D}"/>
    <cellStyle name="Style 96 2 5" xfId="18508" xr:uid="{8934CA67-08C1-4409-ACB0-6AB5A1786B35}"/>
    <cellStyle name="Style 96 2 5 2" xfId="18509" xr:uid="{CD11199C-6CBE-4D0C-BA7B-40FDB2D83540}"/>
    <cellStyle name="Style 96 2 5 2 2" xfId="36986" xr:uid="{3D56F16C-857E-4FE2-A5B0-B4BC90C321DB}"/>
    <cellStyle name="Style 96 2 5 3" xfId="36985" xr:uid="{EBCAD329-D8D5-4286-9C47-FC7F12897B51}"/>
    <cellStyle name="Style 96 2 6" xfId="18510" xr:uid="{53ED448E-411D-460C-A123-22F12F95DC20}"/>
    <cellStyle name="Style 96 2 6 2" xfId="18511" xr:uid="{67ACB8EF-A61A-4473-B551-548618EABC05}"/>
    <cellStyle name="Style 96 2 6 2 2" xfId="36988" xr:uid="{B5622633-15AD-46C6-9308-9DAB3032B7E8}"/>
    <cellStyle name="Style 96 2 6 3" xfId="36987" xr:uid="{BD47D836-83BB-430D-88B6-9A0C525471B7}"/>
    <cellStyle name="Style 96 2 7" xfId="18512" xr:uid="{17F683B8-F70A-47EA-AC97-E955B6310E0F}"/>
    <cellStyle name="Style 96 2 7 2" xfId="18513" xr:uid="{EDEADDBD-DB88-4DBA-ADC9-80EFC1E11808}"/>
    <cellStyle name="Style 96 2 7 2 2" xfId="36990" xr:uid="{3282F9E4-E03F-498D-AAC7-2435BF004FBF}"/>
    <cellStyle name="Style 96 2 7 3" xfId="36989" xr:uid="{0647DDDF-A514-4AFC-ADC5-E849A2697599}"/>
    <cellStyle name="Style 96 2 8" xfId="18514" xr:uid="{4338CD3E-EC7B-4002-A378-B09AF79B1669}"/>
    <cellStyle name="Style 96 2 8 2" xfId="36991" xr:uid="{86A6547C-E82E-4A1C-9F9B-662FF6B2DAB8}"/>
    <cellStyle name="Style 96 2 9" xfId="18515" xr:uid="{455B716C-E57B-4C28-8635-4570540A0F4A}"/>
    <cellStyle name="Style 96 2 9 2" xfId="36992" xr:uid="{C46007A0-9781-4144-A7EF-A7B98F43F487}"/>
    <cellStyle name="Style 96 3" xfId="3783" xr:uid="{90104A93-B2ED-48B4-8F3D-67E645FD2ABA}"/>
    <cellStyle name="Style 96 3 10" xfId="18516" xr:uid="{10298B96-85E0-4EF4-BD42-B88BA9EA65CE}"/>
    <cellStyle name="Style 96 3 10 2" xfId="18517" xr:uid="{AADB59BF-00DA-423D-A147-B0DFF310C1E5}"/>
    <cellStyle name="Style 96 3 10 2 2" xfId="36994" xr:uid="{9BBC8D81-0776-45EF-8316-F8CF467CC907}"/>
    <cellStyle name="Style 96 3 10 3" xfId="36993" xr:uid="{0CECADFC-7BB3-41AE-B139-9505174FA260}"/>
    <cellStyle name="Style 96 3 11" xfId="18518" xr:uid="{E88B12A9-ACCE-41A7-91F8-C76FCD163814}"/>
    <cellStyle name="Style 96 3 11 2" xfId="36995" xr:uid="{75FCE407-13E3-4CEC-84A7-C9CA5847CC79}"/>
    <cellStyle name="Style 96 3 12" xfId="18519" xr:uid="{F944C48D-F4B6-4A8E-9F1D-405011B05B35}"/>
    <cellStyle name="Style 96 3 12 2" xfId="36996" xr:uid="{CD748048-3530-47C1-A363-FE49B0E4791C}"/>
    <cellStyle name="Style 96 3 13" xfId="24233" xr:uid="{43B0688D-6745-4342-AEB0-E50735778F7A}"/>
    <cellStyle name="Style 96 3 2" xfId="3784" xr:uid="{46D8B214-4AA7-444A-9B50-5C61D194E207}"/>
    <cellStyle name="Style 96 3 2 10" xfId="24234" xr:uid="{169D1886-E9F9-40BE-918A-644159D8690D}"/>
    <cellStyle name="Style 96 3 2 2" xfId="7650" xr:uid="{234D233B-FED7-4FB4-9C05-D551F8CD6305}"/>
    <cellStyle name="Style 96 3 2 2 2" xfId="18520" xr:uid="{B5C7C4DA-58F2-46C6-9511-59F333E170F0}"/>
    <cellStyle name="Style 96 3 2 2 2 2" xfId="36997" xr:uid="{E65C70C7-7E44-445E-8D01-A8B81C468D0E}"/>
    <cellStyle name="Style 96 3 2 2 3" xfId="18521" xr:uid="{57054346-9DD4-44FE-BF27-E84A6742F33C}"/>
    <cellStyle name="Style 96 3 2 2 3 2" xfId="36998" xr:uid="{27E61F19-73F7-40A4-9797-7624B64C11BE}"/>
    <cellStyle name="Style 96 3 2 2 4" xfId="18522" xr:uid="{1C5ABEBB-8743-477A-A2AD-461039AFA666}"/>
    <cellStyle name="Style 96 3 2 2 4 2" xfId="36999" xr:uid="{59613CBE-B526-4FEF-AEE2-8A2D36A08468}"/>
    <cellStyle name="Style 96 3 2 3" xfId="7649" xr:uid="{C5660E82-B4FE-45A2-AC40-7949D21A2BD3}"/>
    <cellStyle name="Style 96 3 2 3 2" xfId="18523" xr:uid="{76FDA976-96AC-4FFD-A114-45585F375B87}"/>
    <cellStyle name="Style 96 3 2 3 2 2" xfId="37000" xr:uid="{A973A80F-756A-423E-8749-5F8F941442DF}"/>
    <cellStyle name="Style 96 3 2 3 3" xfId="18524" xr:uid="{30866152-0086-4726-B769-EB4F6C236176}"/>
    <cellStyle name="Style 96 3 2 3 3 2" xfId="37001" xr:uid="{A9E38DCF-439B-43DC-A4C1-65D250F22269}"/>
    <cellStyle name="Style 96 3 2 4" xfId="18525" xr:uid="{16A4E691-091D-406D-89C6-B3F35C79FDBF}"/>
    <cellStyle name="Style 96 3 2 4 2" xfId="18526" xr:uid="{A76E06CC-0868-47B1-BE88-D3D3F3EBAF3A}"/>
    <cellStyle name="Style 96 3 2 4 2 2" xfId="37003" xr:uid="{98CACC2D-4207-4441-878C-49194A0CBBB6}"/>
    <cellStyle name="Style 96 3 2 4 3" xfId="37002" xr:uid="{C9E5A21F-B2FE-43E5-8D8D-7D22025F5621}"/>
    <cellStyle name="Style 96 3 2 5" xfId="18527" xr:uid="{D493FDEB-D367-4A90-BA66-CFA3E7982AC2}"/>
    <cellStyle name="Style 96 3 2 5 2" xfId="18528" xr:uid="{86968EB5-0D7F-422A-930E-CD2D63EE519C}"/>
    <cellStyle name="Style 96 3 2 5 2 2" xfId="37005" xr:uid="{6FBF3869-2F7A-449B-A4D4-3C8CA49D93DD}"/>
    <cellStyle name="Style 96 3 2 5 3" xfId="37004" xr:uid="{A73B80B5-3FDE-4A0C-A4AB-FFA1034EB8AE}"/>
    <cellStyle name="Style 96 3 2 6" xfId="18529" xr:uid="{24E930D8-6DE1-4920-8B3F-9B6864FF5D50}"/>
    <cellStyle name="Style 96 3 2 6 2" xfId="18530" xr:uid="{DBF101DB-C9E7-425C-9283-63087B6E73E6}"/>
    <cellStyle name="Style 96 3 2 6 2 2" xfId="37007" xr:uid="{44740124-B21F-45E5-BC28-875F92685D3E}"/>
    <cellStyle name="Style 96 3 2 6 3" xfId="37006" xr:uid="{D5A89C68-93B3-48F0-893C-AE139E04102A}"/>
    <cellStyle name="Style 96 3 2 7" xfId="18531" xr:uid="{5DEC94D2-CCEC-4DE6-A318-9102FE5E8B18}"/>
    <cellStyle name="Style 96 3 2 7 2" xfId="18532" xr:uid="{66D188B5-5B73-41CA-8651-0F21A4B31EB4}"/>
    <cellStyle name="Style 96 3 2 7 2 2" xfId="37009" xr:uid="{926C415F-1F49-4294-B77C-C02641140131}"/>
    <cellStyle name="Style 96 3 2 7 3" xfId="37008" xr:uid="{E211F38F-6A4A-4FDB-9187-0D7CBA6243BD}"/>
    <cellStyle name="Style 96 3 2 8" xfId="18533" xr:uid="{37924031-FD09-4BB1-B276-A5ADC4850FE9}"/>
    <cellStyle name="Style 96 3 2 8 2" xfId="37010" xr:uid="{6D813FB4-7C02-4252-BB55-D01CC06C3FBA}"/>
    <cellStyle name="Style 96 3 2 9" xfId="18534" xr:uid="{A9D1C9F2-BB0F-412B-B02F-593EAF1A39BB}"/>
    <cellStyle name="Style 96 3 2 9 2" xfId="37011" xr:uid="{7608066B-6385-41B0-8098-0797A273BA80}"/>
    <cellStyle name="Style 96 3 3" xfId="3785" xr:uid="{E0BB1270-23BA-44B0-82DD-1719AD092457}"/>
    <cellStyle name="Style 96 3 3 10" xfId="18535" xr:uid="{B8F353A1-6D02-4FA6-BEEF-E324A550DE98}"/>
    <cellStyle name="Style 96 3 3 10 2" xfId="37012" xr:uid="{CE7DD22C-E8FB-4C87-95F5-8B5CD8F64B38}"/>
    <cellStyle name="Style 96 3 3 11" xfId="24235" xr:uid="{ECFAEE72-8909-4454-9089-5A862CBAA070}"/>
    <cellStyle name="Style 96 3 3 2" xfId="3786" xr:uid="{82CAA0D2-BD5C-4BBF-8931-31BD3F2CA45C}"/>
    <cellStyle name="Style 96 3 3 2 10" xfId="24236" xr:uid="{99794348-457D-431E-982E-8AEFDE342BBE}"/>
    <cellStyle name="Style 96 3 3 2 2" xfId="7653" xr:uid="{C91F9973-03FD-4867-B2EC-1CF3802115F8}"/>
    <cellStyle name="Style 96 3 3 2 2 2" xfId="18536" xr:uid="{12FFCE55-1DD0-492E-9B3C-50769F16563F}"/>
    <cellStyle name="Style 96 3 3 2 2 2 2" xfId="37013" xr:uid="{F95AD0E8-21E5-4DFC-B476-539C24959788}"/>
    <cellStyle name="Style 96 3 3 2 2 3" xfId="18537" xr:uid="{5F4BCEF9-393A-4982-A059-A36CDFDFF34C}"/>
    <cellStyle name="Style 96 3 3 2 2 3 2" xfId="37014" xr:uid="{29FEEA90-FAC6-4542-8CC7-E2515E8DC009}"/>
    <cellStyle name="Style 96 3 3 2 2 4" xfId="18538" xr:uid="{8A4C52E1-B4EA-4065-8CBE-C98153EDE392}"/>
    <cellStyle name="Style 96 3 3 2 2 4 2" xfId="37015" xr:uid="{4100879B-87CF-4BF7-8E40-0AD1D603CCFD}"/>
    <cellStyle name="Style 96 3 3 2 3" xfId="7652" xr:uid="{518B1FF9-6EB1-443F-B956-00064677C494}"/>
    <cellStyle name="Style 96 3 3 2 3 2" xfId="18539" xr:uid="{3D547910-458C-48F5-99CD-A653D172F775}"/>
    <cellStyle name="Style 96 3 3 2 3 2 2" xfId="37016" xr:uid="{D963709E-E901-4747-86A9-755F8541C2A8}"/>
    <cellStyle name="Style 96 3 3 2 3 3" xfId="18540" xr:uid="{C3E470EB-BF21-44BF-8478-A1EE2781C194}"/>
    <cellStyle name="Style 96 3 3 2 3 3 2" xfId="37017" xr:uid="{A3DCBF7B-853B-482B-B83A-ECA2988DEE6F}"/>
    <cellStyle name="Style 96 3 3 2 4" xfId="18541" xr:uid="{C44F6FD9-7B30-4B03-BE84-33CD2E1D86F0}"/>
    <cellStyle name="Style 96 3 3 2 4 2" xfId="18542" xr:uid="{952B4B9D-688E-4F83-BB28-CE735CE9223D}"/>
    <cellStyle name="Style 96 3 3 2 4 2 2" xfId="37019" xr:uid="{EC732F69-8D6D-493E-9517-E549709C7A75}"/>
    <cellStyle name="Style 96 3 3 2 4 3" xfId="37018" xr:uid="{BB8C54FF-26FB-402A-A561-1AE70666093C}"/>
    <cellStyle name="Style 96 3 3 2 5" xfId="18543" xr:uid="{40A914D3-8DB9-406B-A73A-55D9E7F9F55E}"/>
    <cellStyle name="Style 96 3 3 2 5 2" xfId="18544" xr:uid="{4A3CAC98-84DE-4232-AA6C-3AD0152309D4}"/>
    <cellStyle name="Style 96 3 3 2 5 2 2" xfId="37021" xr:uid="{87D6854F-DF96-441D-9701-63892377AF14}"/>
    <cellStyle name="Style 96 3 3 2 5 3" xfId="37020" xr:uid="{38051938-7549-48F2-B0A1-7666C157A925}"/>
    <cellStyle name="Style 96 3 3 2 6" xfId="18545" xr:uid="{41117AD8-D460-4575-B881-7480F36496A0}"/>
    <cellStyle name="Style 96 3 3 2 6 2" xfId="18546" xr:uid="{3F213004-36BD-445D-9B15-49F2A7C53EEA}"/>
    <cellStyle name="Style 96 3 3 2 6 2 2" xfId="37023" xr:uid="{BE19B288-45E6-48B7-B09E-39FB2A06C60B}"/>
    <cellStyle name="Style 96 3 3 2 6 3" xfId="37022" xr:uid="{FD356B83-1DF9-4652-BBDE-4756CFD18753}"/>
    <cellStyle name="Style 96 3 3 2 7" xfId="18547" xr:uid="{17D69EC9-3E76-46CA-AF5C-AED22C641753}"/>
    <cellStyle name="Style 96 3 3 2 7 2" xfId="18548" xr:uid="{B979A019-59C7-4A9F-8397-F04ED06EC303}"/>
    <cellStyle name="Style 96 3 3 2 7 2 2" xfId="37025" xr:uid="{E1697371-B793-4FD8-9C96-F9ECC7428AA3}"/>
    <cellStyle name="Style 96 3 3 2 7 3" xfId="37024" xr:uid="{FFC0CA6D-3A5B-4209-8FD0-79248ABAF62E}"/>
    <cellStyle name="Style 96 3 3 2 8" xfId="18549" xr:uid="{8C9FEB02-C473-4C1B-8D61-01CF756B7CF6}"/>
    <cellStyle name="Style 96 3 3 2 8 2" xfId="37026" xr:uid="{52303A64-5511-43B5-B13E-62D5A20F3231}"/>
    <cellStyle name="Style 96 3 3 2 9" xfId="18550" xr:uid="{625343FA-366C-4429-B341-6B4992FE44CE}"/>
    <cellStyle name="Style 96 3 3 2 9 2" xfId="37027" xr:uid="{E05AA0FA-12D9-48BE-878C-4F506554EE34}"/>
    <cellStyle name="Style 96 3 3 3" xfId="7654" xr:uid="{811A09EB-2516-426C-A16D-5DC005C0BE8D}"/>
    <cellStyle name="Style 96 3 3 3 2" xfId="7655" xr:uid="{E8EC7281-E825-40B7-BD50-5439DE9ACA55}"/>
    <cellStyle name="Style 96 3 3 3 2 2" xfId="18551" xr:uid="{1428CA33-A654-45C7-9CE3-FA5428DF5659}"/>
    <cellStyle name="Style 96 3 3 3 2 2 2" xfId="37028" xr:uid="{97622DF4-9B88-4615-A4CE-5CBA58C7D551}"/>
    <cellStyle name="Style 96 3 3 3 2 3" xfId="18552" xr:uid="{8F5F6E43-71B1-44CC-A735-46D323558157}"/>
    <cellStyle name="Style 96 3 3 3 2 3 2" xfId="37029" xr:uid="{9A585AC5-27B6-49EE-9BBD-AC9AF89FBA3D}"/>
    <cellStyle name="Style 96 3 3 3 3" xfId="18553" xr:uid="{2E0ABF6B-2B5F-4116-8CCD-57C5ACDDD69E}"/>
    <cellStyle name="Style 96 3 3 3 3 2" xfId="37030" xr:uid="{A8D568B2-73A4-4F4D-9BC3-D6C533C21934}"/>
    <cellStyle name="Style 96 3 3 3 4" xfId="18554" xr:uid="{D34039A9-A8AC-4855-B237-CED3356F5043}"/>
    <cellStyle name="Style 96 3 3 3 4 2" xfId="37031" xr:uid="{5E36122A-D4E8-4D46-9F46-2139D2DB90D6}"/>
    <cellStyle name="Style 96 3 3 3 5" xfId="18555" xr:uid="{2414C4B6-F97B-403B-B410-F2A9D486165C}"/>
    <cellStyle name="Style 96 3 3 3 5 2" xfId="37032" xr:uid="{9C7D9189-D70B-4325-AFF5-6FBDAA3E5DEB}"/>
    <cellStyle name="Style 96 3 3 3 6" xfId="18556" xr:uid="{9D460CFE-46C7-4A61-8975-DE1562FA588B}"/>
    <cellStyle name="Style 96 3 3 3 6 2" xfId="37033" xr:uid="{31F2E3A5-C656-4330-BB79-43D868129996}"/>
    <cellStyle name="Style 96 3 3 3 7" xfId="24237" xr:uid="{B1E5942A-CC52-4003-9CF6-FC303CC25E0E}"/>
    <cellStyle name="Style 96 3 3 4" xfId="7656" xr:uid="{A721166C-786B-4EB4-995B-7F9BC097FDD5}"/>
    <cellStyle name="Style 96 3 3 4 2" xfId="18557" xr:uid="{C3C81E37-724A-4990-B6B5-70F243009BD1}"/>
    <cellStyle name="Style 96 3 3 4 2 2" xfId="37034" xr:uid="{427F4B17-87B6-4AFD-9AAC-C2D42E7390D1}"/>
    <cellStyle name="Style 96 3 3 4 3" xfId="18558" xr:uid="{30A4E571-E23B-41B0-80D2-36A3E63B6AD2}"/>
    <cellStyle name="Style 96 3 3 4 3 2" xfId="37035" xr:uid="{0A1F0345-4721-42F2-8408-06ED1768E26C}"/>
    <cellStyle name="Style 96 3 3 4 4" xfId="18559" xr:uid="{2102DB11-A9CF-4DB9-97E6-C19F0E59F3CB}"/>
    <cellStyle name="Style 96 3 3 4 4 2" xfId="37036" xr:uid="{1FD013D5-462F-4917-817D-35B1F78B3DDB}"/>
    <cellStyle name="Style 96 3 3 5" xfId="7657" xr:uid="{4E5D452F-2659-4E40-83A8-51F792A02984}"/>
    <cellStyle name="Style 96 3 3 5 2" xfId="18560" xr:uid="{73DDCC18-0FBE-40E3-BE59-B02B846D45EC}"/>
    <cellStyle name="Style 96 3 3 5 2 2" xfId="37037" xr:uid="{3DCC159D-EF32-4552-A694-0FB3A8BC1F5E}"/>
    <cellStyle name="Style 96 3 3 5 3" xfId="18561" xr:uid="{961C422F-041A-4BE2-BB58-A5DA25C094DC}"/>
    <cellStyle name="Style 96 3 3 5 3 2" xfId="37038" xr:uid="{391D9C6C-B4CD-479C-B3C2-6A126C9376C6}"/>
    <cellStyle name="Style 96 3 3 6" xfId="7651" xr:uid="{915F31DB-20A7-4427-88E6-B885D36FFC58}"/>
    <cellStyle name="Style 96 3 3 6 2" xfId="18562" xr:uid="{44D53E10-919D-435A-93A2-179E3F5FEA78}"/>
    <cellStyle name="Style 96 3 3 6 2 2" xfId="37039" xr:uid="{541AA620-AEC5-435E-B10A-DDD64A1F71FD}"/>
    <cellStyle name="Style 96 3 3 6 3" xfId="18563" xr:uid="{DB472BEA-25E4-4309-9314-EB92BA1D0624}"/>
    <cellStyle name="Style 96 3 3 6 3 2" xfId="37040" xr:uid="{326DD52F-4A27-4BA6-BEEA-8DA602ABE0D0}"/>
    <cellStyle name="Style 96 3 3 7" xfId="18564" xr:uid="{E8E879A9-45C5-4D78-8B72-833B351FFB0F}"/>
    <cellStyle name="Style 96 3 3 7 2" xfId="18565" xr:uid="{7BD12C80-0A7D-432F-A0CD-B6141FF06A7B}"/>
    <cellStyle name="Style 96 3 3 7 2 2" xfId="37042" xr:uid="{A1DC60A8-EE66-4EE3-9376-61269B35F16E}"/>
    <cellStyle name="Style 96 3 3 7 3" xfId="37041" xr:uid="{DE7CA113-3738-4566-A6D8-7A3128393681}"/>
    <cellStyle name="Style 96 3 3 8" xfId="18566" xr:uid="{ECE1D08F-CDBB-4675-BEAF-6CEBD14F4751}"/>
    <cellStyle name="Style 96 3 3 8 2" xfId="18567" xr:uid="{93BCCD88-6F0B-4033-95A5-D3A4E9FE4022}"/>
    <cellStyle name="Style 96 3 3 8 2 2" xfId="37044" xr:uid="{DD50F197-B202-4F63-8D7D-ABDAC9F47933}"/>
    <cellStyle name="Style 96 3 3 8 3" xfId="37043" xr:uid="{781A7E63-093B-4970-8973-F3AA9BACFCB9}"/>
    <cellStyle name="Style 96 3 3 9" xfId="18568" xr:uid="{54E49DDD-E648-4820-A5BC-A139FBB3A005}"/>
    <cellStyle name="Style 96 3 3 9 2" xfId="37045" xr:uid="{CF89ED87-2C79-4054-91B8-5E33EBE7114D}"/>
    <cellStyle name="Style 96 3 4" xfId="3787" xr:uid="{FFBE3AC7-8420-4A83-A681-64FF1843AF8F}"/>
    <cellStyle name="Style 96 3 4 10" xfId="18569" xr:uid="{00BB9BC6-6D33-4F43-88AD-F4F0433257C0}"/>
    <cellStyle name="Style 96 3 4 10 2" xfId="37046" xr:uid="{F96A2A7E-ADB2-4C5E-9C6E-F75D33DDF5D9}"/>
    <cellStyle name="Style 96 3 4 11" xfId="24238" xr:uid="{EA51FAC7-1AE1-44F8-9B1A-DE39D097182E}"/>
    <cellStyle name="Style 96 3 4 2" xfId="3788" xr:uid="{183A82BF-7A28-4A97-9E18-802F71D0FB63}"/>
    <cellStyle name="Style 96 3 4 2 10" xfId="24239" xr:uid="{6740BCD5-A6C9-454F-A740-A04F88A78A80}"/>
    <cellStyle name="Style 96 3 4 2 2" xfId="7660" xr:uid="{E5834584-B35D-4F27-A8BF-2495E0F41A72}"/>
    <cellStyle name="Style 96 3 4 2 2 2" xfId="18570" xr:uid="{05296AC7-A848-403D-A180-135A8863D0A1}"/>
    <cellStyle name="Style 96 3 4 2 2 2 2" xfId="37047" xr:uid="{A221BB35-8F05-4615-9E44-26C727B12ABC}"/>
    <cellStyle name="Style 96 3 4 2 2 3" xfId="18571" xr:uid="{5D390904-5889-48EB-B7D0-FC16F310CB5F}"/>
    <cellStyle name="Style 96 3 4 2 2 3 2" xfId="37048" xr:uid="{51F259C6-7935-4F09-B2D1-8FCFD5A80095}"/>
    <cellStyle name="Style 96 3 4 2 2 4" xfId="18572" xr:uid="{BF0995C5-8037-47D2-9D86-6FDA2C002F20}"/>
    <cellStyle name="Style 96 3 4 2 2 4 2" xfId="37049" xr:uid="{8EC5664F-F11C-40F3-BA6F-B38A29572FCC}"/>
    <cellStyle name="Style 96 3 4 2 3" xfId="7659" xr:uid="{4B7359F6-5C64-459D-8B4B-A0CA725761F4}"/>
    <cellStyle name="Style 96 3 4 2 3 2" xfId="18573" xr:uid="{AD011E36-D5D7-4A39-9D7B-14F470D83A94}"/>
    <cellStyle name="Style 96 3 4 2 3 2 2" xfId="37050" xr:uid="{A5BFADC4-C36E-464A-B15A-92EC58E9EDD6}"/>
    <cellStyle name="Style 96 3 4 2 3 3" xfId="18574" xr:uid="{671900A9-3999-4E4C-BF6F-A46FF553F6F6}"/>
    <cellStyle name="Style 96 3 4 2 3 3 2" xfId="37051" xr:uid="{8C27E36D-F708-4D7B-AB28-04F43A7DD552}"/>
    <cellStyle name="Style 96 3 4 2 4" xfId="18575" xr:uid="{E41A50B8-6C32-4070-A89E-ACCABE1C652C}"/>
    <cellStyle name="Style 96 3 4 2 4 2" xfId="18576" xr:uid="{BA1014D4-3812-4AED-AE4B-8B7FE6926665}"/>
    <cellStyle name="Style 96 3 4 2 4 2 2" xfId="37053" xr:uid="{0AEFB896-6BD4-4ECC-A05C-DC593B1B346E}"/>
    <cellStyle name="Style 96 3 4 2 4 3" xfId="37052" xr:uid="{51C9A431-29FA-4DCD-A6C0-7C5973DE3A05}"/>
    <cellStyle name="Style 96 3 4 2 5" xfId="18577" xr:uid="{92870115-F7B2-44CB-AD11-05A39BEBB588}"/>
    <cellStyle name="Style 96 3 4 2 5 2" xfId="18578" xr:uid="{CA73DF25-834B-411F-A74B-33E04884931D}"/>
    <cellStyle name="Style 96 3 4 2 5 2 2" xfId="37055" xr:uid="{2F04D035-F12C-4E83-91D1-25F255660333}"/>
    <cellStyle name="Style 96 3 4 2 5 3" xfId="37054" xr:uid="{AB46DAD8-A95D-4A27-B82E-0989F033F2DA}"/>
    <cellStyle name="Style 96 3 4 2 6" xfId="18579" xr:uid="{7BEE3976-D69B-452D-A0FA-0615FC767F24}"/>
    <cellStyle name="Style 96 3 4 2 6 2" xfId="18580" xr:uid="{6C7C78A4-602B-459F-A434-56B83990E5D0}"/>
    <cellStyle name="Style 96 3 4 2 6 2 2" xfId="37057" xr:uid="{7A2AFB67-77B1-418E-9ED5-E887D79A6B6D}"/>
    <cellStyle name="Style 96 3 4 2 6 3" xfId="37056" xr:uid="{CAB9DF18-90A4-41F6-A4F8-6892FC5EE66E}"/>
    <cellStyle name="Style 96 3 4 2 7" xfId="18581" xr:uid="{3153B311-3195-49F9-92C1-949E982128A4}"/>
    <cellStyle name="Style 96 3 4 2 7 2" xfId="18582" xr:uid="{0BF028BB-E030-4DC9-A5B2-52E5F51FAF78}"/>
    <cellStyle name="Style 96 3 4 2 7 2 2" xfId="37059" xr:uid="{5A468256-3325-4B70-BBD4-445A751A5C94}"/>
    <cellStyle name="Style 96 3 4 2 7 3" xfId="37058" xr:uid="{6322110E-D3D7-4804-AF3A-910C51AD7D9C}"/>
    <cellStyle name="Style 96 3 4 2 8" xfId="18583" xr:uid="{6E4BF7A0-6ABE-40B3-8588-B766937C21BA}"/>
    <cellStyle name="Style 96 3 4 2 8 2" xfId="37060" xr:uid="{B2355973-CE74-4D02-B66D-D88A7A06D66C}"/>
    <cellStyle name="Style 96 3 4 2 9" xfId="18584" xr:uid="{B36DA874-182C-4215-87D2-E68B78847586}"/>
    <cellStyle name="Style 96 3 4 2 9 2" xfId="37061" xr:uid="{1C0E48CA-8D4D-41EC-A95D-C5E86A963D77}"/>
    <cellStyle name="Style 96 3 4 3" xfId="7661" xr:uid="{EFAB30F2-DA9B-4501-B676-95AD313F9D5F}"/>
    <cellStyle name="Style 96 3 4 3 2" xfId="18585" xr:uid="{E192D8B3-C7EB-46FF-967F-6C2ED3D0FAEA}"/>
    <cellStyle name="Style 96 3 4 3 2 2" xfId="37062" xr:uid="{114FDE38-1799-48CC-AF86-F57D1419ED99}"/>
    <cellStyle name="Style 96 3 4 3 3" xfId="18586" xr:uid="{A0E6EF54-D20D-496B-A838-A558A9C4F75A}"/>
    <cellStyle name="Style 96 3 4 3 3 2" xfId="37063" xr:uid="{E7F89F18-B8A7-4304-ACC3-9BEE6CAB645A}"/>
    <cellStyle name="Style 96 3 4 3 4" xfId="18587" xr:uid="{88677419-6AF0-4A3E-B857-1ECC05BA79F3}"/>
    <cellStyle name="Style 96 3 4 3 4 2" xfId="37064" xr:uid="{01112684-8191-4398-B5D9-7136AC64C8A1}"/>
    <cellStyle name="Style 96 3 4 4" xfId="7658" xr:uid="{91F2B0AD-2D01-44EA-B7FC-5B30FBBC3BEE}"/>
    <cellStyle name="Style 96 3 4 4 2" xfId="18588" xr:uid="{9CCD5953-332F-49A0-BA41-46720E894A0D}"/>
    <cellStyle name="Style 96 3 4 4 2 2" xfId="37065" xr:uid="{187CC213-BAE6-4A4D-B9AB-F74F7E9DC692}"/>
    <cellStyle name="Style 96 3 4 4 3" xfId="18589" xr:uid="{A190FB15-2706-482C-9034-0C39F2CB0C47}"/>
    <cellStyle name="Style 96 3 4 4 3 2" xfId="37066" xr:uid="{D545322E-39A7-423E-8F92-8C5DC83EC233}"/>
    <cellStyle name="Style 96 3 4 5" xfId="18590" xr:uid="{98D96D75-5BBA-4547-B6C4-CEF0EB316846}"/>
    <cellStyle name="Style 96 3 4 5 2" xfId="18591" xr:uid="{F04EA6D7-6ADA-45B1-BE39-E414E136B523}"/>
    <cellStyle name="Style 96 3 4 5 2 2" xfId="37068" xr:uid="{67B618CA-2525-4234-B1A2-39F3A03812A5}"/>
    <cellStyle name="Style 96 3 4 5 3" xfId="37067" xr:uid="{047E3A05-5657-4730-9BAE-BE72B33CA3F4}"/>
    <cellStyle name="Style 96 3 4 6" xfId="18592" xr:uid="{1EFE521D-6D28-4805-B46F-744C97E19917}"/>
    <cellStyle name="Style 96 3 4 6 2" xfId="18593" xr:uid="{9A0B51A5-A7CD-4748-AA00-9BE2F95FCCE8}"/>
    <cellStyle name="Style 96 3 4 6 2 2" xfId="37070" xr:uid="{C18A4050-A946-4872-B0AF-1451F7B33AD6}"/>
    <cellStyle name="Style 96 3 4 6 3" xfId="37069" xr:uid="{36B03486-8AF8-44CC-BEEB-5D0C11431801}"/>
    <cellStyle name="Style 96 3 4 7" xfId="18594" xr:uid="{D2FE5F26-487D-4E2E-80EF-6BEBAA9609FB}"/>
    <cellStyle name="Style 96 3 4 7 2" xfId="18595" xr:uid="{4B75F41A-E27E-4101-9075-67B649E3CEAB}"/>
    <cellStyle name="Style 96 3 4 7 2 2" xfId="37072" xr:uid="{1C9EF7C3-B44A-4B80-A12E-A7A5B1312547}"/>
    <cellStyle name="Style 96 3 4 7 3" xfId="37071" xr:uid="{7A8EFDC1-CF10-4A75-B6DE-F7D10604BD6E}"/>
    <cellStyle name="Style 96 3 4 8" xfId="18596" xr:uid="{2C7814F2-0369-4906-BE0C-6CC8F8146F07}"/>
    <cellStyle name="Style 96 3 4 8 2" xfId="18597" xr:uid="{9C21BA68-E0B4-44F7-81F9-500A61AFF96B}"/>
    <cellStyle name="Style 96 3 4 8 2 2" xfId="37074" xr:uid="{1939CBDE-562B-4A27-88AE-2540465F4118}"/>
    <cellStyle name="Style 96 3 4 8 3" xfId="37073" xr:uid="{48CDD8A3-492D-4657-8D9F-E2898A616873}"/>
    <cellStyle name="Style 96 3 4 9" xfId="18598" xr:uid="{F59D93D0-ED9E-430C-BF70-61C633958272}"/>
    <cellStyle name="Style 96 3 4 9 2" xfId="37075" xr:uid="{9367BDDD-1186-4DCF-AC56-FC2ADF26311D}"/>
    <cellStyle name="Style 96 3 5" xfId="7662" xr:uid="{B294A3AD-620B-425A-948F-0B0CC1D70ED7}"/>
    <cellStyle name="Style 96 3 5 2" xfId="18599" xr:uid="{F6262B8D-4467-4392-9E8F-31084965E5D5}"/>
    <cellStyle name="Style 96 3 5 2 2" xfId="18600" xr:uid="{01492561-7B74-45F2-875B-9FA12B2BB187}"/>
    <cellStyle name="Style 96 3 5 2 2 2" xfId="37077" xr:uid="{DC9390AF-F7AF-428A-827F-C79E754F18B3}"/>
    <cellStyle name="Style 96 3 5 2 3" xfId="37076" xr:uid="{94B10F4A-056E-4374-B9E4-8BAB7CC98FB2}"/>
    <cellStyle name="Style 96 3 5 3" xfId="18601" xr:uid="{19E6C160-1B44-46B5-871E-C4AE2D3A39A0}"/>
    <cellStyle name="Style 96 3 5 3 2" xfId="37078" xr:uid="{7BB6741E-A7EB-407B-AEFE-30C9CD4DD538}"/>
    <cellStyle name="Style 96 3 5 4" xfId="18602" xr:uid="{59C072BB-8D76-4D8E-8E76-1E0343C0308D}"/>
    <cellStyle name="Style 96 3 5 4 2" xfId="37079" xr:uid="{565DEBB7-1E04-41DA-9217-58118208DB4B}"/>
    <cellStyle name="Style 96 3 5 5" xfId="18603" xr:uid="{D9890458-B786-4937-8163-1D2D52AB8412}"/>
    <cellStyle name="Style 96 3 5 5 2" xfId="37080" xr:uid="{99CE2362-9766-4952-B4D0-5825F9CB83BB}"/>
    <cellStyle name="Style 96 3 5 6" xfId="18604" xr:uid="{CD9BC18F-27A5-4030-8AE3-0278DED9F970}"/>
    <cellStyle name="Style 96 3 5 6 2" xfId="37081" xr:uid="{F63A2128-0BFA-4B74-B704-D7679BFDBB94}"/>
    <cellStyle name="Style 96 3 6" xfId="7663" xr:uid="{105A94AD-D74A-40DA-B407-3A9E6294D2E9}"/>
    <cellStyle name="Style 96 3 6 2" xfId="18605" xr:uid="{F1D1662C-5D27-4453-AA6A-426549D420A0}"/>
    <cellStyle name="Style 96 3 6 2 2" xfId="37082" xr:uid="{D282A5C9-54FD-4B3F-8D98-11E5554C4AA4}"/>
    <cellStyle name="Style 96 3 6 3" xfId="18606" xr:uid="{A3E80852-A62C-4F95-948B-8C87D389E7C4}"/>
    <cellStyle name="Style 96 3 6 3 2" xfId="37083" xr:uid="{70D820E3-DF89-4083-AE3F-2763A29623CB}"/>
    <cellStyle name="Style 96 3 6 4" xfId="18607" xr:uid="{4C6E440E-F0EF-4A25-B663-5E0DB3CCD14B}"/>
    <cellStyle name="Style 96 3 6 4 2" xfId="37084" xr:uid="{D1CD851B-D48F-447F-A061-739D0E665732}"/>
    <cellStyle name="Style 96 3 7" xfId="7648" xr:uid="{8776C883-0696-446D-94A0-9B3BAED93CDC}"/>
    <cellStyle name="Style 96 3 7 2" xfId="18608" xr:uid="{DFACFE4F-86E7-4E98-850E-005EEBE2F038}"/>
    <cellStyle name="Style 96 3 7 2 2" xfId="37085" xr:uid="{727F9F9C-9708-4958-899B-8F1C60237B6B}"/>
    <cellStyle name="Style 96 3 7 3" xfId="18609" xr:uid="{5238CFF3-DAA5-4EFA-BFA7-4AAB01AC5772}"/>
    <cellStyle name="Style 96 3 7 3 2" xfId="37086" xr:uid="{8B10B1BE-2BF8-4003-8DB0-4C774E1FFDEE}"/>
    <cellStyle name="Style 96 3 8" xfId="18610" xr:uid="{16A0A3D9-0801-45EB-811B-7CCAAD4A84E8}"/>
    <cellStyle name="Style 96 3 8 2" xfId="18611" xr:uid="{CE6BD3A0-4F67-4847-9A3D-5D8A6DDB0C1A}"/>
    <cellStyle name="Style 96 3 8 2 2" xfId="37088" xr:uid="{A0A6F5B9-0E3D-432F-9D1A-E453281A273E}"/>
    <cellStyle name="Style 96 3 8 3" xfId="37087" xr:uid="{D0F18ADF-E47F-49FE-B510-0CF0CA648ED7}"/>
    <cellStyle name="Style 96 3 9" xfId="18612" xr:uid="{75C98FEA-8FC2-4A20-8DE5-B8912DD9EB54}"/>
    <cellStyle name="Style 96 3 9 2" xfId="18613" xr:uid="{8F80B415-7A96-43D7-A1C0-0B98A730324D}"/>
    <cellStyle name="Style 96 3 9 2 2" xfId="37090" xr:uid="{03876EF8-D8A5-42C4-A23B-AB35D2ADAC01}"/>
    <cellStyle name="Style 96 3 9 3" xfId="37089" xr:uid="{5D529B3A-D9D2-4130-B015-14075CB31ED1}"/>
    <cellStyle name="Style 96 4" xfId="3789" xr:uid="{F7B59D7F-7D04-4C5A-AC8A-3EAA34A0F74D}"/>
    <cellStyle name="Style 96 4 10" xfId="18614" xr:uid="{4AAF00FB-4DC6-4BBD-BC32-488421ADD867}"/>
    <cellStyle name="Style 96 4 10 2" xfId="37091" xr:uid="{5CCDB388-86E9-4F9F-9ECD-27C846DF723E}"/>
    <cellStyle name="Style 96 4 11" xfId="24240" xr:uid="{13806B85-D557-4775-B2B7-8A4EB2A8B2B2}"/>
    <cellStyle name="Style 96 4 2" xfId="3790" xr:uid="{A70CB1A0-AD7D-4266-B849-79D0E4604F1D}"/>
    <cellStyle name="Style 96 4 2 10" xfId="24241" xr:uid="{838786F0-5847-4CB6-AB72-91079E56C68D}"/>
    <cellStyle name="Style 96 4 2 2" xfId="7666" xr:uid="{219A83C2-9AD2-4998-898C-65AFD730E4CA}"/>
    <cellStyle name="Style 96 4 2 2 2" xfId="18615" xr:uid="{92320474-DD9B-4867-8B01-5A4F4407C322}"/>
    <cellStyle name="Style 96 4 2 2 2 2" xfId="37092" xr:uid="{5F4AFFE0-FFF7-4190-90A2-BAE23B1D32D9}"/>
    <cellStyle name="Style 96 4 2 2 3" xfId="18616" xr:uid="{89B4769A-3B8E-4E3D-8AD6-8EECA305CB2C}"/>
    <cellStyle name="Style 96 4 2 2 3 2" xfId="37093" xr:uid="{A7B6CE6E-525C-4A35-B0D3-9D21C6AC9BBD}"/>
    <cellStyle name="Style 96 4 2 2 4" xfId="18617" xr:uid="{89729B66-86A9-4EC2-8C36-069F7412C2E7}"/>
    <cellStyle name="Style 96 4 2 2 4 2" xfId="37094" xr:uid="{42D0CB2C-1FCC-422C-AEE4-3BAD0AA7929D}"/>
    <cellStyle name="Style 96 4 2 3" xfId="7665" xr:uid="{36237BA6-E88F-450D-B4C0-4C5EF29EF51F}"/>
    <cellStyle name="Style 96 4 2 3 2" xfId="18618" xr:uid="{22F892A4-C12F-4AD1-B6B1-7D8B9F720A3D}"/>
    <cellStyle name="Style 96 4 2 3 2 2" xfId="37095" xr:uid="{C914FBCD-F380-4908-A1AF-5C9F855776C1}"/>
    <cellStyle name="Style 96 4 2 3 3" xfId="18619" xr:uid="{65AC929E-135C-49B7-A778-92C10D2E1F91}"/>
    <cellStyle name="Style 96 4 2 3 3 2" xfId="37096" xr:uid="{A24AF730-13D3-4614-8B2E-B2898E1BBD4E}"/>
    <cellStyle name="Style 96 4 2 4" xfId="18620" xr:uid="{5D63CC88-F6CA-4338-B109-3F215B162843}"/>
    <cellStyle name="Style 96 4 2 4 2" xfId="18621" xr:uid="{6DA7BFDF-A4EC-4444-B0AD-F57A8056CF7F}"/>
    <cellStyle name="Style 96 4 2 4 2 2" xfId="37098" xr:uid="{F06BCF36-7A26-47DB-AA2D-A3CED54A4AC1}"/>
    <cellStyle name="Style 96 4 2 4 3" xfId="37097" xr:uid="{4E887F76-1B70-402E-9DD5-D1F818A0F056}"/>
    <cellStyle name="Style 96 4 2 5" xfId="18622" xr:uid="{4CCF3979-9FAF-49CC-96B2-AAAC87B343AB}"/>
    <cellStyle name="Style 96 4 2 5 2" xfId="18623" xr:uid="{F1E2BA4C-CCBC-4078-B609-2620F8661BDB}"/>
    <cellStyle name="Style 96 4 2 5 2 2" xfId="37100" xr:uid="{C663F1B0-EF26-489A-ACC1-89FC02BDC2E0}"/>
    <cellStyle name="Style 96 4 2 5 3" xfId="37099" xr:uid="{0D6E52E2-FF09-4EFE-99DF-6B500E921725}"/>
    <cellStyle name="Style 96 4 2 6" xfId="18624" xr:uid="{ACCFD486-B4E0-4AF3-BE5F-087A6C684EC8}"/>
    <cellStyle name="Style 96 4 2 6 2" xfId="18625" xr:uid="{1C4DC82D-1045-427C-8957-370EB395D739}"/>
    <cellStyle name="Style 96 4 2 6 2 2" xfId="37102" xr:uid="{2596926D-3C35-4D8D-B9AA-F47B326389DB}"/>
    <cellStyle name="Style 96 4 2 6 3" xfId="37101" xr:uid="{F3027BBD-95AE-430A-B756-DE0DC5FCE758}"/>
    <cellStyle name="Style 96 4 2 7" xfId="18626" xr:uid="{E2D8F5D3-D460-47B5-8CCC-5E852EFF88AF}"/>
    <cellStyle name="Style 96 4 2 7 2" xfId="18627" xr:uid="{66550D75-B6D6-4BF1-9B3E-7CFA2BE5EB5A}"/>
    <cellStyle name="Style 96 4 2 7 2 2" xfId="37104" xr:uid="{00A8059D-DC5C-432A-9E70-8D3972B9DE7A}"/>
    <cellStyle name="Style 96 4 2 7 3" xfId="37103" xr:uid="{D8E67596-01E0-49F4-B676-462B0A8B64C9}"/>
    <cellStyle name="Style 96 4 2 8" xfId="18628" xr:uid="{1FD35F7C-3E7C-4CA0-89DA-5BAF54EA6F3A}"/>
    <cellStyle name="Style 96 4 2 8 2" xfId="37105" xr:uid="{20F8DE39-9327-461C-96C6-A0202EBEDE0C}"/>
    <cellStyle name="Style 96 4 2 9" xfId="18629" xr:uid="{F83D1038-C0B7-4614-BD3B-81F7E17C4F97}"/>
    <cellStyle name="Style 96 4 2 9 2" xfId="37106" xr:uid="{8CD3122A-1166-47C1-B039-692EDD99973F}"/>
    <cellStyle name="Style 96 4 3" xfId="7667" xr:uid="{DBE19C52-951D-498E-8064-6C45A66DF7FA}"/>
    <cellStyle name="Style 96 4 3 2" xfId="7668" xr:uid="{1CA66449-9DB7-445F-9111-4ED517EC47E9}"/>
    <cellStyle name="Style 96 4 3 2 2" xfId="18630" xr:uid="{DA8016E1-37E8-4749-9B0D-E59075C9CB82}"/>
    <cellStyle name="Style 96 4 3 2 2 2" xfId="37107" xr:uid="{274C31C1-24F0-4EF7-85CD-7B40671D2DA0}"/>
    <cellStyle name="Style 96 4 3 2 3" xfId="18631" xr:uid="{3EAF4E52-AA89-450D-B7FE-AB0C7EF3BD07}"/>
    <cellStyle name="Style 96 4 3 2 3 2" xfId="37108" xr:uid="{92834D69-AB2D-42AD-BF36-F2D45549B286}"/>
    <cellStyle name="Style 96 4 3 3" xfId="18632" xr:uid="{2183994C-07FF-4672-8816-E847FA199B31}"/>
    <cellStyle name="Style 96 4 3 3 2" xfId="37109" xr:uid="{E32271E2-25AD-4A7B-A1CE-4F8FAEAEDE0D}"/>
    <cellStyle name="Style 96 4 3 4" xfId="18633" xr:uid="{7EFE2F1D-467D-4C2B-9FDC-AC7F0EABF60D}"/>
    <cellStyle name="Style 96 4 3 4 2" xfId="37110" xr:uid="{D1A89F76-6D8F-4B68-8422-F68E008B168C}"/>
    <cellStyle name="Style 96 4 3 5" xfId="18634" xr:uid="{AEE25C17-BD1D-4B13-BE43-17A610D047FD}"/>
    <cellStyle name="Style 96 4 3 5 2" xfId="37111" xr:uid="{3C6CD2BC-B8FE-4819-A18D-065C562F6002}"/>
    <cellStyle name="Style 96 4 3 6" xfId="18635" xr:uid="{E12FD6D9-364A-4DEC-9E0F-F7B464CC45E4}"/>
    <cellStyle name="Style 96 4 3 6 2" xfId="37112" xr:uid="{51D6A6E5-0D2A-40BC-8765-0B634AC0CBF2}"/>
    <cellStyle name="Style 96 4 3 7" xfId="24242" xr:uid="{52D602F1-CF64-4B74-8756-E02533232476}"/>
    <cellStyle name="Style 96 4 4" xfId="7669" xr:uid="{1AE78A50-248C-46B1-8043-4604309ED5C5}"/>
    <cellStyle name="Style 96 4 4 2" xfId="18636" xr:uid="{1E2876F3-E154-4DA8-A1B9-F92EBC7A11B4}"/>
    <cellStyle name="Style 96 4 4 2 2" xfId="37113" xr:uid="{A49D4130-5B35-473A-ABA9-9E1A3D3B2965}"/>
    <cellStyle name="Style 96 4 4 3" xfId="18637" xr:uid="{02150370-6B66-4CF5-9F1F-14FE019DEB50}"/>
    <cellStyle name="Style 96 4 4 3 2" xfId="37114" xr:uid="{5EAFA359-DADF-487D-B426-7056F87D3F7C}"/>
    <cellStyle name="Style 96 4 4 4" xfId="18638" xr:uid="{595848DD-D8B7-4A8B-AC0E-062199BACF90}"/>
    <cellStyle name="Style 96 4 4 4 2" xfId="37115" xr:uid="{4CE069AC-8681-47E0-910B-AE0BF9D19500}"/>
    <cellStyle name="Style 96 4 5" xfId="7670" xr:uid="{AA1AD6F1-B183-43C4-9320-99DE9969BEFF}"/>
    <cellStyle name="Style 96 4 5 2" xfId="18639" xr:uid="{5029D5B2-AB39-4958-9AFB-5FA393690D33}"/>
    <cellStyle name="Style 96 4 5 2 2" xfId="37116" xr:uid="{F3EF36A5-4187-4B3A-BB42-B13B9BD8413B}"/>
    <cellStyle name="Style 96 4 5 3" xfId="18640" xr:uid="{166ADD5C-A17F-4A4A-B109-1402E7AF02AD}"/>
    <cellStyle name="Style 96 4 5 3 2" xfId="37117" xr:uid="{1A465437-CE8C-4CAD-B411-6A61E0D4D75F}"/>
    <cellStyle name="Style 96 4 6" xfId="7664" xr:uid="{32D18F64-E9ED-4157-9739-BD0A2BFA8622}"/>
    <cellStyle name="Style 96 4 6 2" xfId="18641" xr:uid="{E90FA00E-5032-4804-9873-2016FADDD418}"/>
    <cellStyle name="Style 96 4 6 2 2" xfId="37118" xr:uid="{2603609C-EB72-4EE6-B259-AC2157526A5A}"/>
    <cellStyle name="Style 96 4 6 3" xfId="18642" xr:uid="{023DA82D-D447-47C8-A05C-8B548A3DCEC9}"/>
    <cellStyle name="Style 96 4 6 3 2" xfId="37119" xr:uid="{8987F5B6-0E28-4F31-A4DF-9C0501CD377D}"/>
    <cellStyle name="Style 96 4 7" xfId="18643" xr:uid="{7B2D2511-B3D8-4B05-9121-7A79B3C692FD}"/>
    <cellStyle name="Style 96 4 7 2" xfId="18644" xr:uid="{A74E2424-8ADF-44EB-97C8-32241DB51110}"/>
    <cellStyle name="Style 96 4 7 2 2" xfId="37121" xr:uid="{A1571A3A-D8F5-4C90-A135-F6B955C7264E}"/>
    <cellStyle name="Style 96 4 7 3" xfId="37120" xr:uid="{EDC32AE7-8E5C-4604-9CAB-4577EFE48DCC}"/>
    <cellStyle name="Style 96 4 8" xfId="18645" xr:uid="{1A47FB41-AB21-4973-B0A1-B065A1EE5A0A}"/>
    <cellStyle name="Style 96 4 8 2" xfId="18646" xr:uid="{DA56C38C-6944-45A7-840F-AAB4395406B7}"/>
    <cellStyle name="Style 96 4 8 2 2" xfId="37123" xr:uid="{58E85341-91D6-446C-A031-C219E4AC6BFA}"/>
    <cellStyle name="Style 96 4 8 3" xfId="37122" xr:uid="{68966907-58E9-4C43-B8D3-2E732EC116F7}"/>
    <cellStyle name="Style 96 4 9" xfId="18647" xr:uid="{2E61B73C-0FF8-4BE4-A7B5-700637D2457C}"/>
    <cellStyle name="Style 96 4 9 2" xfId="37124" xr:uid="{2544E8C5-157E-49E7-BC92-5B2542862DAF}"/>
    <cellStyle name="Style 96 5" xfId="3791" xr:uid="{76D3A384-C0CD-45CD-957B-B61E7980E99E}"/>
    <cellStyle name="Style 96 5 10" xfId="18648" xr:uid="{18F338B0-FECC-4EA5-A26F-D3CF6471C7E2}"/>
    <cellStyle name="Style 96 5 10 2" xfId="37125" xr:uid="{DD2A166C-6353-4DAA-85E6-42B11FB420B7}"/>
    <cellStyle name="Style 96 5 11" xfId="24243" xr:uid="{B1EBA3AD-744A-44CF-AF1A-A27E2173850F}"/>
    <cellStyle name="Style 96 5 2" xfId="3792" xr:uid="{CB43A6F4-8B65-4F2B-A6A1-4F7DBDF1D0DC}"/>
    <cellStyle name="Style 96 5 2 10" xfId="24244" xr:uid="{3BD1EEED-8CF0-4030-BE71-622FEFDB93D1}"/>
    <cellStyle name="Style 96 5 2 2" xfId="7673" xr:uid="{867DC49E-6D69-423B-BC9E-9BEBA03F12EC}"/>
    <cellStyle name="Style 96 5 2 2 2" xfId="18649" xr:uid="{0E3CDF4D-9BF2-477A-99A7-3BC0549891B5}"/>
    <cellStyle name="Style 96 5 2 2 2 2" xfId="37126" xr:uid="{829F1F97-55EB-43D6-9EA4-813191734429}"/>
    <cellStyle name="Style 96 5 2 2 3" xfId="18650" xr:uid="{0B959DF8-365F-4493-8AD0-69B1C83FDFCC}"/>
    <cellStyle name="Style 96 5 2 2 3 2" xfId="37127" xr:uid="{BD3220F0-8F8D-48D6-A924-85B599F5FDC6}"/>
    <cellStyle name="Style 96 5 2 2 4" xfId="18651" xr:uid="{E9329552-5E02-4277-A4BA-62622EA9C160}"/>
    <cellStyle name="Style 96 5 2 2 4 2" xfId="37128" xr:uid="{246039CE-7C42-4B0F-8CC8-8E53BA2B3D27}"/>
    <cellStyle name="Style 96 5 2 3" xfId="7672" xr:uid="{9EB4B9CE-3CD4-47CE-98F0-F707CCBFB57F}"/>
    <cellStyle name="Style 96 5 2 3 2" xfId="18652" xr:uid="{85097F12-3CDC-47DA-9080-2650EE63BE13}"/>
    <cellStyle name="Style 96 5 2 3 2 2" xfId="37129" xr:uid="{E8293406-D232-495E-A92A-85E9194739CB}"/>
    <cellStyle name="Style 96 5 2 3 3" xfId="18653" xr:uid="{1FAA050C-BC6D-4050-842E-0A9F99DFD6D0}"/>
    <cellStyle name="Style 96 5 2 3 3 2" xfId="37130" xr:uid="{1F9C2134-A7AD-4C66-BA79-099F1950A95B}"/>
    <cellStyle name="Style 96 5 2 4" xfId="18654" xr:uid="{87DDF7A2-20C2-4901-9819-D29CEDDA2162}"/>
    <cellStyle name="Style 96 5 2 4 2" xfId="18655" xr:uid="{581FB46A-BE53-4C09-9AAC-970E0F1E469B}"/>
    <cellStyle name="Style 96 5 2 4 2 2" xfId="37132" xr:uid="{AB427EBB-F046-4904-A747-BCFE93182704}"/>
    <cellStyle name="Style 96 5 2 4 3" xfId="37131" xr:uid="{C00D1D77-E1A5-44CE-91A5-BD7D6245491C}"/>
    <cellStyle name="Style 96 5 2 5" xfId="18656" xr:uid="{513E0EF2-BDDA-4177-8CFD-7E21616E0AA5}"/>
    <cellStyle name="Style 96 5 2 5 2" xfId="18657" xr:uid="{74D16F30-1E22-40C3-936A-F25DE17E2FD0}"/>
    <cellStyle name="Style 96 5 2 5 2 2" xfId="37134" xr:uid="{72CCB274-A9F8-4246-B344-23B9FA820421}"/>
    <cellStyle name="Style 96 5 2 5 3" xfId="37133" xr:uid="{5ED0B70E-D3CF-4DD9-B805-6693AFEB706C}"/>
    <cellStyle name="Style 96 5 2 6" xfId="18658" xr:uid="{DEAA7890-81D0-40BE-A0F1-EF4F63EF3821}"/>
    <cellStyle name="Style 96 5 2 6 2" xfId="18659" xr:uid="{A1934DF7-3249-423E-8667-64A2F02BD258}"/>
    <cellStyle name="Style 96 5 2 6 2 2" xfId="37136" xr:uid="{1D644923-E503-45E0-A7CE-6502BA49F1E0}"/>
    <cellStyle name="Style 96 5 2 6 3" xfId="37135" xr:uid="{07A48768-DC43-4928-9217-D1A9FAE36C2C}"/>
    <cellStyle name="Style 96 5 2 7" xfId="18660" xr:uid="{5ADE043B-9C4F-48B4-8FDE-68A7BE562C0B}"/>
    <cellStyle name="Style 96 5 2 7 2" xfId="18661" xr:uid="{0035F18E-153C-4842-A4F9-03653BA14F94}"/>
    <cellStyle name="Style 96 5 2 7 2 2" xfId="37138" xr:uid="{51717686-F4B5-4501-851B-ABF795C1FE32}"/>
    <cellStyle name="Style 96 5 2 7 3" xfId="37137" xr:uid="{002A20FE-7C6B-4736-BA74-A8B9BF499DF1}"/>
    <cellStyle name="Style 96 5 2 8" xfId="18662" xr:uid="{B15C1A31-2529-441F-B19F-BC5395B56DAB}"/>
    <cellStyle name="Style 96 5 2 8 2" xfId="37139" xr:uid="{3CEFB496-80BE-4F08-A0E3-88ECDF77B236}"/>
    <cellStyle name="Style 96 5 2 9" xfId="18663" xr:uid="{C4121555-A13A-40CB-BE9A-C64B39F3EF7E}"/>
    <cellStyle name="Style 96 5 2 9 2" xfId="37140" xr:uid="{4CE42CC9-8CB7-478C-8377-76C89E6503E5}"/>
    <cellStyle name="Style 96 5 3" xfId="7674" xr:uid="{8AEC445F-FFD0-49D5-B99F-DB7CC7CF08A5}"/>
    <cellStyle name="Style 96 5 3 2" xfId="18664" xr:uid="{1C4A17AB-94BF-4B21-9BD3-EFB66EB6D934}"/>
    <cellStyle name="Style 96 5 3 2 2" xfId="37141" xr:uid="{320D9157-F80A-4E35-80AB-962A0E5B6D50}"/>
    <cellStyle name="Style 96 5 3 3" xfId="18665" xr:uid="{D783D00D-510A-4C38-9431-7FCBF6346C66}"/>
    <cellStyle name="Style 96 5 3 3 2" xfId="37142" xr:uid="{D76781A9-42B6-40DE-8E4E-0E636E971C20}"/>
    <cellStyle name="Style 96 5 3 4" xfId="18666" xr:uid="{DB3017D8-188F-4E8B-B0EF-87BB8C40EA5F}"/>
    <cellStyle name="Style 96 5 3 4 2" xfId="37143" xr:uid="{FC943E8E-FA97-4307-980B-1B9E76FFA01A}"/>
    <cellStyle name="Style 96 5 4" xfId="7671" xr:uid="{BB406748-8B40-4D6E-81A7-56CBC8C22780}"/>
    <cellStyle name="Style 96 5 4 2" xfId="18667" xr:uid="{B47D4297-EBDF-44C1-B906-2A5284E8E0A5}"/>
    <cellStyle name="Style 96 5 4 2 2" xfId="37144" xr:uid="{4E2AE1E1-FEB9-4426-929C-D8F4EE47C0BF}"/>
    <cellStyle name="Style 96 5 4 3" xfId="18668" xr:uid="{71EFA165-382E-47A7-90E7-786C6AC92C2B}"/>
    <cellStyle name="Style 96 5 4 3 2" xfId="37145" xr:uid="{3ADC02F3-949F-4494-8253-3EFABF858870}"/>
    <cellStyle name="Style 96 5 5" xfId="18669" xr:uid="{FD879E9A-ABA7-4E32-9445-ECDC1CACF0B4}"/>
    <cellStyle name="Style 96 5 5 2" xfId="18670" xr:uid="{AB442693-B052-4C36-A9F9-DEA5C8F29C82}"/>
    <cellStyle name="Style 96 5 5 2 2" xfId="37147" xr:uid="{6E0DC191-77E8-4881-83CC-042AA4B556CA}"/>
    <cellStyle name="Style 96 5 5 3" xfId="37146" xr:uid="{8DE3F26C-E4B7-44F8-A979-124E316EB39C}"/>
    <cellStyle name="Style 96 5 6" xfId="18671" xr:uid="{6EA85BFA-65D7-4603-835A-14F79F1AB9D7}"/>
    <cellStyle name="Style 96 5 6 2" xfId="18672" xr:uid="{767E24E9-1C55-4300-9E5B-732BA836A266}"/>
    <cellStyle name="Style 96 5 6 2 2" xfId="37149" xr:uid="{2E9B4E4C-BA89-4348-A0CC-7536AF6DB4D7}"/>
    <cellStyle name="Style 96 5 6 3" xfId="37148" xr:uid="{7230FE38-5F22-4971-9803-5582284408DD}"/>
    <cellStyle name="Style 96 5 7" xfId="18673" xr:uid="{D942E5D7-7E6D-4DB6-B21D-5AA8B73EA8EA}"/>
    <cellStyle name="Style 96 5 7 2" xfId="18674" xr:uid="{DCE03151-3628-41DF-8D13-2685A5580E1F}"/>
    <cellStyle name="Style 96 5 7 2 2" xfId="37151" xr:uid="{500748FD-DEE0-49D5-B247-1EAFF254706C}"/>
    <cellStyle name="Style 96 5 7 3" xfId="37150" xr:uid="{F50ACB18-1C22-4905-A5F4-1A70050E2D3F}"/>
    <cellStyle name="Style 96 5 8" xfId="18675" xr:uid="{D898E8A8-17A8-476C-BD43-E8B8ECE338B8}"/>
    <cellStyle name="Style 96 5 8 2" xfId="18676" xr:uid="{57E62727-30F8-42D6-9CD7-57AB72393501}"/>
    <cellStyle name="Style 96 5 8 2 2" xfId="37153" xr:uid="{FC83492F-7D5B-4FB3-8368-90592F2B8C9A}"/>
    <cellStyle name="Style 96 5 8 3" xfId="37152" xr:uid="{CDE4FBBA-340D-434F-92B6-691B1C6FC465}"/>
    <cellStyle name="Style 96 5 9" xfId="18677" xr:uid="{7AEDDC6F-39C2-41A0-B4F0-6EF527E1B446}"/>
    <cellStyle name="Style 96 5 9 2" xfId="37154" xr:uid="{A34B7B9E-47E5-4644-AFD4-8657B53F967C}"/>
    <cellStyle name="Style 96 6" xfId="3793" xr:uid="{FB8FE0C7-6A31-4F68-ACD5-C5088F9BA63E}"/>
    <cellStyle name="Style 96 6 10" xfId="18678" xr:uid="{C10C13F2-418F-42EE-ABCE-7580C2DABE09}"/>
    <cellStyle name="Style 96 6 10 2" xfId="37155" xr:uid="{C75C2357-8015-4EF4-96F2-2F79B2F85E46}"/>
    <cellStyle name="Style 96 6 11" xfId="24245" xr:uid="{78078556-D176-4BD0-B0F5-DB77BAC4D99B}"/>
    <cellStyle name="Style 96 6 2" xfId="3794" xr:uid="{F71265AE-853C-4B1F-9377-2E93AA66A08B}"/>
    <cellStyle name="Style 96 6 2 2" xfId="7676" xr:uid="{10BF7E42-74B0-4E14-A2A5-F1A354ADC25C}"/>
    <cellStyle name="Style 96 6 2 2 2" xfId="18679" xr:uid="{0BC4C988-8FF5-47A0-BE00-60319AE19D77}"/>
    <cellStyle name="Style 96 6 2 2 2 2" xfId="37156" xr:uid="{28CCBFC2-5CB9-42EE-8698-E821067A7F9E}"/>
    <cellStyle name="Style 96 6 2 2 3" xfId="18680" xr:uid="{C1185475-A8BF-43FE-AE35-19FE34FCFAD8}"/>
    <cellStyle name="Style 96 6 2 2 3 2" xfId="37157" xr:uid="{7248A85F-CEA5-490A-A95F-442D545810E2}"/>
    <cellStyle name="Style 96 6 2 2 4" xfId="18681" xr:uid="{DB427629-ED47-4EB5-9816-83E2FDD41C89}"/>
    <cellStyle name="Style 96 6 2 2 4 2" xfId="37158" xr:uid="{3C030314-9494-4405-A57A-458860B26797}"/>
    <cellStyle name="Style 96 6 2 3" xfId="18682" xr:uid="{3C670E5E-F4EB-4687-9967-83E9E6021DE9}"/>
    <cellStyle name="Style 96 6 2 3 2" xfId="18683" xr:uid="{DFB680CD-91BB-4896-83CA-8D20FBDA3B57}"/>
    <cellStyle name="Style 96 6 2 3 2 2" xfId="37160" xr:uid="{C359362E-9D30-4DCF-8519-0CA07BDE4AAD}"/>
    <cellStyle name="Style 96 6 2 3 3" xfId="37159" xr:uid="{28A3A2BE-B5BB-449D-9062-67B3D0C1BD04}"/>
    <cellStyle name="Style 96 6 2 4" xfId="18684" xr:uid="{2CF1F15A-BF84-4F4A-B66B-C91E7BE7D1D3}"/>
    <cellStyle name="Style 96 6 2 4 2" xfId="18685" xr:uid="{31272DDF-3EB1-47A2-8EC2-E7FF192BA9CD}"/>
    <cellStyle name="Style 96 6 2 4 2 2" xfId="37162" xr:uid="{81C1E8E9-1862-401E-A1F1-3A8CC716B071}"/>
    <cellStyle name="Style 96 6 2 4 3" xfId="37161" xr:uid="{CC7086BA-D5D3-49AF-9086-B8FFAF6EAB73}"/>
    <cellStyle name="Style 96 6 2 5" xfId="18686" xr:uid="{F73F3463-70A2-426B-BE50-EE37A73C4339}"/>
    <cellStyle name="Style 96 6 2 5 2" xfId="18687" xr:uid="{D2BF6680-15C9-4210-8AF4-72B59336A3BA}"/>
    <cellStyle name="Style 96 6 2 5 2 2" xfId="37164" xr:uid="{2E3D7E4C-8F8D-48DB-9F8A-18949AE5BCAF}"/>
    <cellStyle name="Style 96 6 2 5 3" xfId="37163" xr:uid="{F32F9153-1D29-4A1C-8F9A-9C25B9006EA0}"/>
    <cellStyle name="Style 96 6 2 6" xfId="18688" xr:uid="{354FECB4-83FB-4D9D-9F00-49BFE07D5808}"/>
    <cellStyle name="Style 96 6 2 6 2" xfId="18689" xr:uid="{18B37750-51AC-4DFA-A003-1692EB12FBFF}"/>
    <cellStyle name="Style 96 6 2 6 2 2" xfId="37166" xr:uid="{B2D01CD7-AA1D-49BF-816F-8981687C9DD5}"/>
    <cellStyle name="Style 96 6 2 6 3" xfId="37165" xr:uid="{BB8A21EA-B0C6-4B30-B765-2E29920E8E25}"/>
    <cellStyle name="Style 96 6 2 7" xfId="18690" xr:uid="{42A3A906-D808-45B2-A85B-EFDD9AA8BB33}"/>
    <cellStyle name="Style 96 6 2 7 2" xfId="37167" xr:uid="{702A79DE-3D37-48E7-9D43-A7F9AB380A20}"/>
    <cellStyle name="Style 96 6 2 8" xfId="18691" xr:uid="{938842F9-CD65-431F-8E05-23801E8B9D1E}"/>
    <cellStyle name="Style 96 6 2 8 2" xfId="37168" xr:uid="{A01368A2-6CC6-41BB-8970-B81356EF79BF}"/>
    <cellStyle name="Style 96 6 3" xfId="4227" xr:uid="{BDBEE84B-2C7E-4C9B-8159-3248C45042A5}"/>
    <cellStyle name="Style 96 6 3 2" xfId="7677" xr:uid="{A4714A73-1D2B-40D8-B379-3D8D01669AF2}"/>
    <cellStyle name="Style 96 6 3 2 2" xfId="18692" xr:uid="{18D66306-74D4-473F-A17C-0CB375058A4E}"/>
    <cellStyle name="Style 96 6 3 2 2 2" xfId="37169" xr:uid="{A5E5D17D-D01B-4859-8642-4C24489282FB}"/>
    <cellStyle name="Style 96 6 3 2 3" xfId="28360" xr:uid="{8FFA44BC-E1E1-44B9-943C-8CFFCBCBE37C}"/>
    <cellStyle name="Style 96 6 3 3" xfId="18693" xr:uid="{A9FC7289-A3DE-4A9D-A6B3-FB6B34984607}"/>
    <cellStyle name="Style 96 6 3 3 2" xfId="37170" xr:uid="{375DB971-5EA2-4C1B-B259-B60F0E879F69}"/>
    <cellStyle name="Style 96 6 3 4" xfId="18694" xr:uid="{EF0E07F9-3BEB-4D5F-A79D-F30BAC1FE8D6}"/>
    <cellStyle name="Style 96 6 3 4 2" xfId="37171" xr:uid="{7405F69F-76D9-4AAB-B972-33AC8D270FB2}"/>
    <cellStyle name="Style 96 6 4" xfId="7675" xr:uid="{C2A4C2AB-FD35-4B90-9F1F-15C4BDF6A936}"/>
    <cellStyle name="Style 96 6 4 2" xfId="18695" xr:uid="{EC668E00-C7E3-4DFA-A858-0727F7B95E33}"/>
    <cellStyle name="Style 96 6 4 2 2" xfId="37172" xr:uid="{339A641C-10FF-4997-A3E7-41AE1F596326}"/>
    <cellStyle name="Style 96 6 4 3" xfId="18696" xr:uid="{7BA1AA12-BE71-4FF7-A037-B3D56920463E}"/>
    <cellStyle name="Style 96 6 4 3 2" xfId="37173" xr:uid="{2F6BFCCE-10C0-4D62-AED6-62ECC3F7E389}"/>
    <cellStyle name="Style 96 6 5" xfId="18697" xr:uid="{3C3C4B7C-C2AA-4DD9-8360-3442C197F37F}"/>
    <cellStyle name="Style 96 6 5 2" xfId="18698" xr:uid="{B7352DF6-B214-4EA6-92DC-A2B9C190B03C}"/>
    <cellStyle name="Style 96 6 5 2 2" xfId="37175" xr:uid="{86E6408F-254A-44BD-865F-3EEB4C0258B4}"/>
    <cellStyle name="Style 96 6 5 3" xfId="37174" xr:uid="{A0C40308-837F-43AA-877E-8E8EBF4324A0}"/>
    <cellStyle name="Style 96 6 6" xfId="18699" xr:uid="{8E07C125-2313-402C-8978-34660765E534}"/>
    <cellStyle name="Style 96 6 6 2" xfId="18700" xr:uid="{2C416273-A12B-4BD7-A3F0-3491D3029ED7}"/>
    <cellStyle name="Style 96 6 6 2 2" xfId="37177" xr:uid="{650C43AB-503B-47EE-8F55-3A8C9418CD38}"/>
    <cellStyle name="Style 96 6 6 3" xfId="37176" xr:uid="{B399BFA8-9F2C-4D58-A6CC-287DBE9858E9}"/>
    <cellStyle name="Style 96 6 7" xfId="18701" xr:uid="{DBF6DE2D-4E1F-449C-A3D8-3EACCD417122}"/>
    <cellStyle name="Style 96 6 7 2" xfId="18702" xr:uid="{FD0EFC97-09E2-4650-B6CB-C53FDF8A4D06}"/>
    <cellStyle name="Style 96 6 7 2 2" xfId="37179" xr:uid="{D33F6B58-8A99-49D9-8C9D-FDF0B1620867}"/>
    <cellStyle name="Style 96 6 7 3" xfId="37178" xr:uid="{3BDDE905-498F-4B33-8DB4-7253F0FEFD39}"/>
    <cellStyle name="Style 96 6 8" xfId="18703" xr:uid="{BA86D43B-EBB6-4467-9D1C-AE5F3A5268C4}"/>
    <cellStyle name="Style 96 6 8 2" xfId="18704" xr:uid="{7C541814-B0AE-4E2F-8C49-5BEA27B71D88}"/>
    <cellStyle name="Style 96 6 8 2 2" xfId="37181" xr:uid="{ECAFCEBE-9ABD-4454-B049-2440DB2ACC66}"/>
    <cellStyle name="Style 96 6 8 3" xfId="37180" xr:uid="{D54DE822-4A9E-4927-8FDA-FA58C286F4C5}"/>
    <cellStyle name="Style 96 6 9" xfId="18705" xr:uid="{0E6EE880-5808-40B5-B398-4424455CCFF6}"/>
    <cellStyle name="Style 96 6 9 2" xfId="37182" xr:uid="{FEA87D5E-866F-4BA4-96E6-79EAC868005D}"/>
    <cellStyle name="Style 96 7" xfId="4226" xr:uid="{80EF8884-F00F-44AD-A2B2-0E1907EC7A38}"/>
    <cellStyle name="Style 96 7 2" xfId="7679" xr:uid="{9FFAF0AA-4C0C-4031-A8B9-606A02F6CF28}"/>
    <cellStyle name="Style 96 7 2 2" xfId="18706" xr:uid="{54202127-3B35-4F31-99DD-21FE4760EC51}"/>
    <cellStyle name="Style 96 7 2 2 2" xfId="37183" xr:uid="{4FE57D5A-09C6-4F57-9489-5A89DE0BC359}"/>
    <cellStyle name="Style 96 7 3" xfId="7680" xr:uid="{230AD8E6-DE49-40D4-8F24-579A7B4A1A49}"/>
    <cellStyle name="Style 96 7 3 2" xfId="18707" xr:uid="{2C78CED9-90D5-4630-A535-922C58674A22}"/>
    <cellStyle name="Style 96 7 3 2 2" xfId="37184" xr:uid="{739E622E-4362-46F0-BC52-6D1EA2197E2B}"/>
    <cellStyle name="Style 96 7 4" xfId="7678" xr:uid="{97C22F12-49BB-44B3-B968-E00A7DE1286E}"/>
    <cellStyle name="Style 96 7 4 2" xfId="28359" xr:uid="{47489BBC-3D61-4EA2-9F7C-ACD13DCFFE20}"/>
    <cellStyle name="Style 96 7 5" xfId="18708" xr:uid="{C9AA6787-449C-4A21-9C77-18BB3AC180AF}"/>
    <cellStyle name="Style 96 7 5 2" xfId="37185" xr:uid="{57FE042C-960A-4EE9-9FC9-A4779A23607C}"/>
    <cellStyle name="Style 96 7 6" xfId="24246" xr:uid="{F95CB918-12C5-446A-8B15-710F80E30E02}"/>
    <cellStyle name="Style 96 8" xfId="7681" xr:uid="{94711CD7-AB1B-4F99-9774-5E513D98173D}"/>
    <cellStyle name="Style 96 8 2" xfId="18709" xr:uid="{6CD8AC82-61E7-428E-AA9A-0C5C18E63E8C}"/>
    <cellStyle name="Style 96 8 2 2" xfId="37186" xr:uid="{27E946D5-D95B-461E-86A6-9F1718C27974}"/>
    <cellStyle name="Style 96 8 3" xfId="18710" xr:uid="{DE266067-33A7-46A8-B560-895E51A768ED}"/>
    <cellStyle name="Style 96 8 3 2" xfId="37187" xr:uid="{BE9D9912-23CA-4E44-905B-81A4017DF38E}"/>
    <cellStyle name="Style 96 9" xfId="7682" xr:uid="{F795A1C2-8C0F-4929-93EC-ADF0BBA5DC83}"/>
    <cellStyle name="Style 96 9 2" xfId="18711" xr:uid="{119D250B-2204-48B2-B0E0-E8A4B0E24FC9}"/>
    <cellStyle name="Style 96 9 2 2" xfId="37188" xr:uid="{E808B89B-EDA1-4324-BB6E-0DB737A9783E}"/>
    <cellStyle name="Style 96 9 3" xfId="18712" xr:uid="{A03AA92E-0820-4024-B805-50B2557D51EC}"/>
    <cellStyle name="Style 96 9 3 2" xfId="37189" xr:uid="{50EB1A73-A4F0-4F9D-83B1-D1841015CD84}"/>
    <cellStyle name="Style 96_ADDON" xfId="25755" xr:uid="{017685D5-44FD-466A-A3FF-AC22BE8EFE1B}"/>
    <cellStyle name="Style 97" xfId="3795" xr:uid="{523EEA7A-E211-4CD9-B4BB-DA10096984B7}"/>
    <cellStyle name="Style 97 10" xfId="3796" xr:uid="{11AD2750-95A5-4EEF-9632-9753C60F616D}"/>
    <cellStyle name="Style 97 10 10" xfId="18713" xr:uid="{F9A1C007-9EC6-45CF-A879-E58214957EFF}"/>
    <cellStyle name="Style 97 10 10 2" xfId="37190" xr:uid="{BBA8B426-F3D9-4AC1-8984-1F79BDF9A09E}"/>
    <cellStyle name="Style 97 10 11" xfId="24248" xr:uid="{BC26E18E-2692-4249-BD99-47B7C1D7313F}"/>
    <cellStyle name="Style 97 10 2" xfId="3797" xr:uid="{36F1F304-2B4A-44B1-935D-264C75A94C3C}"/>
    <cellStyle name="Style 97 10 2 2" xfId="7685" xr:uid="{C6D4A28C-77EB-4C7E-ADEA-68480DED452D}"/>
    <cellStyle name="Style 97 10 2 2 2" xfId="18714" xr:uid="{E5C880E8-3E1F-4C68-972B-1DE5A21010EA}"/>
    <cellStyle name="Style 97 10 2 2 2 2" xfId="37191" xr:uid="{77F13EA2-09BF-4146-A04A-46A1788B1BFF}"/>
    <cellStyle name="Style 97 10 2 2 3" xfId="18715" xr:uid="{6948FB90-F11A-4BA2-8F18-C35C91C24FFD}"/>
    <cellStyle name="Style 97 10 2 2 3 2" xfId="37192" xr:uid="{A48630D2-11A0-45C5-9DBF-2FDE63E2EAD4}"/>
    <cellStyle name="Style 97 10 2 2 4" xfId="18716" xr:uid="{2AD2F164-6012-4D65-8E8C-3E816FE3FBED}"/>
    <cellStyle name="Style 97 10 2 2 4 2" xfId="37193" xr:uid="{6872C201-AF27-4B21-9FF7-BDFF82A01063}"/>
    <cellStyle name="Style 97 10 2 3" xfId="18717" xr:uid="{09C66FD4-239A-4288-BCAA-E5B248CDAA0E}"/>
    <cellStyle name="Style 97 10 2 3 2" xfId="18718" xr:uid="{85E73F7B-51A3-4152-9545-69D681760B24}"/>
    <cellStyle name="Style 97 10 2 3 2 2" xfId="37194" xr:uid="{4CD46B42-902D-4E4F-BBE0-1B843A6540AF}"/>
    <cellStyle name="Style 97 10 2 3 3" xfId="18719" xr:uid="{9B5A6E3F-5EE3-4877-9A4D-CAF0C4DA8FA3}"/>
    <cellStyle name="Style 97 10 2 3 3 2" xfId="37195" xr:uid="{F5628D2D-3F75-4072-955A-7814BBA4633C}"/>
    <cellStyle name="Style 97 10 2 3 4" xfId="28179" xr:uid="{479841E6-F25A-45DB-A1EA-A674C9D252F4}"/>
    <cellStyle name="Style 97 10 2 4" xfId="18720" xr:uid="{1EFCBB47-430F-4FA4-8425-6D79BB8F5E7E}"/>
    <cellStyle name="Style 97 10 2 4 2" xfId="18721" xr:uid="{0728A85C-F274-4514-804C-DB757CC03586}"/>
    <cellStyle name="Style 97 10 2 4 2 2" xfId="37197" xr:uid="{EB54B4D8-CAA1-4817-AF9B-04BE9A38B9E0}"/>
    <cellStyle name="Style 97 10 2 4 3" xfId="37196" xr:uid="{493D1D53-DB96-4397-833D-4A2D279D4B0B}"/>
    <cellStyle name="Style 97 10 2 5" xfId="18722" xr:uid="{090B88B6-66E5-458A-8B80-CC6CA11F6714}"/>
    <cellStyle name="Style 97 10 2 5 2" xfId="18723" xr:uid="{BC460371-51EE-4606-9FA8-087DC5648767}"/>
    <cellStyle name="Style 97 10 2 5 2 2" xfId="37199" xr:uid="{D03BD1E1-BA6C-4D5F-A7F1-79469DE7F258}"/>
    <cellStyle name="Style 97 10 2 5 3" xfId="37198" xr:uid="{2D01BC93-2B76-4C1E-9CBE-73FD8451921F}"/>
    <cellStyle name="Style 97 10 2 6" xfId="18724" xr:uid="{ADDB83AE-6B90-4775-8495-4455F1082730}"/>
    <cellStyle name="Style 97 10 2 6 2" xfId="18725" xr:uid="{306ED8FA-813B-4174-81D0-998472B7F486}"/>
    <cellStyle name="Style 97 10 2 6 2 2" xfId="37201" xr:uid="{03EBD49C-AE9C-40E2-8B46-11B4047DFE14}"/>
    <cellStyle name="Style 97 10 2 6 3" xfId="37200" xr:uid="{8B5C28C1-C2EB-4564-994A-5A37E9DC0E83}"/>
    <cellStyle name="Style 97 10 2 7" xfId="18726" xr:uid="{CBD7D928-EB23-431B-9914-B8A4038CA150}"/>
    <cellStyle name="Style 97 10 2 7 2" xfId="37202" xr:uid="{A36EDED5-EFD7-4D60-8C5E-C0CADC1208F8}"/>
    <cellStyle name="Style 97 10 2 8" xfId="18727" xr:uid="{52288DCF-EA4B-4BE2-851C-25D0EA8DEA92}"/>
    <cellStyle name="Style 97 10 2 8 2" xfId="37203" xr:uid="{8CDE2311-DB68-414E-8938-5816D6FB85B9}"/>
    <cellStyle name="Style 97 10 3" xfId="4228" xr:uid="{D087575A-33BE-4DA0-8AC5-35A96BB52A70}"/>
    <cellStyle name="Style 97 10 3 2" xfId="7686" xr:uid="{87680918-66FB-414A-83E8-089F3E20EBB6}"/>
    <cellStyle name="Style 97 10 3 2 2" xfId="18728" xr:uid="{DF4886F8-161C-41E4-AEB8-4EBD8714BF26}"/>
    <cellStyle name="Style 97 10 3 2 2 2" xfId="37204" xr:uid="{B61BC53C-66DA-4F54-98A7-BAEEFEF42C3F}"/>
    <cellStyle name="Style 97 10 3 2 3" xfId="28361" xr:uid="{5D0D38C0-8398-4FFF-A4AB-BB1EFC548E2D}"/>
    <cellStyle name="Style 97 10 3 3" xfId="18729" xr:uid="{E7B0048D-2998-41B6-8791-7F5C6354799B}"/>
    <cellStyle name="Style 97 10 3 3 2" xfId="37205" xr:uid="{0B1DDF2D-7729-48A6-8B2E-4C9C390D54CC}"/>
    <cellStyle name="Style 97 10 3 4" xfId="18730" xr:uid="{EDE55A0E-2002-4750-8713-8A9998790F5A}"/>
    <cellStyle name="Style 97 10 3 4 2" xfId="37206" xr:uid="{C5E81300-6C83-4DC9-9A04-DD88866C71F8}"/>
    <cellStyle name="Style 97 10 4" xfId="7684" xr:uid="{8FBD5459-95FC-4A84-84B9-47C5FFDB8C59}"/>
    <cellStyle name="Style 97 10 4 2" xfId="18731" xr:uid="{2E551CE9-22C6-4645-B8E7-E08F33F370FF}"/>
    <cellStyle name="Style 97 10 4 2 2" xfId="37207" xr:uid="{5E4C388E-9A61-4201-9D8C-5EBE15CE4E70}"/>
    <cellStyle name="Style 97 10 4 3" xfId="18732" xr:uid="{79B8FFD7-2E10-4A58-A838-8216DB529831}"/>
    <cellStyle name="Style 97 10 4 3 2" xfId="37208" xr:uid="{16C41CAC-F0AC-4874-B65F-CDAB75A41F51}"/>
    <cellStyle name="Style 97 10 5" xfId="18733" xr:uid="{8C8A46E4-A0E1-4060-9BB0-3E21652F31DE}"/>
    <cellStyle name="Style 97 10 5 2" xfId="18734" xr:uid="{9F8B8ADC-D581-410F-BFB1-103E8150EB1F}"/>
    <cellStyle name="Style 97 10 5 2 2" xfId="37209" xr:uid="{D7E0FA86-9067-484F-80BD-0E3AFB3DF4DC}"/>
    <cellStyle name="Style 97 10 5 3" xfId="18735" xr:uid="{008E1D87-6E5D-4153-A5CB-003DA7A333E9}"/>
    <cellStyle name="Style 97 10 5 3 2" xfId="37210" xr:uid="{F10467F5-4F9C-464D-BFC5-91B7F72EF6F3}"/>
    <cellStyle name="Style 97 10 5 4" xfId="28178" xr:uid="{A6BF2720-AE5B-44EC-B78F-A3C6339AAC63}"/>
    <cellStyle name="Style 97 10 6" xfId="18736" xr:uid="{3CDAF0D2-2F86-4B66-B5E9-6F8975F13850}"/>
    <cellStyle name="Style 97 10 6 2" xfId="18737" xr:uid="{7EEB1655-F5B5-4648-B8B3-53D147664A15}"/>
    <cellStyle name="Style 97 10 6 2 2" xfId="37212" xr:uid="{36DA885D-400A-4102-93A7-13F34E1B4D7D}"/>
    <cellStyle name="Style 97 10 6 3" xfId="37211" xr:uid="{98EB46B0-5DCE-4314-A60F-5223E59E850C}"/>
    <cellStyle name="Style 97 10 7" xfId="18738" xr:uid="{9590376F-4490-4F56-A5B2-D6DBBDC8BCB0}"/>
    <cellStyle name="Style 97 10 7 2" xfId="18739" xr:uid="{D823D4E2-9461-4CFD-B25A-5DC11E2EAE70}"/>
    <cellStyle name="Style 97 10 7 2 2" xfId="37214" xr:uid="{86B61491-C4EB-4B0B-8109-8061FD27FAE5}"/>
    <cellStyle name="Style 97 10 7 3" xfId="37213" xr:uid="{91DD7BC2-C029-4D5B-90DE-58BBC3064B90}"/>
    <cellStyle name="Style 97 10 8" xfId="18740" xr:uid="{3EBD64AD-45F2-402F-B7F9-80C1B5C894B5}"/>
    <cellStyle name="Style 97 10 8 2" xfId="18741" xr:uid="{91D3137A-913B-4D76-BB35-735C742FD7D9}"/>
    <cellStyle name="Style 97 10 8 2 2" xfId="37216" xr:uid="{4BFA5D1C-3238-4761-8973-BEA065A87409}"/>
    <cellStyle name="Style 97 10 8 3" xfId="37215" xr:uid="{5A057C38-1DDB-45B8-967D-3365BE7CC9EC}"/>
    <cellStyle name="Style 97 10 9" xfId="18742" xr:uid="{313707DC-5E56-4B0A-89B5-338B633744E3}"/>
    <cellStyle name="Style 97 10 9 2" xfId="37217" xr:uid="{62E34426-763A-44DC-978A-28B80016D821}"/>
    <cellStyle name="Style 97 11" xfId="3798" xr:uid="{5A9F8C26-6E37-45B5-839A-DD0CB5C88F04}"/>
    <cellStyle name="Style 97 11 10" xfId="18743" xr:uid="{263DFE35-2A29-47B1-B11A-885C8C0109EE}"/>
    <cellStyle name="Style 97 11 10 2" xfId="37218" xr:uid="{6D2109FE-10DA-4812-A641-61C9C34BF738}"/>
    <cellStyle name="Style 97 11 11" xfId="24249" xr:uid="{804660A1-9E76-45D1-BBBC-A3655E8C01A7}"/>
    <cellStyle name="Style 97 11 2" xfId="3799" xr:uid="{B51B7C65-63E8-4302-99A5-6886F5CEAE25}"/>
    <cellStyle name="Style 97 11 2 2" xfId="7688" xr:uid="{C3923A8B-846C-4B90-BB76-C99BA5822E6F}"/>
    <cellStyle name="Style 97 11 2 2 2" xfId="18744" xr:uid="{AF5704A3-BD27-4E36-B53D-279818682EFF}"/>
    <cellStyle name="Style 97 11 2 2 2 2" xfId="37219" xr:uid="{696B522C-2033-419C-A9F3-82B87B821BDE}"/>
    <cellStyle name="Style 97 11 2 2 3" xfId="18745" xr:uid="{819AA68D-27FE-4418-AEC4-76305A675592}"/>
    <cellStyle name="Style 97 11 2 2 3 2" xfId="37220" xr:uid="{BB393D41-4E9C-45F1-A904-3624D0271C9E}"/>
    <cellStyle name="Style 97 11 2 2 4" xfId="18746" xr:uid="{E87F8BA3-F5F3-4902-A357-FA17AED45F6D}"/>
    <cellStyle name="Style 97 11 2 2 4 2" xfId="37221" xr:uid="{C3CE01AF-A2AA-479F-AA94-6FF1C85C5B3C}"/>
    <cellStyle name="Style 97 11 2 3" xfId="18747" xr:uid="{272B9AEC-D55F-4FC7-9CB9-C1F5DB0FBAEB}"/>
    <cellStyle name="Style 97 11 2 3 2" xfId="18748" xr:uid="{1A7627E7-F3D6-4F60-B698-F19875E94ADB}"/>
    <cellStyle name="Style 97 11 2 3 2 2" xfId="37222" xr:uid="{1D63F358-5C60-447D-86B4-1EDA1D57D04F}"/>
    <cellStyle name="Style 97 11 2 3 3" xfId="18749" xr:uid="{B722834E-AE04-4996-944E-103DFED448DC}"/>
    <cellStyle name="Style 97 11 2 3 3 2" xfId="37223" xr:uid="{53C9B127-D5DB-4DC2-AFF3-36E2871A563D}"/>
    <cellStyle name="Style 97 11 2 3 4" xfId="28181" xr:uid="{4E086B59-4DCA-4AD3-B6B6-5B90DEBFC299}"/>
    <cellStyle name="Style 97 11 2 4" xfId="18750" xr:uid="{61597ACA-1E18-4EAF-82B6-BC562467179B}"/>
    <cellStyle name="Style 97 11 2 4 2" xfId="18751" xr:uid="{3210D75C-0D3D-4FD4-A1ED-56B96D97FC7F}"/>
    <cellStyle name="Style 97 11 2 4 2 2" xfId="37225" xr:uid="{7CC97920-97AD-402E-9944-30063EC9CE95}"/>
    <cellStyle name="Style 97 11 2 4 3" xfId="37224" xr:uid="{C86BABB6-C54C-49BB-BC28-947AF4E19B24}"/>
    <cellStyle name="Style 97 11 2 5" xfId="18752" xr:uid="{2D5D49D8-2F72-468D-A280-CF4972CAC1CB}"/>
    <cellStyle name="Style 97 11 2 5 2" xfId="18753" xr:uid="{575814D7-4658-42D2-B8CF-5AA980C9C8E6}"/>
    <cellStyle name="Style 97 11 2 5 2 2" xfId="37227" xr:uid="{DDF0D13C-EBAA-40F2-88E6-941CAF6A440D}"/>
    <cellStyle name="Style 97 11 2 5 3" xfId="37226" xr:uid="{C4D00B5A-3A9D-4E78-8E8B-49543C9345DC}"/>
    <cellStyle name="Style 97 11 2 6" xfId="18754" xr:uid="{00BD4478-DE46-4AAF-94C8-F2CB19BAB6FB}"/>
    <cellStyle name="Style 97 11 2 6 2" xfId="18755" xr:uid="{D7245B40-79DF-4EBE-8BDF-9DC0D69DE5BE}"/>
    <cellStyle name="Style 97 11 2 6 2 2" xfId="37229" xr:uid="{D5BC7D75-ED1D-4529-829E-FB4E833811C6}"/>
    <cellStyle name="Style 97 11 2 6 3" xfId="37228" xr:uid="{67A7715C-75E5-4602-9D9F-047E5F7E79F3}"/>
    <cellStyle name="Style 97 11 2 7" xfId="18756" xr:uid="{2FBAF483-B05A-47FF-8D5B-4F8FFD8D41C2}"/>
    <cellStyle name="Style 97 11 2 7 2" xfId="37230" xr:uid="{131C5EEA-6D17-4AE8-8A86-E4F3E4FA9AE1}"/>
    <cellStyle name="Style 97 11 2 8" xfId="18757" xr:uid="{5B29E647-FEC6-4CFF-88EC-809D84C57661}"/>
    <cellStyle name="Style 97 11 2 8 2" xfId="37231" xr:uid="{D296474B-2FF4-4B89-A338-1079E85E121A}"/>
    <cellStyle name="Style 97 11 3" xfId="7689" xr:uid="{2E38F22B-F92C-4EE0-90A6-522F7617F9DE}"/>
    <cellStyle name="Style 97 11 3 2" xfId="18758" xr:uid="{03F9F4A6-4F07-420F-BA56-8C51DADC9220}"/>
    <cellStyle name="Style 97 11 3 2 2" xfId="37232" xr:uid="{6BEB5DC9-CDC1-4161-8ED5-6DB7D6BCB39C}"/>
    <cellStyle name="Style 97 11 3 3" xfId="18759" xr:uid="{4FB3F12E-C5E4-4F6A-B41F-6A6A6C4AA9AF}"/>
    <cellStyle name="Style 97 11 3 3 2" xfId="37233" xr:uid="{1DAAAFE9-3B46-4259-AEFC-7CCCBDD233A2}"/>
    <cellStyle name="Style 97 11 3 4" xfId="18760" xr:uid="{F77719E1-D8A5-4FB3-AF49-33C6C50EE177}"/>
    <cellStyle name="Style 97 11 3 4 2" xfId="37234" xr:uid="{485ABAA2-A778-41B2-84FA-A8559755810F}"/>
    <cellStyle name="Style 97 11 4" xfId="7687" xr:uid="{3891A189-B9F1-4F0D-B376-8DE72AD6EB2E}"/>
    <cellStyle name="Style 97 11 4 2" xfId="18761" xr:uid="{BE428B22-1673-4059-A4DC-3704F30318B1}"/>
    <cellStyle name="Style 97 11 4 2 2" xfId="37235" xr:uid="{73D6F3EC-1969-47D3-A6E2-0391821C48F6}"/>
    <cellStyle name="Style 97 11 4 3" xfId="18762" xr:uid="{755B8270-96CE-414A-9915-62878785E410}"/>
    <cellStyle name="Style 97 11 4 3 2" xfId="37236" xr:uid="{95BB87C9-E1D9-48A9-9284-3E2120F49D91}"/>
    <cellStyle name="Style 97 11 5" xfId="18763" xr:uid="{CC19DAB0-C209-45A7-A00C-09EA27B2656D}"/>
    <cellStyle name="Style 97 11 5 2" xfId="18764" xr:uid="{9C7585C2-6804-4BAC-9C99-853204EBAAAE}"/>
    <cellStyle name="Style 97 11 5 2 2" xfId="37237" xr:uid="{6FE05665-8629-4398-9376-D651DBF790D8}"/>
    <cellStyle name="Style 97 11 5 3" xfId="18765" xr:uid="{A712604A-5705-492A-A79A-2AC7DFE5E18D}"/>
    <cellStyle name="Style 97 11 5 3 2" xfId="37238" xr:uid="{6EF91C04-3E31-406B-89C6-599593D7E7C7}"/>
    <cellStyle name="Style 97 11 5 4" xfId="28180" xr:uid="{A1F03A8C-DD11-4212-B4D7-11DC2B600BCA}"/>
    <cellStyle name="Style 97 11 6" xfId="18766" xr:uid="{7A426EB4-3A81-4AA1-BE2E-5AFAAF4BAF2C}"/>
    <cellStyle name="Style 97 11 6 2" xfId="18767" xr:uid="{AD615942-2CDA-4023-AFB1-9FAB789E1914}"/>
    <cellStyle name="Style 97 11 6 2 2" xfId="37240" xr:uid="{3AFB13AD-F0E4-459C-B93D-1F36DB345FD7}"/>
    <cellStyle name="Style 97 11 6 3" xfId="37239" xr:uid="{CFC608EB-F7D8-4506-8BF2-3628C34A1B7E}"/>
    <cellStyle name="Style 97 11 7" xfId="18768" xr:uid="{B48683C9-9383-492B-9E53-14A98C05DB6A}"/>
    <cellStyle name="Style 97 11 7 2" xfId="18769" xr:uid="{0C38D961-2B45-412A-BC83-0F14064F8DB8}"/>
    <cellStyle name="Style 97 11 7 2 2" xfId="37242" xr:uid="{2F67054E-63ED-4B8D-8BB7-5BB4DBB3F62E}"/>
    <cellStyle name="Style 97 11 7 3" xfId="37241" xr:uid="{BC715E1D-7576-44BD-92F0-C991FD2E5B42}"/>
    <cellStyle name="Style 97 11 8" xfId="18770" xr:uid="{96097C0B-B2C8-461A-BC4D-292FDDFBB06F}"/>
    <cellStyle name="Style 97 11 8 2" xfId="18771" xr:uid="{9FC84AE1-7948-453E-ABB7-F9A341349C9E}"/>
    <cellStyle name="Style 97 11 8 2 2" xfId="37244" xr:uid="{292C71F0-2099-4049-9A76-F83DACBB096D}"/>
    <cellStyle name="Style 97 11 8 3" xfId="37243" xr:uid="{473F5164-E08F-4EAB-B593-24D60BE80460}"/>
    <cellStyle name="Style 97 11 9" xfId="18772" xr:uid="{07B22335-1D84-4FE8-AFD1-539B05C29CE2}"/>
    <cellStyle name="Style 97 11 9 2" xfId="37245" xr:uid="{A6957DBE-EE7C-4F86-B9C4-F058899FC56C}"/>
    <cellStyle name="Style 97 12" xfId="3800" xr:uid="{4D8B5CFE-A6B3-4004-9D16-36EDFA9E63A1}"/>
    <cellStyle name="Style 97 12 10" xfId="18773" xr:uid="{2D072D82-2903-44B6-B62C-0E136958D761}"/>
    <cellStyle name="Style 97 12 10 2" xfId="37246" xr:uid="{ADCBDAE8-5E64-49CB-8772-9E6E1BCFB6F3}"/>
    <cellStyle name="Style 97 12 2" xfId="7690" xr:uid="{1E9C460B-322E-453C-B105-8511F2210102}"/>
    <cellStyle name="Style 97 12 2 2" xfId="18774" xr:uid="{EEEA718B-03A5-4CDA-BF29-DE9E71505D74}"/>
    <cellStyle name="Style 97 12 2 2 2" xfId="18775" xr:uid="{924A3269-38BD-422C-B139-551538078C6B}"/>
    <cellStyle name="Style 97 12 2 2 2 2" xfId="37248" xr:uid="{CB2EC822-A5B2-403F-A650-E95E6DE0D541}"/>
    <cellStyle name="Style 97 12 2 2 3" xfId="37247" xr:uid="{12A26571-E211-438A-8D09-5B3075000211}"/>
    <cellStyle name="Style 97 12 2 3" xfId="18776" xr:uid="{E07B691B-B335-47E3-8C75-D3BFC84EB266}"/>
    <cellStyle name="Style 97 12 2 3 2" xfId="18777" xr:uid="{B55C0BF1-0476-4730-9AC4-D6AFA24540F8}"/>
    <cellStyle name="Style 97 12 2 3 2 2" xfId="37250" xr:uid="{EBC4E1F8-033F-47B0-A290-091FEC46E34C}"/>
    <cellStyle name="Style 97 12 2 3 3" xfId="37249" xr:uid="{91C401B5-51B7-420C-8157-D962E2B5F926}"/>
    <cellStyle name="Style 97 12 2 4" xfId="18778" xr:uid="{6F15A67E-2D0B-4DA3-99AC-C011F4D4B985}"/>
    <cellStyle name="Style 97 12 2 4 2" xfId="18779" xr:uid="{C9CE098F-55AC-433E-87CE-24B82337258F}"/>
    <cellStyle name="Style 97 12 2 4 2 2" xfId="37252" xr:uid="{85671110-BE2D-49EA-BE67-2BCEF6EAF226}"/>
    <cellStyle name="Style 97 12 2 4 3" xfId="37251" xr:uid="{4C058ED1-C545-4FA2-ACDD-E34C75DB61D7}"/>
    <cellStyle name="Style 97 12 2 5" xfId="18780" xr:uid="{C7D4B091-9ECD-4CAD-B5EC-4B317F310E48}"/>
    <cellStyle name="Style 97 12 2 5 2" xfId="18781" xr:uid="{DC318886-E798-4E2A-B9E1-B63781052C43}"/>
    <cellStyle name="Style 97 12 2 5 2 2" xfId="37254" xr:uid="{DA94AFA6-1A21-4F46-92C2-F12BD856F118}"/>
    <cellStyle name="Style 97 12 2 5 3" xfId="37253" xr:uid="{44C04CD2-9CC0-4AC6-AFE4-747C66FE5D22}"/>
    <cellStyle name="Style 97 12 2 6" xfId="18782" xr:uid="{817FF618-A55E-4BDA-894E-89BDC2EDC60D}"/>
    <cellStyle name="Style 97 12 2 6 2" xfId="37255" xr:uid="{2BA1E074-E7A5-4B52-B7CE-C53A6F980451}"/>
    <cellStyle name="Style 97 12 2 7" xfId="18783" xr:uid="{AED58AE6-4D1B-42C2-8A0F-41493F4C7ECD}"/>
    <cellStyle name="Style 97 12 2 7 2" xfId="37256" xr:uid="{104CF171-633B-4EE4-B8C2-D040F65FA853}"/>
    <cellStyle name="Style 97 12 3" xfId="18784" xr:uid="{7E3CBF16-8163-49D7-BC05-3DD6F7F58516}"/>
    <cellStyle name="Style 97 12 3 2" xfId="18785" xr:uid="{A623A6AB-5C73-4B9F-A813-55F23FA600BC}"/>
    <cellStyle name="Style 97 12 3 2 2" xfId="18786" xr:uid="{6B508F01-6023-4C86-82FC-86F217736288}"/>
    <cellStyle name="Style 97 12 3 2 2 2" xfId="37258" xr:uid="{C2D27BAF-35C4-47BF-8641-5FA93053868D}"/>
    <cellStyle name="Style 97 12 3 2 3" xfId="37257" xr:uid="{0FE13028-5631-402E-9FA3-74A8C565B59B}"/>
    <cellStyle name="Style 97 12 3 3" xfId="18787" xr:uid="{952A6E0D-D903-4251-95A9-680224217685}"/>
    <cellStyle name="Style 97 12 3 3 2" xfId="18788" xr:uid="{0DE4F875-283C-4804-AF05-1C2FF6E75828}"/>
    <cellStyle name="Style 97 12 3 3 2 2" xfId="37260" xr:uid="{561814A3-E241-4DC6-9FE8-4EC610BEB9FE}"/>
    <cellStyle name="Style 97 12 3 3 3" xfId="37259" xr:uid="{A52B1388-D74B-44A0-97C0-B9281D927B87}"/>
    <cellStyle name="Style 97 12 3 4" xfId="18789" xr:uid="{85164847-D43F-4AA2-BD63-55F270F2578D}"/>
    <cellStyle name="Style 97 12 3 4 2" xfId="18790" xr:uid="{39F5E600-A946-4679-9F7F-95C5573F0FC0}"/>
    <cellStyle name="Style 97 12 3 4 2 2" xfId="37262" xr:uid="{9C0B3EEA-D567-48F6-B501-9235710F95CC}"/>
    <cellStyle name="Style 97 12 3 4 3" xfId="37261" xr:uid="{BF2C4E1E-D54E-40B7-9E9B-D749AAEDECA8}"/>
    <cellStyle name="Style 97 12 3 5" xfId="18791" xr:uid="{648F00D9-E45D-481F-9897-D357D31298D3}"/>
    <cellStyle name="Style 97 12 3 5 2" xfId="18792" xr:uid="{DE95458B-38A6-4DD7-9EC0-046258D1EB51}"/>
    <cellStyle name="Style 97 12 3 5 2 2" xfId="37264" xr:uid="{60729BEC-B894-4ABC-B071-D7E8209E4F4B}"/>
    <cellStyle name="Style 97 12 3 5 3" xfId="37263" xr:uid="{D7471DF1-FAAF-4DB3-A9C4-79559EB64B5A}"/>
    <cellStyle name="Style 97 12 3 6" xfId="18793" xr:uid="{354F287B-A38C-4B03-A589-07BCC2E1A28C}"/>
    <cellStyle name="Style 97 12 3 6 2" xfId="37265" xr:uid="{F2DAC6BB-3032-4BD0-8EAA-848CB14627B5}"/>
    <cellStyle name="Style 97 12 3 7" xfId="18794" xr:uid="{C24DE12E-53C9-473B-A060-1433FDDC406F}"/>
    <cellStyle name="Style 97 12 3 7 2" xfId="37266" xr:uid="{D79E47EA-5648-4EB9-80AC-4C481B1C6A85}"/>
    <cellStyle name="Style 97 12 3 8" xfId="28182" xr:uid="{B6E03BEA-A420-4D2C-A32C-47CA8BD65E2D}"/>
    <cellStyle name="Style 97 12 4" xfId="18795" xr:uid="{359DAA2E-6FD8-41D8-A2AA-A59A12B1B69D}"/>
    <cellStyle name="Style 97 12 4 2" xfId="18796" xr:uid="{DB6C99AD-856E-4449-8E71-55520E2B451D}"/>
    <cellStyle name="Style 97 12 4 2 2" xfId="37268" xr:uid="{09F842C0-159E-40C3-9415-3B304CCAF9CE}"/>
    <cellStyle name="Style 97 12 4 3" xfId="37267" xr:uid="{3464C376-FD17-4DA7-BD38-71BE5AAE34D0}"/>
    <cellStyle name="Style 97 12 5" xfId="18797" xr:uid="{19C25029-5EFB-42BB-B40E-EC47483BACBF}"/>
    <cellStyle name="Style 97 12 5 2" xfId="18798" xr:uid="{C5FB2170-3DA5-40FA-B35C-FC34025E2C07}"/>
    <cellStyle name="Style 97 12 5 2 2" xfId="37270" xr:uid="{F053338D-ACC3-49B2-869A-3678FE495639}"/>
    <cellStyle name="Style 97 12 5 3" xfId="37269" xr:uid="{79002B54-2C18-4478-A9C9-E04D0879DFB2}"/>
    <cellStyle name="Style 97 12 6" xfId="18799" xr:uid="{68B876D4-9B7A-45B1-93F3-108F48628FBD}"/>
    <cellStyle name="Style 97 12 6 2" xfId="18800" xr:uid="{1BBBE97F-242F-488B-9DF5-F8B19B5F77CD}"/>
    <cellStyle name="Style 97 12 6 2 2" xfId="37272" xr:uid="{8FB3047D-2A47-4560-A067-C3ECEE72D60B}"/>
    <cellStyle name="Style 97 12 6 3" xfId="37271" xr:uid="{0816FB83-1C40-493D-A23E-B9A498C2CB64}"/>
    <cellStyle name="Style 97 12 7" xfId="18801" xr:uid="{91749518-58DF-4C53-9248-50FE5861B3FD}"/>
    <cellStyle name="Style 97 12 7 2" xfId="18802" xr:uid="{EF32F752-F624-4B4A-B79D-4A227B674572}"/>
    <cellStyle name="Style 97 12 7 2 2" xfId="37274" xr:uid="{04CFD2B5-8B0C-4435-A2EA-324C1C95058E}"/>
    <cellStyle name="Style 97 12 7 3" xfId="37273" xr:uid="{B00BDFB0-7845-4F85-AD46-DFB6EEA46D80}"/>
    <cellStyle name="Style 97 12 8" xfId="18803" xr:uid="{F5809D0F-1368-4202-97A4-DC04A7930A58}"/>
    <cellStyle name="Style 97 12 8 2" xfId="18804" xr:uid="{1B007C78-6455-453F-B20E-C0629F554591}"/>
    <cellStyle name="Style 97 12 8 2 2" xfId="37276" xr:uid="{4435F3BC-2D12-44F0-94BD-82D067B24452}"/>
    <cellStyle name="Style 97 12 8 3" xfId="37275" xr:uid="{AB7E9BF9-08F0-445C-8A56-7A12CBEF75C0}"/>
    <cellStyle name="Style 97 12 9" xfId="18805" xr:uid="{850206F9-BCFE-413D-B3C2-ACD289A5A52A}"/>
    <cellStyle name="Style 97 12 9 2" xfId="37277" xr:uid="{81FC9251-A0A1-40F3-88F9-A999A4C00445}"/>
    <cellStyle name="Style 97 13" xfId="7691" xr:uid="{C737FFA0-5987-44C7-BAB8-4CB5A6001142}"/>
    <cellStyle name="Style 97 13 2" xfId="18806" xr:uid="{F7A3B970-AA74-4CA9-91B1-002C6957F288}"/>
    <cellStyle name="Style 97 13 2 2" xfId="18807" xr:uid="{71B62D8E-55FA-49A3-9CCA-FDEF5DC41A3D}"/>
    <cellStyle name="Style 97 13 2 2 2" xfId="37279" xr:uid="{3003E165-E4FD-419C-87BE-BF8AD09A1F10}"/>
    <cellStyle name="Style 97 13 2 3" xfId="37278" xr:uid="{0F05DE01-8E20-40D1-BCF8-FC517F50F520}"/>
    <cellStyle name="Style 97 13 3" xfId="18808" xr:uid="{C0B4624C-2EFF-44A4-9AFE-E2981A492B83}"/>
    <cellStyle name="Style 97 13 3 2" xfId="18809" xr:uid="{54A8E310-21EB-485D-90DE-4014B3FD37FF}"/>
    <cellStyle name="Style 97 13 3 2 2" xfId="37281" xr:uid="{F24E0455-E1B7-4A27-9E2A-F6787234AEA8}"/>
    <cellStyle name="Style 97 13 3 3" xfId="37280" xr:uid="{260EDE7E-A7B9-4C61-A8E5-A264DBF5FEFE}"/>
    <cellStyle name="Style 97 13 4" xfId="18810" xr:uid="{79258201-EBE9-43A1-A2DF-93A8851ED21A}"/>
    <cellStyle name="Style 97 13 4 2" xfId="18811" xr:uid="{D2AF001E-6325-444B-B6B8-62CCEB959C26}"/>
    <cellStyle name="Style 97 13 4 2 2" xfId="37283" xr:uid="{3CA08C1D-7C8B-4946-8040-CB3EFC5D2EF9}"/>
    <cellStyle name="Style 97 13 4 3" xfId="37282" xr:uid="{0F6C58F5-0FAA-467E-826E-9E9B60B329A1}"/>
    <cellStyle name="Style 97 13 5" xfId="18812" xr:uid="{B9B3D93A-4C2F-458F-BE27-5B0DB0BE005F}"/>
    <cellStyle name="Style 97 13 5 2" xfId="18813" xr:uid="{5DC2D37C-4B54-45FC-9F60-F0F4338DDB0C}"/>
    <cellStyle name="Style 97 13 5 2 2" xfId="37285" xr:uid="{98319FCA-3E7A-4743-A3FE-FEDBAEF101E7}"/>
    <cellStyle name="Style 97 13 5 3" xfId="37284" xr:uid="{6BB6B0A4-410F-47EE-A9C0-55662E75135F}"/>
    <cellStyle name="Style 97 13 6" xfId="18814" xr:uid="{1C7D9233-4DEC-4B2F-9E89-B3092A1AD8C3}"/>
    <cellStyle name="Style 97 13 6 2" xfId="37286" xr:uid="{F8DEC8E0-AB05-4B2D-B0F5-54D0C3DC2D3B}"/>
    <cellStyle name="Style 97 13 7" xfId="18815" xr:uid="{0AD1EE57-2764-41D9-8D09-97A218F72CF5}"/>
    <cellStyle name="Style 97 13 7 2" xfId="37287" xr:uid="{D5F52AFF-3ECC-4F9A-AECD-56616BE99247}"/>
    <cellStyle name="Style 97 14" xfId="7683" xr:uid="{36F9379E-63C0-43F8-92CE-95CA34E2B274}"/>
    <cellStyle name="Style 97 14 2" xfId="18816" xr:uid="{562682FC-1F37-45E8-A174-1C3046D1A3CD}"/>
    <cellStyle name="Style 97 14 2 2" xfId="18817" xr:uid="{3778A47A-769A-4DC0-887C-3AB5F6276679}"/>
    <cellStyle name="Style 97 14 2 2 2" xfId="37289" xr:uid="{2074CA15-0853-42EC-B65E-310058220AB1}"/>
    <cellStyle name="Style 97 14 2 3" xfId="37288" xr:uid="{2C6CE4F0-9F1A-4CAB-B3FB-D56B658FCB4E}"/>
    <cellStyle name="Style 97 14 3" xfId="18818" xr:uid="{289F11AD-2562-4BFA-AF69-9E5DF7B16450}"/>
    <cellStyle name="Style 97 14 3 2" xfId="18819" xr:uid="{A55EE7D4-840C-4D5D-B6FF-CDB7447B0D86}"/>
    <cellStyle name="Style 97 14 3 2 2" xfId="37291" xr:uid="{9442F4E6-074A-4010-B11D-0AA86A4D97AA}"/>
    <cellStyle name="Style 97 14 3 3" xfId="37290" xr:uid="{4233764D-A9DE-4201-AB5A-177CF81005A2}"/>
    <cellStyle name="Style 97 14 4" xfId="18820" xr:uid="{6CD9DDE6-3539-49C8-917B-15D301437EC6}"/>
    <cellStyle name="Style 97 14 4 2" xfId="18821" xr:uid="{A175648E-A156-4F98-BF3F-A01F27744E1C}"/>
    <cellStyle name="Style 97 14 4 2 2" xfId="37293" xr:uid="{8C1A9CC2-B5BF-4721-BFB0-E8B0761A5406}"/>
    <cellStyle name="Style 97 14 4 3" xfId="37292" xr:uid="{13D51F66-6485-4711-933A-38AE2C085C82}"/>
    <cellStyle name="Style 97 14 5" xfId="18822" xr:uid="{2CCBA70C-CD23-479C-B805-D5B360834632}"/>
    <cellStyle name="Style 97 14 5 2" xfId="18823" xr:uid="{945B7257-8874-4D5E-8852-399D6303CA7C}"/>
    <cellStyle name="Style 97 14 5 2 2" xfId="37295" xr:uid="{F716E28B-AD9A-4461-9E54-6C97C7C25C27}"/>
    <cellStyle name="Style 97 14 5 3" xfId="37294" xr:uid="{F1B015A5-34DA-45C2-A304-6B591EAF4D76}"/>
    <cellStyle name="Style 97 14 6" xfId="18824" xr:uid="{3443C1AB-34FD-4CC1-AF64-9D71E77D273B}"/>
    <cellStyle name="Style 97 14 6 2" xfId="37296" xr:uid="{39413144-76F0-494D-BB82-EDFEDB15E6A6}"/>
    <cellStyle name="Style 97 14 7" xfId="18825" xr:uid="{B8619EFC-9669-48F2-9CBA-FD0D46D5544D}"/>
    <cellStyle name="Style 97 14 7 2" xfId="37297" xr:uid="{EED67A38-604C-402D-A130-EA07E9C102A7}"/>
    <cellStyle name="Style 97 15" xfId="18826" xr:uid="{2592D5EC-9C97-4852-8789-EF8D560F3B7B}"/>
    <cellStyle name="Style 97 15 2" xfId="18827" xr:uid="{8C139545-DEFA-443E-B484-D855D3D41C48}"/>
    <cellStyle name="Style 97 15 2 2" xfId="37298" xr:uid="{1D37345F-ECF9-4F3D-8815-E7CAF4239F97}"/>
    <cellStyle name="Style 97 15 3" xfId="18828" xr:uid="{104BB870-B2B3-4FD0-881F-39285FE98892}"/>
    <cellStyle name="Style 97 15 3 2" xfId="37299" xr:uid="{060DC3A4-7801-41A0-A770-A4FE7941CD1F}"/>
    <cellStyle name="Style 97 15 4" xfId="26727" xr:uid="{2C6570F8-B2F3-49FB-A7DC-1F403C43270B}"/>
    <cellStyle name="Style 97 16" xfId="18829" xr:uid="{FDB0E751-6A1F-4366-B33A-69D64F40D16C}"/>
    <cellStyle name="Style 97 16 2" xfId="18830" xr:uid="{27B2F1E5-4B24-467C-B921-394DDBAB8C2C}"/>
    <cellStyle name="Style 97 16 2 2" xfId="37301" xr:uid="{45FB581D-1BB4-4466-A549-0E8E52DB6D74}"/>
    <cellStyle name="Style 97 16 3" xfId="37300" xr:uid="{5FE5E229-3ED6-4669-A662-B66538D2B054}"/>
    <cellStyle name="Style 97 17" xfId="18831" xr:uid="{91B63BA1-8771-4B05-875F-319DE820FFEB}"/>
    <cellStyle name="Style 97 17 2" xfId="18832" xr:uid="{F7D337FC-E944-46C0-99E4-17E3BCB8D846}"/>
    <cellStyle name="Style 97 17 2 2" xfId="37303" xr:uid="{6777700C-58D0-4804-8D9A-DB0A63F538AC}"/>
    <cellStyle name="Style 97 17 3" xfId="37302" xr:uid="{215B7F68-208B-492B-A96D-7F55F3DEF502}"/>
    <cellStyle name="Style 97 18" xfId="18833" xr:uid="{EC9FD038-E32E-4F8D-9A4C-D3BE65701753}"/>
    <cellStyle name="Style 97 18 2" xfId="18834" xr:uid="{29E43ABC-3712-4B8E-B5F1-46A7C74A3074}"/>
    <cellStyle name="Style 97 18 2 2" xfId="37305" xr:uid="{484E9173-FD2B-48E5-AC89-7B84EF50D932}"/>
    <cellStyle name="Style 97 18 3" xfId="37304" xr:uid="{E755EB1E-97C2-4E14-A6CF-4B9C6C4D581E}"/>
    <cellStyle name="Style 97 19" xfId="18835" xr:uid="{D6E702C4-DF25-4515-BDEC-2BEE35208671}"/>
    <cellStyle name="Style 97 19 2" xfId="18836" xr:uid="{45502A70-4CBF-48B4-AD5D-2CB87DD87936}"/>
    <cellStyle name="Style 97 19 2 2" xfId="37307" xr:uid="{0F1E3854-FFAF-4790-9C48-6EE8D4B7E022}"/>
    <cellStyle name="Style 97 19 3" xfId="37306" xr:uid="{0397CE55-FEA2-4AC1-A3B4-929886A6C352}"/>
    <cellStyle name="Style 97 2" xfId="3801" xr:uid="{1721AD2D-68F2-4706-8034-14E71FCC3D88}"/>
    <cellStyle name="Style 97 2 10" xfId="18837" xr:uid="{2B534DC7-CF14-4F83-A493-5EFCA52C6FFB}"/>
    <cellStyle name="Style 97 2 10 2" xfId="37308" xr:uid="{546805F4-64EC-43B1-B1FA-051B0465CF29}"/>
    <cellStyle name="Style 97 2 11" xfId="24250" xr:uid="{0D1CAC3D-AE97-484C-9109-8096BA7C65AC}"/>
    <cellStyle name="Style 97 2 2" xfId="7693" xr:uid="{4B139E87-72AF-4C53-8B97-A332E137410D}"/>
    <cellStyle name="Style 97 2 2 2" xfId="18838" xr:uid="{753C95C7-D40E-405D-881A-60929948E264}"/>
    <cellStyle name="Style 97 2 2 2 2" xfId="37309" xr:uid="{5C820C19-E84A-4DD5-9D0A-BF9EFD6890EF}"/>
    <cellStyle name="Style 97 2 2 3" xfId="18839" xr:uid="{0F9CB9EA-DB89-4BE8-8C12-80CA82B7AD30}"/>
    <cellStyle name="Style 97 2 2 3 2" xfId="37310" xr:uid="{60E801B8-D1E7-4116-86EF-8CCDA56DBFBE}"/>
    <cellStyle name="Style 97 2 2 4" xfId="18840" xr:uid="{1523A876-F3DA-4B2A-8DD7-7859FE8B7B18}"/>
    <cellStyle name="Style 97 2 2 4 2" xfId="37311" xr:uid="{EED0C4E3-C078-4E65-8DC6-4BC87E04C245}"/>
    <cellStyle name="Style 97 2 3" xfId="7692" xr:uid="{A6EDB126-253C-404F-A03F-02F51ECCAC64}"/>
    <cellStyle name="Style 97 2 3 2" xfId="18841" xr:uid="{631E0B83-FB38-4439-AE46-D0E822179C41}"/>
    <cellStyle name="Style 97 2 3 2 2" xfId="37312" xr:uid="{D4619AB3-0324-481C-8268-80858B5DCB6C}"/>
    <cellStyle name="Style 97 2 3 3" xfId="18842" xr:uid="{9F9D27EC-59E5-4AA0-9933-97086CF9DEEA}"/>
    <cellStyle name="Style 97 2 3 3 2" xfId="37313" xr:uid="{76D55BEB-84F9-498C-BFD5-810F1A0D39F2}"/>
    <cellStyle name="Style 97 2 4" xfId="4455" xr:uid="{F325C18B-031C-458A-98B3-23701ADC0EAD}"/>
    <cellStyle name="Style 97 2 4 2" xfId="18843" xr:uid="{21C2EFCD-0BC0-4DB8-8414-1BC2705422AC}"/>
    <cellStyle name="Style 97 2 4 2 2" xfId="37314" xr:uid="{E422C766-28E8-4FAB-AB42-52BA0F47037C}"/>
    <cellStyle name="Style 97 2 4 3" xfId="18844" xr:uid="{E6CCDDA5-78C3-4378-89E3-96B624F84D38}"/>
    <cellStyle name="Style 97 2 4 3 2" xfId="37315" xr:uid="{9C51A634-6CF9-48F8-9434-C85069AF8917}"/>
    <cellStyle name="Style 97 2 4 4" xfId="26728" xr:uid="{EBFD3470-911F-49B1-B149-24A7DBF86F3C}"/>
    <cellStyle name="Style 97 2 5" xfId="18845" xr:uid="{CE54E508-5BC6-41E2-977E-DED7D27190D4}"/>
    <cellStyle name="Style 97 2 5 2" xfId="18846" xr:uid="{DBFAEDFD-1557-4365-9F96-9A7CB205ED30}"/>
    <cellStyle name="Style 97 2 5 2 2" xfId="37317" xr:uid="{636C3261-7BAC-41ED-A5A2-F712619002A2}"/>
    <cellStyle name="Style 97 2 5 3" xfId="37316" xr:uid="{E2DA7198-914B-496A-8971-DF033DADA1C6}"/>
    <cellStyle name="Style 97 2 6" xfId="18847" xr:uid="{2C01C6C4-3D5E-4062-9E34-5B2D9412AA9B}"/>
    <cellStyle name="Style 97 2 6 2" xfId="18848" xr:uid="{7E35DE24-C263-458D-A87F-7392744389BA}"/>
    <cellStyle name="Style 97 2 6 2 2" xfId="37319" xr:uid="{54BE4A46-0644-4010-8BCC-2503C7D0796A}"/>
    <cellStyle name="Style 97 2 6 3" xfId="37318" xr:uid="{37CB7F5D-09F9-4306-9DD2-1466956A9187}"/>
    <cellStyle name="Style 97 2 7" xfId="18849" xr:uid="{1FF0B3A6-D55A-4A3E-A6CF-20F6C1E15BE3}"/>
    <cellStyle name="Style 97 2 7 2" xfId="18850" xr:uid="{D2ECBB0F-A6AB-444A-8F68-48C314734A2D}"/>
    <cellStyle name="Style 97 2 7 2 2" xfId="37321" xr:uid="{C6315543-BDAC-4D74-87E3-0950EABE8BAA}"/>
    <cellStyle name="Style 97 2 7 3" xfId="37320" xr:uid="{FFF8F188-DAD8-4D72-865B-3BBBDD43A5C8}"/>
    <cellStyle name="Style 97 2 8" xfId="18851" xr:uid="{12CE1EA8-F8CC-4FA5-9FE4-770993A2B6F8}"/>
    <cellStyle name="Style 97 2 8 2" xfId="37322" xr:uid="{80D6473D-E448-4CF3-AF4B-ACB3F9035101}"/>
    <cellStyle name="Style 97 2 9" xfId="18852" xr:uid="{54D4D075-E781-4300-B8CC-A6C340D8B614}"/>
    <cellStyle name="Style 97 2 9 2" xfId="37323" xr:uid="{D6ED2DDE-6B22-4B69-BBF8-3E68AA219290}"/>
    <cellStyle name="Style 97 20" xfId="18853" xr:uid="{FE62F66D-DEB6-42B7-8775-AA4699F36CF9}"/>
    <cellStyle name="Style 97 20 2" xfId="18854" xr:uid="{9DF90833-3D2F-4279-9D81-EBFD7454EE04}"/>
    <cellStyle name="Style 97 20 2 2" xfId="37325" xr:uid="{67A19D46-D1AD-43A6-A365-BDACA8A598B2}"/>
    <cellStyle name="Style 97 20 3" xfId="37324" xr:uid="{3C732419-1192-42FA-8E6B-011AFD976A1D}"/>
    <cellStyle name="Style 97 21" xfId="18855" xr:uid="{F268E0EB-A57E-40AC-9BF5-9F0A26B2827C}"/>
    <cellStyle name="Style 97 21 2" xfId="37326" xr:uid="{B0FCD591-882E-42E0-9BFC-CEECDE329F38}"/>
    <cellStyle name="Style 97 22" xfId="18856" xr:uid="{A6A884D6-0D97-43E3-B9F0-8EBB23BC4ABE}"/>
    <cellStyle name="Style 97 22 2" xfId="37327" xr:uid="{10B9A3E8-F947-45EB-922E-2036C1A1DF0F}"/>
    <cellStyle name="Style 97 23" xfId="18857" xr:uid="{16A04789-FE71-4A52-8D6C-7D61D823C247}"/>
    <cellStyle name="Style 97 23 2" xfId="37328" xr:uid="{687A4722-2CA5-4E6C-AB7B-5F96B6A6F554}"/>
    <cellStyle name="Style 97 24" xfId="24247" xr:uid="{9520353A-1E60-4AEA-9BD3-1AAEB358F949}"/>
    <cellStyle name="Style 97 3" xfId="3802" xr:uid="{6F2B6C2D-26AF-4ED7-B87F-644F24643712}"/>
    <cellStyle name="Style 97 3 10" xfId="18858" xr:uid="{F31AD8B3-7E65-435D-BF54-894AD438F743}"/>
    <cellStyle name="Style 97 3 10 2" xfId="18859" xr:uid="{D775E3E6-83F5-467E-BC71-467AE0CC9A7D}"/>
    <cellStyle name="Style 97 3 10 2 2" xfId="37330" xr:uid="{7E2C23BD-8133-4809-A588-A863AFE2AB5D}"/>
    <cellStyle name="Style 97 3 10 3" xfId="37329" xr:uid="{8F7C6311-1746-4367-8A56-09E8A718B39F}"/>
    <cellStyle name="Style 97 3 11" xfId="18860" xr:uid="{187324EB-4EC4-46A1-A0C9-5E96FBA7D93A}"/>
    <cellStyle name="Style 97 3 11 2" xfId="37331" xr:uid="{05DD4120-5F11-4FD9-931F-45218550E7B6}"/>
    <cellStyle name="Style 97 3 12" xfId="18861" xr:uid="{91B186E6-42AD-4071-B346-6FD5028F1CA1}"/>
    <cellStyle name="Style 97 3 12 2" xfId="37332" xr:uid="{0103A8F3-D411-414C-BD39-76D75848B542}"/>
    <cellStyle name="Style 97 3 13" xfId="18862" xr:uid="{884D442D-9315-4958-B5B2-7E9FDE8930FB}"/>
    <cellStyle name="Style 97 3 13 2" xfId="37333" xr:uid="{7E0A3C4C-9EDF-4647-9D03-B64E562C0F16}"/>
    <cellStyle name="Style 97 3 14" xfId="24251" xr:uid="{CD4827A1-CE6C-4487-B358-9E485A607BE9}"/>
    <cellStyle name="Style 97 3 2" xfId="3803" xr:uid="{0BA6E820-43EC-45E2-9F94-161EC41D1DBF}"/>
    <cellStyle name="Style 97 3 2 10" xfId="18863" xr:uid="{8BDEE272-3087-4D3D-A38D-4FE4BB1B3860}"/>
    <cellStyle name="Style 97 3 2 10 2" xfId="37334" xr:uid="{7795C1D3-F1F7-4624-A63A-7457BAA7E2A7}"/>
    <cellStyle name="Style 97 3 2 11" xfId="24252" xr:uid="{15E266CC-B99C-4EFA-9508-9737335A1549}"/>
    <cellStyle name="Style 97 3 2 2" xfId="3804" xr:uid="{B01D423C-E40A-40E3-8DCF-A8C6B317091F}"/>
    <cellStyle name="Style 97 3 2 2 10" xfId="24253" xr:uid="{E569E302-7A24-4AAA-965A-B49EE66F4CE9}"/>
    <cellStyle name="Style 97 3 2 2 2" xfId="7697" xr:uid="{FC27B1D5-0FB5-4DF0-AB3F-92B5665A4885}"/>
    <cellStyle name="Style 97 3 2 2 2 2" xfId="18864" xr:uid="{84324C97-25F5-44D4-8926-E82E052B2483}"/>
    <cellStyle name="Style 97 3 2 2 2 2 2" xfId="37335" xr:uid="{844D9CAE-6437-4838-AC00-6559FFAF22E6}"/>
    <cellStyle name="Style 97 3 2 2 2 3" xfId="18865" xr:uid="{DE283C94-9A8B-4031-98C0-8AC60E39C505}"/>
    <cellStyle name="Style 97 3 2 2 2 3 2" xfId="37336" xr:uid="{F138E4C4-AB8E-4C5F-A2A4-756B8F3ED0FA}"/>
    <cellStyle name="Style 97 3 2 2 2 4" xfId="18866" xr:uid="{4E72AFA3-2835-4196-B6C9-DFB256B43CCC}"/>
    <cellStyle name="Style 97 3 2 2 2 4 2" xfId="37337" xr:uid="{020B4E20-1675-463F-BE0B-9E3B2CF54C69}"/>
    <cellStyle name="Style 97 3 2 2 3" xfId="7696" xr:uid="{B9A77FA3-67BB-4FAD-80D6-C0E777A02D3D}"/>
    <cellStyle name="Style 97 3 2 2 3 2" xfId="18867" xr:uid="{1E710E8D-006D-4966-8FF0-E8E77054A10D}"/>
    <cellStyle name="Style 97 3 2 2 3 2 2" xfId="37338" xr:uid="{772684B1-8849-4D6A-9DED-058FBCFFBF78}"/>
    <cellStyle name="Style 97 3 2 2 3 3" xfId="18868" xr:uid="{6AEF607F-D44C-449B-90E1-98AE256FDDC5}"/>
    <cellStyle name="Style 97 3 2 2 3 3 2" xfId="37339" xr:uid="{D896AF0E-F2C0-4E27-9482-B86F26D13337}"/>
    <cellStyle name="Style 97 3 2 2 4" xfId="18869" xr:uid="{DC62CB31-1DBD-4DDB-BB3D-3DF38DD42A4A}"/>
    <cellStyle name="Style 97 3 2 2 4 2" xfId="18870" xr:uid="{98CE441D-BC24-446D-9239-EAB0757398A5}"/>
    <cellStyle name="Style 97 3 2 2 4 2 2" xfId="37340" xr:uid="{58BC007B-D85A-4BD3-AEAC-878FA4941BD9}"/>
    <cellStyle name="Style 97 3 2 2 4 3" xfId="18871" xr:uid="{67887D03-05B2-4A03-84E0-473DB9F61F40}"/>
    <cellStyle name="Style 97 3 2 2 4 3 2" xfId="37341" xr:uid="{DF2BB442-0B6F-4EEF-9132-5A2D327BC13E}"/>
    <cellStyle name="Style 97 3 2 2 4 4" xfId="28183" xr:uid="{444960E9-0366-430D-BC74-CAF3CB46DE49}"/>
    <cellStyle name="Style 97 3 2 2 5" xfId="18872" xr:uid="{E1B17173-CD98-47B7-A6FD-EE617043A0B7}"/>
    <cellStyle name="Style 97 3 2 2 5 2" xfId="18873" xr:uid="{ABF3660A-0280-4BEB-AF5C-0667C69AB5A0}"/>
    <cellStyle name="Style 97 3 2 2 5 2 2" xfId="37343" xr:uid="{39710847-F77C-4CBD-BE85-7B08A097840C}"/>
    <cellStyle name="Style 97 3 2 2 5 3" xfId="37342" xr:uid="{591C4BEB-EEF1-4158-B2AE-D9B937141794}"/>
    <cellStyle name="Style 97 3 2 2 6" xfId="18874" xr:uid="{7C7B807C-C019-4EA8-A93C-40AA2EEB4320}"/>
    <cellStyle name="Style 97 3 2 2 6 2" xfId="18875" xr:uid="{8DC2071D-8857-458D-86DA-C98DEB499D4F}"/>
    <cellStyle name="Style 97 3 2 2 6 2 2" xfId="37345" xr:uid="{829E13FE-F1B1-498B-8F71-C7B90BADF0A1}"/>
    <cellStyle name="Style 97 3 2 2 6 3" xfId="37344" xr:uid="{74F69776-1727-4D68-BC1B-E813DDF5CF1B}"/>
    <cellStyle name="Style 97 3 2 2 7" xfId="18876" xr:uid="{57752D8C-0271-4846-8EEE-D48AE41B7904}"/>
    <cellStyle name="Style 97 3 2 2 7 2" xfId="18877" xr:uid="{13B488E0-A4B1-4435-994B-9BA5D731DEE0}"/>
    <cellStyle name="Style 97 3 2 2 7 2 2" xfId="37347" xr:uid="{4D73039C-67B8-4CE8-8A40-53F5141DBAD7}"/>
    <cellStyle name="Style 97 3 2 2 7 3" xfId="37346" xr:uid="{3B6F322A-3222-41D0-8151-4B674E5F3060}"/>
    <cellStyle name="Style 97 3 2 2 8" xfId="18878" xr:uid="{2E553B22-F935-478C-BB50-D92724DC4ED8}"/>
    <cellStyle name="Style 97 3 2 2 8 2" xfId="37348" xr:uid="{7AB3654A-58D9-4D87-8CBE-83014FDB8E53}"/>
    <cellStyle name="Style 97 3 2 2 9" xfId="18879" xr:uid="{182B7379-4065-463F-ACEB-164AB5925915}"/>
    <cellStyle name="Style 97 3 2 2 9 2" xfId="37349" xr:uid="{CAFFC672-06B8-4D2D-87AA-4255226CF824}"/>
    <cellStyle name="Style 97 3 2 3" xfId="7698" xr:uid="{B69C324B-57AE-403B-B555-70C3963A3D7C}"/>
    <cellStyle name="Style 97 3 2 3 2" xfId="18880" xr:uid="{F95E0312-30EA-4789-A81C-A4E3A419FB66}"/>
    <cellStyle name="Style 97 3 2 3 2 2" xfId="37350" xr:uid="{38C9C9F6-8FE6-4E59-B428-CDDDF4ED17EB}"/>
    <cellStyle name="Style 97 3 2 3 3" xfId="18881" xr:uid="{2C0BFE25-C5B4-4E46-AC0A-EA8EB27F5A8F}"/>
    <cellStyle name="Style 97 3 2 3 3 2" xfId="37351" xr:uid="{ED227C50-80D0-4FDB-8E40-44F81B89C11F}"/>
    <cellStyle name="Style 97 3 2 3 4" xfId="18882" xr:uid="{9A080CDC-F63A-4CC5-A5D1-0B39487AA27F}"/>
    <cellStyle name="Style 97 3 2 3 4 2" xfId="37352" xr:uid="{10291276-DA95-416B-85B5-BCAA77BE7E0F}"/>
    <cellStyle name="Style 97 3 2 4" xfId="7695" xr:uid="{2C372F06-6CEE-4A08-83E1-788A5BB8AB23}"/>
    <cellStyle name="Style 97 3 2 4 2" xfId="18883" xr:uid="{03227533-4A45-4B34-800B-1EB8D6BF09B0}"/>
    <cellStyle name="Style 97 3 2 4 2 2" xfId="37353" xr:uid="{75EEC5DE-54B8-4BC3-AEEA-39C436CBE3C3}"/>
    <cellStyle name="Style 97 3 2 4 3" xfId="18884" xr:uid="{907D6026-C8E9-410B-8B6E-FDA1A0A066DA}"/>
    <cellStyle name="Style 97 3 2 4 3 2" xfId="37354" xr:uid="{70DCD07A-9C95-4D73-A950-B4A45996F2C7}"/>
    <cellStyle name="Style 97 3 2 5" xfId="4457" xr:uid="{0A477F79-69F6-4A48-ADBB-962269D36985}"/>
    <cellStyle name="Style 97 3 2 5 2" xfId="18885" xr:uid="{2C2C6598-CD10-4051-92BE-0E59388E6B7A}"/>
    <cellStyle name="Style 97 3 2 5 2 2" xfId="37355" xr:uid="{99870A5C-252A-4B8C-B9DF-0AD5C99E22CE}"/>
    <cellStyle name="Style 97 3 2 5 3" xfId="18886" xr:uid="{B608ACE1-1B4E-4999-B382-846163692759}"/>
    <cellStyle name="Style 97 3 2 5 3 2" xfId="37356" xr:uid="{A89C2D40-E693-4FC0-804B-2D8493B5C380}"/>
    <cellStyle name="Style 97 3 2 5 4" xfId="26730" xr:uid="{37AF6277-8162-491A-82D4-703E18F3DAE5}"/>
    <cellStyle name="Style 97 3 2 6" xfId="18887" xr:uid="{4789A735-70E3-4A1F-8B63-2AE56834D55E}"/>
    <cellStyle name="Style 97 3 2 6 2" xfId="18888" xr:uid="{7E844C8A-6416-4412-B983-F6EB1DA8C929}"/>
    <cellStyle name="Style 97 3 2 6 2 2" xfId="37358" xr:uid="{5CC2F884-F13C-46F4-AA33-7C230B1080FE}"/>
    <cellStyle name="Style 97 3 2 6 3" xfId="37357" xr:uid="{E5B3A2FF-A86C-473E-8E86-6EC11952E6AD}"/>
    <cellStyle name="Style 97 3 2 7" xfId="18889" xr:uid="{3BF9CB07-7F22-4230-BDEA-30AC96F9F35C}"/>
    <cellStyle name="Style 97 3 2 7 2" xfId="18890" xr:uid="{4540A4E6-CA41-49DE-B149-9ED9E6C589AA}"/>
    <cellStyle name="Style 97 3 2 7 2 2" xfId="37360" xr:uid="{0EE78C25-BD4C-4E7C-A00D-7800D3953D98}"/>
    <cellStyle name="Style 97 3 2 7 3" xfId="37359" xr:uid="{90F13A14-B3DC-4CBB-B8B7-3EAAFB2C2313}"/>
    <cellStyle name="Style 97 3 2 8" xfId="18891" xr:uid="{1F32C128-0F58-4EFD-8DD5-521B8274F721}"/>
    <cellStyle name="Style 97 3 2 8 2" xfId="18892" xr:uid="{A7E6043C-2CAE-4BFB-A86F-5681F65D0F1A}"/>
    <cellStyle name="Style 97 3 2 8 2 2" xfId="37362" xr:uid="{693D977C-97F4-4D55-B425-81E4A355C291}"/>
    <cellStyle name="Style 97 3 2 8 3" xfId="37361" xr:uid="{BCB17A2C-FC9A-4E94-B502-145AFF89393D}"/>
    <cellStyle name="Style 97 3 2 9" xfId="18893" xr:uid="{58DE0D42-7A9C-4D03-B9C4-89FDB339FCD2}"/>
    <cellStyle name="Style 97 3 2 9 2" xfId="37363" xr:uid="{DC7D1D5B-76D2-449C-8631-5480219541C9}"/>
    <cellStyle name="Style 97 3 3" xfId="3805" xr:uid="{A60A2ED9-7376-48C8-9FF5-D8D106034623}"/>
    <cellStyle name="Style 97 3 3 10" xfId="18894" xr:uid="{3FE7D57C-EC69-49D9-B9E6-08F52D9D57E2}"/>
    <cellStyle name="Style 97 3 3 10 2" xfId="18895" xr:uid="{C511B58C-A55A-46CF-9955-1F07881E560C}"/>
    <cellStyle name="Style 97 3 3 10 2 2" xfId="37365" xr:uid="{F4E6B35F-C987-46A0-8FA5-2A7CE3C6DDFB}"/>
    <cellStyle name="Style 97 3 3 10 3" xfId="37364" xr:uid="{5DC2470C-B607-4EA3-8AA1-204CDB2E9C27}"/>
    <cellStyle name="Style 97 3 3 11" xfId="18896" xr:uid="{2C5AF344-0396-44CE-8E52-A709E25C2321}"/>
    <cellStyle name="Style 97 3 3 11 2" xfId="37366" xr:uid="{622454F5-AA4C-4640-A31D-507A51580A26}"/>
    <cellStyle name="Style 97 3 3 12" xfId="18897" xr:uid="{761C691D-004F-4871-97E9-E5B4DECA3687}"/>
    <cellStyle name="Style 97 3 3 12 2" xfId="37367" xr:uid="{6EA263F9-1E9C-4EBC-95C8-47AA28C7E5E7}"/>
    <cellStyle name="Style 97 3 3 13" xfId="24254" xr:uid="{1A91B721-8F36-4EB0-9E44-2AFE688F5439}"/>
    <cellStyle name="Style 97 3 3 2" xfId="3806" xr:uid="{07183B96-1598-47A0-AC26-2A9584E5736D}"/>
    <cellStyle name="Style 97 3 3 2 10" xfId="24255" xr:uid="{CC82DEEA-F2B3-49AE-8C7A-5A248CFBDCF5}"/>
    <cellStyle name="Style 97 3 3 2 2" xfId="7701" xr:uid="{8D5A5A30-BDE8-4D9C-BB11-F40D1F3AF197}"/>
    <cellStyle name="Style 97 3 3 2 2 2" xfId="18898" xr:uid="{C3EDD4E6-8CE0-48D9-A239-43840B019E4F}"/>
    <cellStyle name="Style 97 3 3 2 2 2 2" xfId="37368" xr:uid="{ADAEB059-1EF4-464E-9835-2D4CD9301ED1}"/>
    <cellStyle name="Style 97 3 3 2 2 3" xfId="18899" xr:uid="{0D643F45-771C-4ECD-83C8-095C25E742A7}"/>
    <cellStyle name="Style 97 3 3 2 2 3 2" xfId="37369" xr:uid="{028F04F3-DC13-4D00-88D7-B6B70CEC4C40}"/>
    <cellStyle name="Style 97 3 3 2 2 4" xfId="18900" xr:uid="{B28BC520-3076-4E27-83DE-381C23B5163E}"/>
    <cellStyle name="Style 97 3 3 2 2 4 2" xfId="37370" xr:uid="{8A814BC3-68B6-4375-9390-FB1DC2239B29}"/>
    <cellStyle name="Style 97 3 3 2 3" xfId="7700" xr:uid="{A423E010-FBBB-474B-9CDD-72A5F180302B}"/>
    <cellStyle name="Style 97 3 3 2 3 2" xfId="18901" xr:uid="{8F6ABDCD-08F6-4471-B970-925BF7FA32C2}"/>
    <cellStyle name="Style 97 3 3 2 3 2 2" xfId="37371" xr:uid="{D3BAD646-41D3-4B6D-ADFA-273AB2F218D0}"/>
    <cellStyle name="Style 97 3 3 2 3 3" xfId="18902" xr:uid="{3ECA6ACA-6DB0-4C9E-870A-A4A6138BFD13}"/>
    <cellStyle name="Style 97 3 3 2 3 3 2" xfId="37372" xr:uid="{E2FB3931-C4AB-44BA-AAD7-08C5DCEA1C9B}"/>
    <cellStyle name="Style 97 3 3 2 4" xfId="18903" xr:uid="{22F2EA37-CA70-4B25-A77C-BC5B711C7BB0}"/>
    <cellStyle name="Style 97 3 3 2 4 2" xfId="18904" xr:uid="{9D18F083-93BE-41E4-82F4-F4774B258C53}"/>
    <cellStyle name="Style 97 3 3 2 4 2 2" xfId="37373" xr:uid="{6F0EC824-17E1-4D81-AD47-E688B431B3BF}"/>
    <cellStyle name="Style 97 3 3 2 4 3" xfId="18905" xr:uid="{A7BFEE17-41FB-4FBF-9686-B098AE9F2B9B}"/>
    <cellStyle name="Style 97 3 3 2 4 3 2" xfId="37374" xr:uid="{02F7EB94-4BE9-4E83-8A5E-8CAB9BB699D9}"/>
    <cellStyle name="Style 97 3 3 2 4 4" xfId="28185" xr:uid="{060AAE8E-010C-4590-93BA-46435CFFE358}"/>
    <cellStyle name="Style 97 3 3 2 5" xfId="18906" xr:uid="{98B08FA2-769A-45FD-97CC-713144F3BEDA}"/>
    <cellStyle name="Style 97 3 3 2 5 2" xfId="18907" xr:uid="{2A2E12C4-201B-4F53-8110-34867FE61A20}"/>
    <cellStyle name="Style 97 3 3 2 5 2 2" xfId="37376" xr:uid="{B23ADFEA-0A13-4977-A7FF-F03D23196FBF}"/>
    <cellStyle name="Style 97 3 3 2 5 3" xfId="37375" xr:uid="{9A6C5F77-2112-4488-82DC-1AB5AE7EF5D9}"/>
    <cellStyle name="Style 97 3 3 2 6" xfId="18908" xr:uid="{126FD3FC-E93A-4F1A-B180-0344FDE7305C}"/>
    <cellStyle name="Style 97 3 3 2 6 2" xfId="18909" xr:uid="{307CD0E3-D1FB-41AE-8CAB-740202051FA3}"/>
    <cellStyle name="Style 97 3 3 2 6 2 2" xfId="37378" xr:uid="{05B5872A-7133-4331-B0DA-7781732A79C9}"/>
    <cellStyle name="Style 97 3 3 2 6 3" xfId="37377" xr:uid="{60A16251-E78B-42F3-B66C-8F30B9F1BE2C}"/>
    <cellStyle name="Style 97 3 3 2 7" xfId="18910" xr:uid="{8970EFF9-DF63-44B0-B4EF-CEBBE75C956B}"/>
    <cellStyle name="Style 97 3 3 2 7 2" xfId="18911" xr:uid="{82993EDF-E963-4C50-A761-BB8E8D602982}"/>
    <cellStyle name="Style 97 3 3 2 7 2 2" xfId="37380" xr:uid="{E180A3BF-A907-4CF7-B450-490F420D5EDB}"/>
    <cellStyle name="Style 97 3 3 2 7 3" xfId="37379" xr:uid="{4F5B198C-62E7-4444-9D6A-E7BCCD41D33F}"/>
    <cellStyle name="Style 97 3 3 2 8" xfId="18912" xr:uid="{A47BC5D4-E210-4BE2-A782-0FC4F67292D5}"/>
    <cellStyle name="Style 97 3 3 2 8 2" xfId="37381" xr:uid="{3D09110A-2176-47A7-A732-2D573FB5A9F9}"/>
    <cellStyle name="Style 97 3 3 2 9" xfId="18913" xr:uid="{E3C24E3D-6DB0-45F1-ADEF-B7E46A3D0334}"/>
    <cellStyle name="Style 97 3 3 2 9 2" xfId="37382" xr:uid="{2DA19EFF-741C-48BA-AF33-084410569746}"/>
    <cellStyle name="Style 97 3 3 3" xfId="3807" xr:uid="{6AEB1BB6-7785-45D0-A8D3-01B0CBFF8723}"/>
    <cellStyle name="Style 97 3 3 3 10" xfId="18914" xr:uid="{5E5C2662-F546-4A1D-8C89-A77BA31F14F2}"/>
    <cellStyle name="Style 97 3 3 3 10 2" xfId="37383" xr:uid="{DB92DCDD-AF33-4821-A271-1B3560D88644}"/>
    <cellStyle name="Style 97 3 3 3 11" xfId="24256" xr:uid="{E3D7F548-D2A0-4B7C-933E-AFD89004450A}"/>
    <cellStyle name="Style 97 3 3 3 2" xfId="3808" xr:uid="{49655AB2-9EDB-46B1-B631-B74E7BE9D960}"/>
    <cellStyle name="Style 97 3 3 3 2 10" xfId="24257" xr:uid="{541E5030-AA19-4877-AA6E-E75E9DC68724}"/>
    <cellStyle name="Style 97 3 3 3 2 2" xfId="7704" xr:uid="{DA0242AC-A337-4CDE-B7C2-1B932C00DB69}"/>
    <cellStyle name="Style 97 3 3 3 2 2 2" xfId="18915" xr:uid="{497FA722-6885-4166-AB04-A784E2BCBCC3}"/>
    <cellStyle name="Style 97 3 3 3 2 2 2 2" xfId="37384" xr:uid="{7370D6FC-1133-4137-8314-C2C221066156}"/>
    <cellStyle name="Style 97 3 3 3 2 2 3" xfId="18916" xr:uid="{47C5DC18-E09C-4DE9-B6DF-E75425D37699}"/>
    <cellStyle name="Style 97 3 3 3 2 2 3 2" xfId="37385" xr:uid="{006229D7-A406-43B8-84FA-4880A943031D}"/>
    <cellStyle name="Style 97 3 3 3 2 2 4" xfId="18917" xr:uid="{29998B0F-85A0-4DFE-94FA-3F5E89E12423}"/>
    <cellStyle name="Style 97 3 3 3 2 2 4 2" xfId="37386" xr:uid="{F1DCC2F1-6D7F-4F34-8E5A-015786795223}"/>
    <cellStyle name="Style 97 3 3 3 2 3" xfId="7703" xr:uid="{A8B519FB-7C49-4BD4-8E5C-2A4FC3058E0E}"/>
    <cellStyle name="Style 97 3 3 3 2 3 2" xfId="18918" xr:uid="{F2C2B148-0C42-4EAC-9EFC-F282DC5F6BDB}"/>
    <cellStyle name="Style 97 3 3 3 2 3 2 2" xfId="37387" xr:uid="{A76D8CBE-96A0-417F-9A2D-0E29290636DC}"/>
    <cellStyle name="Style 97 3 3 3 2 3 3" xfId="18919" xr:uid="{7A934BFA-E682-4A7D-B328-AA4CAAE00831}"/>
    <cellStyle name="Style 97 3 3 3 2 3 3 2" xfId="37388" xr:uid="{D26240EB-44F8-46A9-937B-487F33D10BD2}"/>
    <cellStyle name="Style 97 3 3 3 2 4" xfId="18920" xr:uid="{4F2653BF-BA49-4F54-BD50-EA9A3BE7254A}"/>
    <cellStyle name="Style 97 3 3 3 2 4 2" xfId="18921" xr:uid="{0753966E-A382-427A-92B8-1B74927CD6E6}"/>
    <cellStyle name="Style 97 3 3 3 2 4 2 2" xfId="37389" xr:uid="{82AA5B4A-5497-4C78-A143-2B9D97D33A69}"/>
    <cellStyle name="Style 97 3 3 3 2 4 3" xfId="18922" xr:uid="{C2B64626-C6E6-46F6-B28B-05707FED6BCB}"/>
    <cellStyle name="Style 97 3 3 3 2 4 3 2" xfId="37390" xr:uid="{9B7DF44E-F133-4DEA-B1D1-8A917B29B9A2}"/>
    <cellStyle name="Style 97 3 3 3 2 4 4" xfId="28187" xr:uid="{D097928B-8E76-47DD-A6B0-DAC573DF326E}"/>
    <cellStyle name="Style 97 3 3 3 2 5" xfId="18923" xr:uid="{0DF7B251-67DA-4654-9315-54ABC96E7EE3}"/>
    <cellStyle name="Style 97 3 3 3 2 5 2" xfId="18924" xr:uid="{0603DC2F-EB2A-494E-8D99-C6CEE56506BA}"/>
    <cellStyle name="Style 97 3 3 3 2 5 2 2" xfId="37392" xr:uid="{BF54F5FE-4C7A-4255-B8A9-25113A916C0F}"/>
    <cellStyle name="Style 97 3 3 3 2 5 3" xfId="37391" xr:uid="{4272FC9D-EAFB-4C74-A852-7CA4BEF99F68}"/>
    <cellStyle name="Style 97 3 3 3 2 6" xfId="18925" xr:uid="{884BDAC3-0F1D-434A-8D64-15AB354852B2}"/>
    <cellStyle name="Style 97 3 3 3 2 6 2" xfId="18926" xr:uid="{572EA903-B163-43B0-9675-B5725ED374A4}"/>
    <cellStyle name="Style 97 3 3 3 2 6 2 2" xfId="37394" xr:uid="{BF5D3FBB-051B-4EBD-B607-53438E3CEBDA}"/>
    <cellStyle name="Style 97 3 3 3 2 6 3" xfId="37393" xr:uid="{AEA868A5-28CD-49AB-9687-2EA81CC77830}"/>
    <cellStyle name="Style 97 3 3 3 2 7" xfId="18927" xr:uid="{F3F355EC-7DBA-4132-8337-874B4516A711}"/>
    <cellStyle name="Style 97 3 3 3 2 7 2" xfId="18928" xr:uid="{90EA41DE-8223-4FBF-8ABF-ED182496DC76}"/>
    <cellStyle name="Style 97 3 3 3 2 7 2 2" xfId="37396" xr:uid="{8E9D079A-5923-453F-9B90-6017CF971BE7}"/>
    <cellStyle name="Style 97 3 3 3 2 7 3" xfId="37395" xr:uid="{FEB478BE-617F-4F07-998D-D7238F84EE26}"/>
    <cellStyle name="Style 97 3 3 3 2 8" xfId="18929" xr:uid="{2134CC39-72A7-41E2-A8D6-E97706E045E1}"/>
    <cellStyle name="Style 97 3 3 3 2 8 2" xfId="37397" xr:uid="{F4BD2FA7-2838-4D7C-9DCF-D3A32C16E497}"/>
    <cellStyle name="Style 97 3 3 3 2 9" xfId="18930" xr:uid="{C8681A64-F9BB-4469-8580-FF1353C4A9DD}"/>
    <cellStyle name="Style 97 3 3 3 2 9 2" xfId="37398" xr:uid="{CDB8C3CC-79E3-46D8-8200-A8266EED3B03}"/>
    <cellStyle name="Style 97 3 3 3 3" xfId="7705" xr:uid="{5651E489-79CA-49C7-9A6B-6E752C8DD539}"/>
    <cellStyle name="Style 97 3 3 3 3 2" xfId="7706" xr:uid="{9360AE04-6C4F-40DF-8DE2-EABA83A98F7C}"/>
    <cellStyle name="Style 97 3 3 3 3 2 2" xfId="18931" xr:uid="{7C33C67D-8904-4A1D-BAF4-DFAC0FF74F9B}"/>
    <cellStyle name="Style 97 3 3 3 3 2 2 2" xfId="37399" xr:uid="{29F7B6A8-0E7A-4252-9E9B-3443D8A35E54}"/>
    <cellStyle name="Style 97 3 3 3 3 2 3" xfId="18932" xr:uid="{72DA59B8-4FE3-41A4-BD17-54C3E9852307}"/>
    <cellStyle name="Style 97 3 3 3 3 2 3 2" xfId="37400" xr:uid="{AEE61EAE-6AA4-4ABA-A984-BCDFEBCD510D}"/>
    <cellStyle name="Style 97 3 3 3 3 3" xfId="18933" xr:uid="{50A68EC0-616B-4046-9034-F796E4AC96C2}"/>
    <cellStyle name="Style 97 3 3 3 3 3 2" xfId="37401" xr:uid="{FEB931A6-3D0E-490B-B983-6E80B83F6F93}"/>
    <cellStyle name="Style 97 3 3 3 3 4" xfId="18934" xr:uid="{2AB8590E-DA16-4085-B926-C7FB23F8BC1A}"/>
    <cellStyle name="Style 97 3 3 3 3 4 2" xfId="37402" xr:uid="{F3088EC6-7F75-491E-A93D-17850AEF73FC}"/>
    <cellStyle name="Style 97 3 3 3 3 5" xfId="18935" xr:uid="{4CBEE681-661B-4DB4-A1CC-DDB575052EA1}"/>
    <cellStyle name="Style 97 3 3 3 3 5 2" xfId="37403" xr:uid="{12ABC74B-44D0-4829-8EFE-59A90AC6C022}"/>
    <cellStyle name="Style 97 3 3 3 3 6" xfId="18936" xr:uid="{AC71E072-5967-4C24-A449-05A7B303CB4B}"/>
    <cellStyle name="Style 97 3 3 3 3 6 2" xfId="37404" xr:uid="{9DD4F046-D6E9-4888-BAA9-9D807B03A992}"/>
    <cellStyle name="Style 97 3 3 3 3 7" xfId="24258" xr:uid="{C5315FEE-7843-4BA8-B056-7976385FEA03}"/>
    <cellStyle name="Style 97 3 3 3 4" xfId="7707" xr:uid="{4FE5CF09-D246-4933-ADEC-D573B785FBA2}"/>
    <cellStyle name="Style 97 3 3 3 4 2" xfId="18937" xr:uid="{691DF31D-35D8-45AB-83E9-08D3879A7850}"/>
    <cellStyle name="Style 97 3 3 3 4 2 2" xfId="37405" xr:uid="{565716E7-59C4-46E1-972C-8387DCA31407}"/>
    <cellStyle name="Style 97 3 3 3 4 3" xfId="18938" xr:uid="{8A2E0014-316C-407E-AC2D-1F2F1454209C}"/>
    <cellStyle name="Style 97 3 3 3 4 3 2" xfId="37406" xr:uid="{31E7CD1C-19D6-4E31-A56C-4951018E7055}"/>
    <cellStyle name="Style 97 3 3 3 4 4" xfId="18939" xr:uid="{580FD7FF-3B5C-4A30-8507-1D89717D46A8}"/>
    <cellStyle name="Style 97 3 3 3 4 4 2" xfId="37407" xr:uid="{D3F2809F-C5D3-4852-8876-95A290831230}"/>
    <cellStyle name="Style 97 3 3 3 5" xfId="7708" xr:uid="{25BB7F59-99B6-4205-AEF8-DF9C8155A360}"/>
    <cellStyle name="Style 97 3 3 3 5 2" xfId="18940" xr:uid="{DA8F81F0-0003-41C9-BF0E-4D0EC658C6EB}"/>
    <cellStyle name="Style 97 3 3 3 5 2 2" xfId="37408" xr:uid="{478B4CF0-0AD1-414D-8524-8B3475A1CA9F}"/>
    <cellStyle name="Style 97 3 3 3 5 3" xfId="18941" xr:uid="{EDB56D9C-85D5-4BDB-B60E-D647A1AD9D6F}"/>
    <cellStyle name="Style 97 3 3 3 5 3 2" xfId="37409" xr:uid="{49A28C31-0A0A-4533-85C2-081A72A328FD}"/>
    <cellStyle name="Style 97 3 3 3 6" xfId="7702" xr:uid="{5A58BF61-E174-4BAB-BC27-E7038E9AC6F0}"/>
    <cellStyle name="Style 97 3 3 3 6 2" xfId="18942" xr:uid="{A50517E0-1858-4AEC-85F7-C08691BB6DA6}"/>
    <cellStyle name="Style 97 3 3 3 6 2 2" xfId="37410" xr:uid="{9EE45DEE-4141-4AC3-B466-38F2705EF7E7}"/>
    <cellStyle name="Style 97 3 3 3 6 3" xfId="18943" xr:uid="{13832165-30DF-4EB0-BDD9-B8AA71479BB1}"/>
    <cellStyle name="Style 97 3 3 3 6 3 2" xfId="37411" xr:uid="{50D29F0F-EDBD-4CA0-B519-D5202BA61899}"/>
    <cellStyle name="Style 97 3 3 3 7" xfId="18944" xr:uid="{1C88F96E-34FF-4E20-ABD4-1174906727F2}"/>
    <cellStyle name="Style 97 3 3 3 7 2" xfId="18945" xr:uid="{A5BCD8EC-6752-4FAC-8D75-69258E50D6A7}"/>
    <cellStyle name="Style 97 3 3 3 7 2 2" xfId="37412" xr:uid="{BB6735DE-7F7C-46F2-88B2-F993AA910B08}"/>
    <cellStyle name="Style 97 3 3 3 7 3" xfId="18946" xr:uid="{66144FE5-4F2A-4FC5-9215-F33184663F52}"/>
    <cellStyle name="Style 97 3 3 3 7 3 2" xfId="37413" xr:uid="{D8B6FFCE-1DA9-491F-B0A3-467A38AF92DA}"/>
    <cellStyle name="Style 97 3 3 3 7 4" xfId="28186" xr:uid="{851D9168-4EC6-4265-91E2-9C62A7B9F2E8}"/>
    <cellStyle name="Style 97 3 3 3 8" xfId="18947" xr:uid="{09BF827C-F783-49B0-9E18-64C393AC475D}"/>
    <cellStyle name="Style 97 3 3 3 8 2" xfId="18948" xr:uid="{096D6896-3BD8-435A-90E9-587B18D7D0EF}"/>
    <cellStyle name="Style 97 3 3 3 8 2 2" xfId="37415" xr:uid="{A720437C-31E6-40A7-BE93-D057869EA60D}"/>
    <cellStyle name="Style 97 3 3 3 8 3" xfId="37414" xr:uid="{F3D1A1BE-03D0-4EB5-8215-0B5A89B5B238}"/>
    <cellStyle name="Style 97 3 3 3 9" xfId="18949" xr:uid="{B3AF5E96-1D98-43CD-BB3D-B8FE1D5C3095}"/>
    <cellStyle name="Style 97 3 3 3 9 2" xfId="37416" xr:uid="{2646B805-F642-4C1B-9AC0-4C174A8EC2AD}"/>
    <cellStyle name="Style 97 3 3 4" xfId="3809" xr:uid="{67ED2F2D-B500-4695-94DA-036481C8C3D4}"/>
    <cellStyle name="Style 97 3 3 4 10" xfId="18950" xr:uid="{287F3D81-BB45-415F-BB7F-2C010B09534C}"/>
    <cellStyle name="Style 97 3 3 4 10 2" xfId="37417" xr:uid="{03AF8329-C8C2-43CB-8F6F-9B604D016E90}"/>
    <cellStyle name="Style 97 3 3 4 11" xfId="24259" xr:uid="{9F274630-F326-4B21-8675-DE015E04824A}"/>
    <cellStyle name="Style 97 3 3 4 2" xfId="3810" xr:uid="{D6B6EB93-84F7-4BEA-8864-42085B222639}"/>
    <cellStyle name="Style 97 3 3 4 2 10" xfId="24260" xr:uid="{A53F3595-99F0-4FA5-BAE0-0154C862E263}"/>
    <cellStyle name="Style 97 3 3 4 2 2" xfId="7711" xr:uid="{8F9417DF-EE7A-4F01-AD50-F904A0C01EBD}"/>
    <cellStyle name="Style 97 3 3 4 2 2 2" xfId="18951" xr:uid="{2D8987E4-7AAC-43F1-BA5A-6FD94DEA4368}"/>
    <cellStyle name="Style 97 3 3 4 2 2 2 2" xfId="37418" xr:uid="{92D18A24-EF3A-4FF1-8B61-3C43F3B41C4D}"/>
    <cellStyle name="Style 97 3 3 4 2 2 3" xfId="18952" xr:uid="{EE91655F-5574-40A6-B2F9-4A9A83C7AC1F}"/>
    <cellStyle name="Style 97 3 3 4 2 2 3 2" xfId="37419" xr:uid="{B127C871-13F8-420B-9307-04FF08F7CFC4}"/>
    <cellStyle name="Style 97 3 3 4 2 2 4" xfId="18953" xr:uid="{E5AE47B4-403C-4BEA-BF0C-B62E6190ECFB}"/>
    <cellStyle name="Style 97 3 3 4 2 2 4 2" xfId="37420" xr:uid="{D641AD7A-DEBD-4CD2-BC08-226464BB374B}"/>
    <cellStyle name="Style 97 3 3 4 2 3" xfId="7710" xr:uid="{14381C0C-8EA8-427D-AADB-E1108E5EA8FD}"/>
    <cellStyle name="Style 97 3 3 4 2 3 2" xfId="18954" xr:uid="{1F2B124B-8248-4F9E-8733-F414593DFEAE}"/>
    <cellStyle name="Style 97 3 3 4 2 3 2 2" xfId="37421" xr:uid="{5ACE55D9-17C0-4BE7-933E-127E8FC443A5}"/>
    <cellStyle name="Style 97 3 3 4 2 3 3" xfId="18955" xr:uid="{A499F425-E9BA-4AF2-9E5D-44924793E571}"/>
    <cellStyle name="Style 97 3 3 4 2 3 3 2" xfId="37422" xr:uid="{FAA07340-D341-409A-86E6-1516DB36F12C}"/>
    <cellStyle name="Style 97 3 3 4 2 4" xfId="18956" xr:uid="{65710DB9-C2B7-469F-99EE-962B1E1AABF7}"/>
    <cellStyle name="Style 97 3 3 4 2 4 2" xfId="18957" xr:uid="{4E422FFB-E70F-455B-BDFB-B2409ADF2245}"/>
    <cellStyle name="Style 97 3 3 4 2 4 2 2" xfId="37423" xr:uid="{34B34F8C-4ADE-483A-A2AC-DB1DA05405BD}"/>
    <cellStyle name="Style 97 3 3 4 2 4 3" xfId="18958" xr:uid="{51DD8F90-BCF4-448A-A4DA-B76D65B3E17A}"/>
    <cellStyle name="Style 97 3 3 4 2 4 3 2" xfId="37424" xr:uid="{0D340F3F-1FCD-4844-8F2C-CEB29A46679A}"/>
    <cellStyle name="Style 97 3 3 4 2 4 4" xfId="28189" xr:uid="{E8CB1B57-2494-46B3-8E62-5FA4A54560A2}"/>
    <cellStyle name="Style 97 3 3 4 2 5" xfId="18959" xr:uid="{787F746E-3ADE-4161-B7DA-EC5849BFB31F}"/>
    <cellStyle name="Style 97 3 3 4 2 5 2" xfId="18960" xr:uid="{F521BDA7-07DA-4B60-9E04-5B7405BD6CD5}"/>
    <cellStyle name="Style 97 3 3 4 2 5 2 2" xfId="37426" xr:uid="{25F2394B-B1E0-4C18-9D94-4649DFFE6CC2}"/>
    <cellStyle name="Style 97 3 3 4 2 5 3" xfId="37425" xr:uid="{F5D225FA-1814-4FEA-A478-D722DE9B03D0}"/>
    <cellStyle name="Style 97 3 3 4 2 6" xfId="18961" xr:uid="{48B4A690-D3C1-4D39-A770-F873BFD12245}"/>
    <cellStyle name="Style 97 3 3 4 2 6 2" xfId="18962" xr:uid="{DD6A8FF0-3B8B-4EAA-8441-6ADE6DAAC252}"/>
    <cellStyle name="Style 97 3 3 4 2 6 2 2" xfId="37428" xr:uid="{8F86F00B-768F-4EF0-A5C5-45B55CC828FF}"/>
    <cellStyle name="Style 97 3 3 4 2 6 3" xfId="37427" xr:uid="{1F257335-CFA8-4951-B71B-BD24018D53A3}"/>
    <cellStyle name="Style 97 3 3 4 2 7" xfId="18963" xr:uid="{ADBE1B88-2C65-4951-8DB9-544143D25509}"/>
    <cellStyle name="Style 97 3 3 4 2 7 2" xfId="18964" xr:uid="{2473AA90-4234-4EA8-BD65-E94AF11658B0}"/>
    <cellStyle name="Style 97 3 3 4 2 7 2 2" xfId="37430" xr:uid="{2E7F1E98-078F-4721-B094-033778994B29}"/>
    <cellStyle name="Style 97 3 3 4 2 7 3" xfId="37429" xr:uid="{69392B27-A96B-48D7-9566-A944B1F61238}"/>
    <cellStyle name="Style 97 3 3 4 2 8" xfId="18965" xr:uid="{F3CCD565-2D8D-4A7D-AFB8-7361E7E3D894}"/>
    <cellStyle name="Style 97 3 3 4 2 8 2" xfId="37431" xr:uid="{D345C03B-01FB-4E0E-8AE8-7FC615542B21}"/>
    <cellStyle name="Style 97 3 3 4 2 9" xfId="18966" xr:uid="{7CC5E1CD-0E10-4A7D-BFB6-FE385502237B}"/>
    <cellStyle name="Style 97 3 3 4 2 9 2" xfId="37432" xr:uid="{5534311D-B8F3-4072-BC71-0F147E1C503D}"/>
    <cellStyle name="Style 97 3 3 4 3" xfId="7712" xr:uid="{AC421454-3B59-4552-BB75-78A6C88C095B}"/>
    <cellStyle name="Style 97 3 3 4 3 2" xfId="18967" xr:uid="{4776061D-D7A9-460E-A80F-F319EFF690F6}"/>
    <cellStyle name="Style 97 3 3 4 3 2 2" xfId="37433" xr:uid="{8622893F-8A5B-4AAB-AAB4-A0EEF3DF3B52}"/>
    <cellStyle name="Style 97 3 3 4 3 3" xfId="18968" xr:uid="{7FCC795E-DF18-48E1-AE06-980A4F7C1AA5}"/>
    <cellStyle name="Style 97 3 3 4 3 3 2" xfId="37434" xr:uid="{217DE445-504F-4FC4-B566-83DB0B8FD388}"/>
    <cellStyle name="Style 97 3 3 4 3 4" xfId="18969" xr:uid="{B178BE66-D3C3-4F1F-9B17-73BA916B1496}"/>
    <cellStyle name="Style 97 3 3 4 3 4 2" xfId="37435" xr:uid="{C4B67838-CE94-4A29-9BC7-3246671F96FC}"/>
    <cellStyle name="Style 97 3 3 4 4" xfId="7709" xr:uid="{C8B5AE0E-9C6B-48F8-AD15-7C88BFAF3C8C}"/>
    <cellStyle name="Style 97 3 3 4 4 2" xfId="18970" xr:uid="{09E832ED-2EEC-47E7-8932-80E6C5F20895}"/>
    <cellStyle name="Style 97 3 3 4 4 2 2" xfId="37436" xr:uid="{31DDD963-86F5-4D7A-9D33-76EA4FC8D079}"/>
    <cellStyle name="Style 97 3 3 4 4 3" xfId="18971" xr:uid="{89D973CE-F601-4E50-8315-35027DD44BE0}"/>
    <cellStyle name="Style 97 3 3 4 4 3 2" xfId="37437" xr:uid="{B3C5F4B5-3565-4320-987D-A6FBCE0935DF}"/>
    <cellStyle name="Style 97 3 3 4 5" xfId="18972" xr:uid="{C0265BD8-A284-49DC-A004-2E5402853D33}"/>
    <cellStyle name="Style 97 3 3 4 5 2" xfId="18973" xr:uid="{623C39F6-51BB-4EF5-8ED1-0A1C099E5CEA}"/>
    <cellStyle name="Style 97 3 3 4 5 2 2" xfId="37438" xr:uid="{03FDC760-C471-40D8-93EB-E41A4284FA53}"/>
    <cellStyle name="Style 97 3 3 4 5 3" xfId="18974" xr:uid="{D5DB0589-73FA-4516-9A3C-320E525FB303}"/>
    <cellStyle name="Style 97 3 3 4 5 3 2" xfId="37439" xr:uid="{FDCDE7B8-1000-40D2-AEA6-2EF58D2AC390}"/>
    <cellStyle name="Style 97 3 3 4 5 4" xfId="28188" xr:uid="{02AAB173-AD5D-4C79-92DB-2504CF6743E8}"/>
    <cellStyle name="Style 97 3 3 4 6" xfId="18975" xr:uid="{D5845629-036E-49B0-B341-544957D6E855}"/>
    <cellStyle name="Style 97 3 3 4 6 2" xfId="18976" xr:uid="{A11ACADE-E81E-458A-A876-A1175E4A5FEC}"/>
    <cellStyle name="Style 97 3 3 4 6 2 2" xfId="37441" xr:uid="{CDA90C77-A8B9-47A8-B025-1EA526EC06E4}"/>
    <cellStyle name="Style 97 3 3 4 6 3" xfId="37440" xr:uid="{B644AEE7-FF69-4262-BD26-3CF9DEB707CB}"/>
    <cellStyle name="Style 97 3 3 4 7" xfId="18977" xr:uid="{93A2D3A5-8CD2-43C9-B930-72EA00FA50FB}"/>
    <cellStyle name="Style 97 3 3 4 7 2" xfId="18978" xr:uid="{B00384C9-8713-4606-9F7C-074D2CD7FCDB}"/>
    <cellStyle name="Style 97 3 3 4 7 2 2" xfId="37443" xr:uid="{15269A25-D500-4A7E-9FE4-F4B9DE809445}"/>
    <cellStyle name="Style 97 3 3 4 7 3" xfId="37442" xr:uid="{E520F385-E680-4ACB-98BD-88AC0FEE5E77}"/>
    <cellStyle name="Style 97 3 3 4 8" xfId="18979" xr:uid="{1865D85F-513B-4B22-852B-D3F1EFCC2F84}"/>
    <cellStyle name="Style 97 3 3 4 8 2" xfId="18980" xr:uid="{F06A0B81-636F-435B-8382-FAE8042BDAF4}"/>
    <cellStyle name="Style 97 3 3 4 8 2 2" xfId="37445" xr:uid="{06DDE966-55EA-4E64-8757-9EC1342D35D0}"/>
    <cellStyle name="Style 97 3 3 4 8 3" xfId="37444" xr:uid="{8E386671-BF46-42F0-90BB-064F0EEB9052}"/>
    <cellStyle name="Style 97 3 3 4 9" xfId="18981" xr:uid="{659F4550-06DD-41FF-8022-41888590321F}"/>
    <cellStyle name="Style 97 3 3 4 9 2" xfId="37446" xr:uid="{9669D156-5A3A-4377-BC46-FE7DD859FA95}"/>
    <cellStyle name="Style 97 3 3 5" xfId="7713" xr:uid="{2A80F897-3CD2-4B1C-BE08-E306CA61FA66}"/>
    <cellStyle name="Style 97 3 3 5 2" xfId="18982" xr:uid="{9D65B52F-D946-491D-A1E1-E5FBEBE0BC5A}"/>
    <cellStyle name="Style 97 3 3 5 2 2" xfId="18983" xr:uid="{A0DB29C3-5C07-4AF9-8DE5-3DB5C2F97EAE}"/>
    <cellStyle name="Style 97 3 3 5 2 2 2" xfId="37448" xr:uid="{35497DC6-508B-4AB4-8DCE-88CE8CBC3217}"/>
    <cellStyle name="Style 97 3 3 5 2 3" xfId="37447" xr:uid="{AB2A5FF8-4997-4681-9938-A29939C91A4D}"/>
    <cellStyle name="Style 97 3 3 5 3" xfId="18984" xr:uid="{C5D861E7-4B4F-42CD-824B-E1DBB489BF4A}"/>
    <cellStyle name="Style 97 3 3 5 3 2" xfId="37449" xr:uid="{A8779904-B65E-40AE-8B7C-C2F2433A0FE2}"/>
    <cellStyle name="Style 97 3 3 5 4" xfId="18985" xr:uid="{A9A9C3C8-58E5-4562-B681-AAC67B47C3A7}"/>
    <cellStyle name="Style 97 3 3 5 4 2" xfId="37450" xr:uid="{A17C8700-5660-468C-936B-AC8F32A7CD39}"/>
    <cellStyle name="Style 97 3 3 5 5" xfId="18986" xr:uid="{37D49AC5-1827-4498-8059-B7B8A30951F5}"/>
    <cellStyle name="Style 97 3 3 5 5 2" xfId="37451" xr:uid="{5AA5CDD2-671A-47DA-9624-19D5EEF79F5C}"/>
    <cellStyle name="Style 97 3 3 5 6" xfId="18987" xr:uid="{1EE4D253-F2D0-4EC8-8ACE-D7743A927AD6}"/>
    <cellStyle name="Style 97 3 3 5 6 2" xfId="37452" xr:uid="{D892F9CB-5903-4CF7-AA84-9998DB221852}"/>
    <cellStyle name="Style 97 3 3 6" xfId="7714" xr:uid="{B47C3D42-6A1C-46A4-9EFC-8D9A90DF9E33}"/>
    <cellStyle name="Style 97 3 3 6 2" xfId="18988" xr:uid="{25FBA764-236B-4631-9810-91A582238EC2}"/>
    <cellStyle name="Style 97 3 3 6 2 2" xfId="37453" xr:uid="{3A785D61-63FA-4F4F-9F85-563990AE4023}"/>
    <cellStyle name="Style 97 3 3 6 3" xfId="18989" xr:uid="{81BEAB8A-1E10-4109-A0AE-CAFCF701ED36}"/>
    <cellStyle name="Style 97 3 3 6 3 2" xfId="37454" xr:uid="{2F849533-FB2D-4DCE-86CE-E710A36E28EB}"/>
    <cellStyle name="Style 97 3 3 6 4" xfId="18990" xr:uid="{86002BEC-C7A3-4C8B-9880-9C53AA2C43C3}"/>
    <cellStyle name="Style 97 3 3 6 4 2" xfId="37455" xr:uid="{2D969BC0-8F09-4D23-87EE-1F92B8D30229}"/>
    <cellStyle name="Style 97 3 3 7" xfId="7699" xr:uid="{BD52B67A-7DAC-46A9-AB93-DAC7463A5FFE}"/>
    <cellStyle name="Style 97 3 3 7 2" xfId="18991" xr:uid="{05691A5F-9690-4645-A127-37C0F8436323}"/>
    <cellStyle name="Style 97 3 3 7 2 2" xfId="37456" xr:uid="{D2888CA4-E078-434B-8DFE-DE39AADD03D7}"/>
    <cellStyle name="Style 97 3 3 7 3" xfId="18992" xr:uid="{2DFBB8A8-4442-43EA-AD0B-6B50AD53FBF0}"/>
    <cellStyle name="Style 97 3 3 7 3 2" xfId="37457" xr:uid="{B59D1930-08E9-4243-97CF-B12CB0BA22F5}"/>
    <cellStyle name="Style 97 3 3 8" xfId="18993" xr:uid="{E5DD14FD-666F-4389-8718-265D72334DBE}"/>
    <cellStyle name="Style 97 3 3 8 2" xfId="18994" xr:uid="{77427888-471A-4A7F-9FF3-619828256513}"/>
    <cellStyle name="Style 97 3 3 8 2 2" xfId="37458" xr:uid="{42AEB0CD-2F1B-45FD-91A3-FFFA707AB685}"/>
    <cellStyle name="Style 97 3 3 8 3" xfId="18995" xr:uid="{7AA18459-2489-4F9B-832C-B3D8148AB839}"/>
    <cellStyle name="Style 97 3 3 8 3 2" xfId="37459" xr:uid="{675DCF5A-701F-4AC2-BB99-80AF0D8AA02E}"/>
    <cellStyle name="Style 97 3 3 8 4" xfId="28184" xr:uid="{8C1BECDA-FEC7-42D0-8720-121F37CF0541}"/>
    <cellStyle name="Style 97 3 3 9" xfId="18996" xr:uid="{37D68F26-91AB-45BE-80BC-D98041D26D8B}"/>
    <cellStyle name="Style 97 3 3 9 2" xfId="18997" xr:uid="{725D1BF2-0BBF-4E1D-A00B-4B4C6207B1F9}"/>
    <cellStyle name="Style 97 3 3 9 2 2" xfId="37461" xr:uid="{5C46DD19-3BA1-4403-BCBC-F60749533586}"/>
    <cellStyle name="Style 97 3 3 9 3" xfId="37460" xr:uid="{06D9C0EF-8F4D-42FB-94B9-6F7353E64647}"/>
    <cellStyle name="Style 97 3 4" xfId="3811" xr:uid="{28C432C2-DFCE-4164-A5E4-7781D0059D17}"/>
    <cellStyle name="Style 97 3 4 10" xfId="24261" xr:uid="{6704DE76-532A-45EF-8D3B-17AC48C31C96}"/>
    <cellStyle name="Style 97 3 4 2" xfId="7716" xr:uid="{169261A9-7113-4BB8-8F95-2229D3B131F0}"/>
    <cellStyle name="Style 97 3 4 2 2" xfId="7717" xr:uid="{F5A8E6C0-C366-433A-9FB5-48A8869E3DD0}"/>
    <cellStyle name="Style 97 3 4 2 2 2" xfId="18998" xr:uid="{EB497BFD-B98F-4AFE-B211-76807598707E}"/>
    <cellStyle name="Style 97 3 4 2 2 2 2" xfId="37462" xr:uid="{460BDF7C-BB52-4120-989B-40F8D518493A}"/>
    <cellStyle name="Style 97 3 4 2 3" xfId="18999" xr:uid="{1AF45D82-873D-4961-BBC0-1F69B6A12E92}"/>
    <cellStyle name="Style 97 3 4 2 3 2" xfId="37463" xr:uid="{D44F075C-997C-4AE8-87BA-38746D99E684}"/>
    <cellStyle name="Style 97 3 4 2 4" xfId="19000" xr:uid="{26D3432E-BBDC-4251-8EC4-9162C84E2DAA}"/>
    <cellStyle name="Style 97 3 4 2 4 2" xfId="37464" xr:uid="{C78D1217-4CFD-4981-BE7C-8E4EDACA4178}"/>
    <cellStyle name="Style 97 3 4 2 5" xfId="24262" xr:uid="{B71D64ED-68EC-486A-953D-8EC1383FA922}"/>
    <cellStyle name="Style 97 3 4 3" xfId="7718" xr:uid="{FF9E1BE2-8D63-4ECE-BFFD-1A81EAF81042}"/>
    <cellStyle name="Style 97 3 4 3 2" xfId="19001" xr:uid="{9B198E8E-E5E5-4FAE-B571-59315730ACA2}"/>
    <cellStyle name="Style 97 3 4 3 2 2" xfId="37465" xr:uid="{E948D1A9-1D18-4467-A854-FB48C0CABF3E}"/>
    <cellStyle name="Style 97 3 4 3 3" xfId="19002" xr:uid="{B4A72C9B-0A67-47E1-AA8D-42F8054E57DC}"/>
    <cellStyle name="Style 97 3 4 3 3 2" xfId="37466" xr:uid="{C42E6553-CCD4-4EA9-9220-38A87699BC2D}"/>
    <cellStyle name="Style 97 3 4 4" xfId="7719" xr:uid="{25BF0D93-FDF3-444F-B5A2-643EDD10166B}"/>
    <cellStyle name="Style 97 3 4 4 2" xfId="19003" xr:uid="{55A290DF-40D3-4AA1-9297-429CBEEEF490}"/>
    <cellStyle name="Style 97 3 4 4 2 2" xfId="37467" xr:uid="{5D8AF478-DFEA-49DD-A7EB-C11885039BF2}"/>
    <cellStyle name="Style 97 3 4 4 3" xfId="19004" xr:uid="{47BB8A3D-D4AD-4001-892A-75845A0132F6}"/>
    <cellStyle name="Style 97 3 4 4 3 2" xfId="37468" xr:uid="{92FAF608-0E1F-4819-B996-362C67A6085B}"/>
    <cellStyle name="Style 97 3 4 5" xfId="7715" xr:uid="{8E3FEFB7-9F8F-428D-9B99-7860C5A42795}"/>
    <cellStyle name="Style 97 3 4 5 2" xfId="19005" xr:uid="{38E49206-370B-4B44-AA8A-CBA860877DD9}"/>
    <cellStyle name="Style 97 3 4 5 2 2" xfId="37469" xr:uid="{8D8F2E60-39BB-4A50-8212-DFDAC225914C}"/>
    <cellStyle name="Style 97 3 4 5 3" xfId="19006" xr:uid="{3F541214-46AF-4DDB-9EBF-2EB6E88D15AE}"/>
    <cellStyle name="Style 97 3 4 5 3 2" xfId="37470" xr:uid="{92B16CE7-5097-45B5-8503-795280BBCF1B}"/>
    <cellStyle name="Style 97 3 4 6" xfId="19007" xr:uid="{899ABAD2-72E1-4DAF-9C4F-00E21F61AA1D}"/>
    <cellStyle name="Style 97 3 4 6 2" xfId="19008" xr:uid="{C74440B9-5428-46DD-8659-71554A9C6BD8}"/>
    <cellStyle name="Style 97 3 4 6 2 2" xfId="37471" xr:uid="{4A380511-1864-40A2-AF7A-89DC45F43CB8}"/>
    <cellStyle name="Style 97 3 4 6 3" xfId="19009" xr:uid="{97235F7D-4C43-4796-AAE3-2A50B646C1D6}"/>
    <cellStyle name="Style 97 3 4 6 3 2" xfId="37472" xr:uid="{790BED0D-2C37-4CAA-A295-6E445FE90229}"/>
    <cellStyle name="Style 97 3 4 6 4" xfId="28190" xr:uid="{68140194-3051-49CC-90CE-4CF61A32DB36}"/>
    <cellStyle name="Style 97 3 4 7" xfId="19010" xr:uid="{47580DCD-6E31-4962-972B-85D6A2495BE6}"/>
    <cellStyle name="Style 97 3 4 7 2" xfId="19011" xr:uid="{3182455C-3C1E-4953-AC04-458106173A05}"/>
    <cellStyle name="Style 97 3 4 7 2 2" xfId="37474" xr:uid="{15117D0D-E780-4554-B4F3-B8C0C739D3CB}"/>
    <cellStyle name="Style 97 3 4 7 3" xfId="37473" xr:uid="{ACBFF83D-6C07-4715-88E0-10B514C5A50E}"/>
    <cellStyle name="Style 97 3 4 8" xfId="19012" xr:uid="{A456C3BE-12EA-4403-B819-6098D127150A}"/>
    <cellStyle name="Style 97 3 4 8 2" xfId="37475" xr:uid="{9EB06A28-2682-4042-990A-09CBDB3E16DD}"/>
    <cellStyle name="Style 97 3 4 9" xfId="19013" xr:uid="{FD9F444C-5419-4191-BA87-D1C7F9D26BAA}"/>
    <cellStyle name="Style 97 3 4 9 2" xfId="37476" xr:uid="{DF5860D8-9AB5-468B-BAE3-00870E77D9BC}"/>
    <cellStyle name="Style 97 3 5" xfId="7720" xr:uid="{9FF6C4C6-3D6F-413A-9E93-6A40D1E11C21}"/>
    <cellStyle name="Style 97 3 5 2" xfId="7721" xr:uid="{9D185B14-2F28-4161-AFA6-0B94CC66D7CB}"/>
    <cellStyle name="Style 97 3 5 2 2" xfId="19014" xr:uid="{0CFE222E-B012-4A94-8CAC-239F00B6704B}"/>
    <cellStyle name="Style 97 3 5 2 2 2" xfId="37477" xr:uid="{D7375DAB-6E20-45D5-ADAD-B250916968DE}"/>
    <cellStyle name="Style 97 3 5 3" xfId="19015" xr:uid="{226FB191-F991-4A92-97BA-2A66E890AC27}"/>
    <cellStyle name="Style 97 3 5 3 2" xfId="19016" xr:uid="{72F2F94D-D7A1-40A1-B214-0444E7B4C3A1}"/>
    <cellStyle name="Style 97 3 5 3 2 2" xfId="37478" xr:uid="{20D66E73-74C1-4EE0-ACA3-CB8EC8C1C254}"/>
    <cellStyle name="Style 97 3 5 4" xfId="19017" xr:uid="{00A29BB7-9D01-42E8-8754-BE977CAD7304}"/>
    <cellStyle name="Style 97 3 5 4 2" xfId="37479" xr:uid="{218843D6-65D5-4E4A-86F9-4D581E237DD3}"/>
    <cellStyle name="Style 97 3 5 5" xfId="24263" xr:uid="{8A53C326-EC76-4B64-B194-C312E204FDF9}"/>
    <cellStyle name="Style 97 3 6" xfId="7722" xr:uid="{807018D6-14EB-40A8-AF93-C62E8E41908B}"/>
    <cellStyle name="Style 97 3 6 2" xfId="19018" xr:uid="{BADE35E6-ACE4-45A2-A2A6-3315546E32B7}"/>
    <cellStyle name="Style 97 3 6 2 2" xfId="37480" xr:uid="{D73E3FB6-B386-4437-8BC1-47000FD864FE}"/>
    <cellStyle name="Style 97 3 6 3" xfId="19019" xr:uid="{ED429395-F590-494A-89C0-845FC5FDC092}"/>
    <cellStyle name="Style 97 3 6 3 2" xfId="37481" xr:uid="{DD708FBE-E8F3-43A5-9263-ABB2A042D5B3}"/>
    <cellStyle name="Style 97 3 7" xfId="7694" xr:uid="{D56EA645-8551-47FF-958D-3C6C21D41233}"/>
    <cellStyle name="Style 97 3 7 2" xfId="19020" xr:uid="{8DBFEAB7-4745-4AA2-970E-8FE9721A1AD9}"/>
    <cellStyle name="Style 97 3 7 2 2" xfId="37482" xr:uid="{5911A1ED-A586-4A01-8EE4-B3D4A17AF8ED}"/>
    <cellStyle name="Style 97 3 7 3" xfId="19021" xr:uid="{7AB4E3FD-E827-4E7F-A8A1-B6B808B948D4}"/>
    <cellStyle name="Style 97 3 7 3 2" xfId="37483" xr:uid="{608D143C-1BCE-41E8-AE14-20D3E7CBDFC7}"/>
    <cellStyle name="Style 97 3 8" xfId="4456" xr:uid="{79A6B440-09FC-42DA-BB3D-A0B30303F003}"/>
    <cellStyle name="Style 97 3 8 2" xfId="19022" xr:uid="{3216E385-9BD8-41D1-9697-63744C166358}"/>
    <cellStyle name="Style 97 3 8 2 2" xfId="37484" xr:uid="{662DCB6D-D92E-40F5-9829-0F4A6F5B3760}"/>
    <cellStyle name="Style 97 3 8 3" xfId="19023" xr:uid="{4826D5E9-2002-4EEB-8F05-CB6E89B9DF51}"/>
    <cellStyle name="Style 97 3 8 3 2" xfId="37485" xr:uid="{A18E0725-8799-4D8F-B87F-5D780835A148}"/>
    <cellStyle name="Style 97 3 8 4" xfId="26729" xr:uid="{B08263CF-92E1-4294-BA76-C4A8C87A3726}"/>
    <cellStyle name="Style 97 3 9" xfId="19024" xr:uid="{2D1D15A9-EE2B-44C7-B92C-0481BB3155D7}"/>
    <cellStyle name="Style 97 3 9 2" xfId="19025" xr:uid="{5DAB3059-BC59-479D-B0E4-236280F72131}"/>
    <cellStyle name="Style 97 3 9 2 2" xfId="37487" xr:uid="{88297E77-8FE2-46D2-B21D-427CCD898EBF}"/>
    <cellStyle name="Style 97 3 9 3" xfId="37486" xr:uid="{5A14793B-EFF2-4687-A697-EFE552B2B24F}"/>
    <cellStyle name="Style 97 4" xfId="3812" xr:uid="{612E9A34-8F9F-4B0B-84F3-9086AA64970F}"/>
    <cellStyle name="Style 97 4 10" xfId="19026" xr:uid="{8BD3E774-DD9B-40B3-8AE5-049FCA935D67}"/>
    <cellStyle name="Style 97 4 10 2" xfId="37488" xr:uid="{3914788A-82C5-4B20-8145-D82A74418036}"/>
    <cellStyle name="Style 97 4 11" xfId="19027" xr:uid="{DC1EDA04-7AE9-4FF1-8897-0AD229EDA3AD}"/>
    <cellStyle name="Style 97 4 11 2" xfId="37489" xr:uid="{081C59E5-8F0A-43B7-B55C-4C3D07F7A448}"/>
    <cellStyle name="Style 97 4 12" xfId="24264" xr:uid="{9B2D7636-C590-47E2-894F-87899D1558D1}"/>
    <cellStyle name="Style 97 4 2" xfId="3813" xr:uid="{18BD9F34-177A-45DC-8032-EEEA3C9B1CED}"/>
    <cellStyle name="Style 97 4 2 10" xfId="19028" xr:uid="{7AA13AB0-6E61-4E78-9A2C-9855C137F4E3}"/>
    <cellStyle name="Style 97 4 2 10 2" xfId="19029" xr:uid="{55626A3D-6188-4C99-9029-F153F826C1C4}"/>
    <cellStyle name="Style 97 4 2 10 2 2" xfId="37491" xr:uid="{6CDC9C55-C163-44A7-B0F7-BC7F5F8BB5D1}"/>
    <cellStyle name="Style 97 4 2 10 3" xfId="37490" xr:uid="{2B62300C-AB95-47E7-8D26-D3128197079F}"/>
    <cellStyle name="Style 97 4 2 11" xfId="19030" xr:uid="{C51F73BE-4655-4527-A746-53B6F6B53F3F}"/>
    <cellStyle name="Style 97 4 2 11 2" xfId="37492" xr:uid="{157E40FE-FF1A-41E0-A7A2-D3679955CAA2}"/>
    <cellStyle name="Style 97 4 2 12" xfId="19031" xr:uid="{6B6CDC64-50A5-4B1F-9833-060928F8486B}"/>
    <cellStyle name="Style 97 4 2 12 2" xfId="37493" xr:uid="{992250B9-F0CA-40E0-89ED-44F0D529FCE3}"/>
    <cellStyle name="Style 97 4 2 13" xfId="24265" xr:uid="{122C052E-4BF6-480A-B647-BB6D1783BBC5}"/>
    <cellStyle name="Style 97 4 2 2" xfId="3814" xr:uid="{EAE03C0D-7B83-4411-92E4-DFAF01B22B82}"/>
    <cellStyle name="Style 97 4 2 2 10" xfId="24266" xr:uid="{C95120F9-2E1F-4277-817E-A8382158DE00}"/>
    <cellStyle name="Style 97 4 2 2 2" xfId="7726" xr:uid="{6C8A37BB-D99C-467D-A584-C62C655AF775}"/>
    <cellStyle name="Style 97 4 2 2 2 2" xfId="19032" xr:uid="{5CE7E250-5F62-4122-9393-411157777889}"/>
    <cellStyle name="Style 97 4 2 2 2 2 2" xfId="37494" xr:uid="{B748FABC-9C4D-4368-BEBE-A227EA2D33D4}"/>
    <cellStyle name="Style 97 4 2 2 2 3" xfId="19033" xr:uid="{A4FA5C1B-731F-4DC2-9BDE-BD049CBC96FB}"/>
    <cellStyle name="Style 97 4 2 2 2 3 2" xfId="37495" xr:uid="{1D126DA5-3ACB-447E-AD35-770E0429C8A0}"/>
    <cellStyle name="Style 97 4 2 2 2 4" xfId="19034" xr:uid="{7A0688F6-8F9E-4208-9C7B-4EBC4D97A721}"/>
    <cellStyle name="Style 97 4 2 2 2 4 2" xfId="37496" xr:uid="{4F4B2300-A985-4006-A0F5-5B5E915ADDEF}"/>
    <cellStyle name="Style 97 4 2 2 3" xfId="7725" xr:uid="{5AA6DF8C-06C6-4F37-B940-2F43B22EBFAB}"/>
    <cellStyle name="Style 97 4 2 2 3 2" xfId="19035" xr:uid="{569CE3FD-62C6-4D83-8234-97BE4909A8B4}"/>
    <cellStyle name="Style 97 4 2 2 3 2 2" xfId="37497" xr:uid="{9D32546F-7702-4DF1-A15E-98D3B403D759}"/>
    <cellStyle name="Style 97 4 2 2 3 3" xfId="19036" xr:uid="{91655045-853E-4540-9B35-116261979B4A}"/>
    <cellStyle name="Style 97 4 2 2 3 3 2" xfId="37498" xr:uid="{8D43B4D3-967C-497B-A533-1C7065EB491E}"/>
    <cellStyle name="Style 97 4 2 2 4" xfId="19037" xr:uid="{47ABA60C-E0D1-47AC-9272-41EDCE3F1E54}"/>
    <cellStyle name="Style 97 4 2 2 4 2" xfId="19038" xr:uid="{60594B7A-13F1-4026-82EC-56C85FCAC208}"/>
    <cellStyle name="Style 97 4 2 2 4 2 2" xfId="37499" xr:uid="{BC5808AA-F193-4A21-8B83-39EB72E34B30}"/>
    <cellStyle name="Style 97 4 2 2 4 3" xfId="19039" xr:uid="{5F5EC4C6-CE3F-4F7E-8817-38BC2BA506E0}"/>
    <cellStyle name="Style 97 4 2 2 4 3 2" xfId="37500" xr:uid="{D8F4A32A-F53A-4081-A0CA-5783895A092C}"/>
    <cellStyle name="Style 97 4 2 2 4 4" xfId="28193" xr:uid="{FB05539A-B29D-4B31-867D-162AF9A4B4D3}"/>
    <cellStyle name="Style 97 4 2 2 5" xfId="19040" xr:uid="{6EA92EB9-61AF-4F8E-9A2C-DEFE8FFDF4F7}"/>
    <cellStyle name="Style 97 4 2 2 5 2" xfId="19041" xr:uid="{58B112B3-4424-4819-B7B1-16B3D783C957}"/>
    <cellStyle name="Style 97 4 2 2 5 2 2" xfId="37502" xr:uid="{B64D527E-6971-4B57-9539-3818CF56F946}"/>
    <cellStyle name="Style 97 4 2 2 5 3" xfId="37501" xr:uid="{DAB51763-C67B-4BF1-AF4F-94901F77AB74}"/>
    <cellStyle name="Style 97 4 2 2 6" xfId="19042" xr:uid="{933256A4-398F-47CF-AECB-DD00B4855F41}"/>
    <cellStyle name="Style 97 4 2 2 6 2" xfId="19043" xr:uid="{0C7C1177-588F-4BED-8C31-63E79D759776}"/>
    <cellStyle name="Style 97 4 2 2 6 2 2" xfId="37504" xr:uid="{85BA5165-0885-4917-AA35-E82C3F3EF663}"/>
    <cellStyle name="Style 97 4 2 2 6 3" xfId="37503" xr:uid="{1040C2D9-D8A4-4001-A9E0-5716252752A6}"/>
    <cellStyle name="Style 97 4 2 2 7" xfId="19044" xr:uid="{7781E605-4640-4157-A34A-D1DC98067DE7}"/>
    <cellStyle name="Style 97 4 2 2 7 2" xfId="19045" xr:uid="{2806325F-955C-43B7-A5C4-3B7A5F2844AC}"/>
    <cellStyle name="Style 97 4 2 2 7 2 2" xfId="37506" xr:uid="{5256DC24-4D0C-418F-B52F-1845D901E08B}"/>
    <cellStyle name="Style 97 4 2 2 7 3" xfId="37505" xr:uid="{E1E6CA39-0E7D-4359-8E96-243CBBF76FC6}"/>
    <cellStyle name="Style 97 4 2 2 8" xfId="19046" xr:uid="{AD14AF22-3909-4CF1-9FD2-1093BBC3EC1D}"/>
    <cellStyle name="Style 97 4 2 2 8 2" xfId="37507" xr:uid="{48750E07-3BE4-4E70-A42B-700193D072B2}"/>
    <cellStyle name="Style 97 4 2 2 9" xfId="19047" xr:uid="{55C1200A-A160-4BEE-A691-728340E70F19}"/>
    <cellStyle name="Style 97 4 2 2 9 2" xfId="37508" xr:uid="{BA533BA5-ADC9-4886-B56B-87B1199AC18C}"/>
    <cellStyle name="Style 97 4 2 3" xfId="3815" xr:uid="{AE0C7E7C-6440-4674-9625-A6C594D6B960}"/>
    <cellStyle name="Style 97 4 2 3 10" xfId="19048" xr:uid="{748D62D6-D7EB-4DC3-8FA8-76DFD04BC23A}"/>
    <cellStyle name="Style 97 4 2 3 10 2" xfId="37509" xr:uid="{53101789-80A8-4AAB-A262-73A2E08B155E}"/>
    <cellStyle name="Style 97 4 2 3 11" xfId="24267" xr:uid="{E1805635-1EF7-4184-8849-9BA16B7F26B9}"/>
    <cellStyle name="Style 97 4 2 3 2" xfId="3816" xr:uid="{5AE73858-9821-4186-95DB-1AF76C5DEEBE}"/>
    <cellStyle name="Style 97 4 2 3 2 10" xfId="24268" xr:uid="{B2E9DED6-5BEB-4018-A3D9-4F3364EA695B}"/>
    <cellStyle name="Style 97 4 2 3 2 2" xfId="7729" xr:uid="{0ECC81B8-22B0-4B02-B184-53D0C74A69B9}"/>
    <cellStyle name="Style 97 4 2 3 2 2 2" xfId="19049" xr:uid="{6EB9E09D-609F-4AFE-9ABA-35CB53A41177}"/>
    <cellStyle name="Style 97 4 2 3 2 2 2 2" xfId="37510" xr:uid="{1F1620A4-19A7-419A-9C44-DC7525C60046}"/>
    <cellStyle name="Style 97 4 2 3 2 2 3" xfId="19050" xr:uid="{37AD1A0F-E401-42A1-A32D-CAAB593C7C20}"/>
    <cellStyle name="Style 97 4 2 3 2 2 3 2" xfId="37511" xr:uid="{3E142AC1-160E-4B2B-8541-8A0C295C9EEA}"/>
    <cellStyle name="Style 97 4 2 3 2 2 4" xfId="19051" xr:uid="{E0F588F6-61DF-4EC6-9C5F-F116666E84F8}"/>
    <cellStyle name="Style 97 4 2 3 2 2 4 2" xfId="37512" xr:uid="{D8092DB6-130C-4C2D-9A90-B3BA60B638CA}"/>
    <cellStyle name="Style 97 4 2 3 2 3" xfId="7728" xr:uid="{C1857B31-94B3-48BD-BB92-4C2178F9B761}"/>
    <cellStyle name="Style 97 4 2 3 2 3 2" xfId="19052" xr:uid="{68B05457-B815-42FF-B06F-BF20B269B659}"/>
    <cellStyle name="Style 97 4 2 3 2 3 2 2" xfId="37513" xr:uid="{B9A19F73-755B-4796-876C-0A41BAA5EF3A}"/>
    <cellStyle name="Style 97 4 2 3 2 3 3" xfId="19053" xr:uid="{69376C0A-8D97-42C1-99CE-1C2C95A7103D}"/>
    <cellStyle name="Style 97 4 2 3 2 3 3 2" xfId="37514" xr:uid="{2879C8F2-C13A-4CFA-9764-C565467C4024}"/>
    <cellStyle name="Style 97 4 2 3 2 4" xfId="19054" xr:uid="{D58DA37E-6144-4B76-8FCD-3E8D3FCA53C1}"/>
    <cellStyle name="Style 97 4 2 3 2 4 2" xfId="19055" xr:uid="{45BAB988-3106-488E-9E68-9FF7EC530F09}"/>
    <cellStyle name="Style 97 4 2 3 2 4 2 2" xfId="37515" xr:uid="{23C151C1-4F37-4EAB-AB3B-1DFDDE5B51BC}"/>
    <cellStyle name="Style 97 4 2 3 2 4 3" xfId="19056" xr:uid="{045C048D-644E-4367-819D-87B99CA29485}"/>
    <cellStyle name="Style 97 4 2 3 2 4 3 2" xfId="37516" xr:uid="{1F81728F-9270-42CA-9E45-A3BD1991A549}"/>
    <cellStyle name="Style 97 4 2 3 2 4 4" xfId="28195" xr:uid="{DD67628D-6DAD-4831-BE80-EEB02F6E4AFF}"/>
    <cellStyle name="Style 97 4 2 3 2 5" xfId="19057" xr:uid="{45AF325C-13E8-43D8-B450-A7CE2008D055}"/>
    <cellStyle name="Style 97 4 2 3 2 5 2" xfId="19058" xr:uid="{FFE6D847-8825-4006-B1CF-B03543A36A19}"/>
    <cellStyle name="Style 97 4 2 3 2 5 2 2" xfId="37518" xr:uid="{CE3DE2C8-2ED9-408D-ABCB-3567182A8E88}"/>
    <cellStyle name="Style 97 4 2 3 2 5 3" xfId="37517" xr:uid="{2D98C71C-F8A9-4DBD-BF50-4EE6D9920AD4}"/>
    <cellStyle name="Style 97 4 2 3 2 6" xfId="19059" xr:uid="{9C76E6B1-82D0-4EF2-BFCA-9DC778B099ED}"/>
    <cellStyle name="Style 97 4 2 3 2 6 2" xfId="19060" xr:uid="{0E00F68A-2192-483F-B25E-15AF13448E16}"/>
    <cellStyle name="Style 97 4 2 3 2 6 2 2" xfId="37520" xr:uid="{A5F55DB9-2473-4B19-8DEF-A1EABD74902F}"/>
    <cellStyle name="Style 97 4 2 3 2 6 3" xfId="37519" xr:uid="{A5E9B8C5-96F8-4931-B075-8DA4B5EF9200}"/>
    <cellStyle name="Style 97 4 2 3 2 7" xfId="19061" xr:uid="{CA0F8072-5E82-49C6-89A1-CB4308F58A31}"/>
    <cellStyle name="Style 97 4 2 3 2 7 2" xfId="19062" xr:uid="{0667DE16-F193-4FF9-8EAD-8856EC34790A}"/>
    <cellStyle name="Style 97 4 2 3 2 7 2 2" xfId="37522" xr:uid="{184771C4-6CA4-47AB-9E50-A685F289A0BA}"/>
    <cellStyle name="Style 97 4 2 3 2 7 3" xfId="37521" xr:uid="{7504CE79-B3B4-4F05-8370-81B7EBF6E7D9}"/>
    <cellStyle name="Style 97 4 2 3 2 8" xfId="19063" xr:uid="{596441F2-808B-417C-BE89-0FD46F3702B4}"/>
    <cellStyle name="Style 97 4 2 3 2 8 2" xfId="37523" xr:uid="{C72AA31A-563D-4018-BC96-AE564234832F}"/>
    <cellStyle name="Style 97 4 2 3 2 9" xfId="19064" xr:uid="{D8831B36-42C6-4299-96F7-4C1172DA4358}"/>
    <cellStyle name="Style 97 4 2 3 2 9 2" xfId="37524" xr:uid="{A1811006-6112-4FB3-BE4A-3A4C15DDC27B}"/>
    <cellStyle name="Style 97 4 2 3 3" xfId="7730" xr:uid="{C85267AD-7B98-4DB7-9217-A539B77D51A4}"/>
    <cellStyle name="Style 97 4 2 3 3 2" xfId="7731" xr:uid="{788DF69C-6BF7-468F-8307-89DF88CCF8F2}"/>
    <cellStyle name="Style 97 4 2 3 3 2 2" xfId="19065" xr:uid="{C341429F-B180-420D-BA3E-37C305279ADF}"/>
    <cellStyle name="Style 97 4 2 3 3 2 2 2" xfId="37525" xr:uid="{C74257B1-6143-4D17-B907-17FA6113192C}"/>
    <cellStyle name="Style 97 4 2 3 3 2 3" xfId="19066" xr:uid="{8A5F2B3D-4868-4B0A-9C1C-9FFCDB55BC08}"/>
    <cellStyle name="Style 97 4 2 3 3 2 3 2" xfId="37526" xr:uid="{E6258139-C005-4D94-8425-ABD1A7323582}"/>
    <cellStyle name="Style 97 4 2 3 3 3" xfId="19067" xr:uid="{A6F19630-C410-4BC5-85A8-975128870247}"/>
    <cellStyle name="Style 97 4 2 3 3 3 2" xfId="37527" xr:uid="{889FD04A-7437-4956-A13A-5A5EA8443F66}"/>
    <cellStyle name="Style 97 4 2 3 3 4" xfId="19068" xr:uid="{2F2A531D-BF59-400E-8D0F-7417D35747D7}"/>
    <cellStyle name="Style 97 4 2 3 3 4 2" xfId="37528" xr:uid="{9C8BE417-C5F0-46DE-A7C1-DEF341AF4E1B}"/>
    <cellStyle name="Style 97 4 2 3 3 5" xfId="19069" xr:uid="{EBB36557-AB9C-4A5B-A059-B230D1E07983}"/>
    <cellStyle name="Style 97 4 2 3 3 5 2" xfId="37529" xr:uid="{F15FD555-D6CF-4E75-8A36-3E06F357C9C5}"/>
    <cellStyle name="Style 97 4 2 3 3 6" xfId="19070" xr:uid="{BA8E4254-EA8E-40F8-BC69-816012B916DB}"/>
    <cellStyle name="Style 97 4 2 3 3 6 2" xfId="37530" xr:uid="{4373AB7B-927F-4DCE-A756-ACAE6AE8E048}"/>
    <cellStyle name="Style 97 4 2 3 3 7" xfId="24269" xr:uid="{BC33AD03-C904-44AF-8E73-6410D9AFFFC9}"/>
    <cellStyle name="Style 97 4 2 3 4" xfId="7732" xr:uid="{A83C8B97-D53E-4DC8-9469-CD38C4B4DBEB}"/>
    <cellStyle name="Style 97 4 2 3 4 2" xfId="19071" xr:uid="{D9D0660A-FE46-486A-9025-4EC872892721}"/>
    <cellStyle name="Style 97 4 2 3 4 2 2" xfId="37531" xr:uid="{8025510A-CB2A-4385-AB46-67B3A6361E08}"/>
    <cellStyle name="Style 97 4 2 3 4 3" xfId="19072" xr:uid="{6CCC4739-9AD8-4261-A497-3498297CD186}"/>
    <cellStyle name="Style 97 4 2 3 4 3 2" xfId="37532" xr:uid="{8CAD388A-7941-4539-AFF7-BBDF13EFE61F}"/>
    <cellStyle name="Style 97 4 2 3 4 4" xfId="19073" xr:uid="{8CCBF34C-1375-4589-974F-9EABF0675EFF}"/>
    <cellStyle name="Style 97 4 2 3 4 4 2" xfId="37533" xr:uid="{488759DE-B9CC-4875-B623-49CA29B51FCF}"/>
    <cellStyle name="Style 97 4 2 3 5" xfId="7733" xr:uid="{B3F850C1-1B5A-4B45-B52E-EC07F28D81E2}"/>
    <cellStyle name="Style 97 4 2 3 5 2" xfId="19074" xr:uid="{2FDEB006-5BD8-4FE8-B5ED-881E23F5F8E9}"/>
    <cellStyle name="Style 97 4 2 3 5 2 2" xfId="37534" xr:uid="{CED8E0B2-3595-4DDF-BEAA-2E1ECDAB1E7A}"/>
    <cellStyle name="Style 97 4 2 3 5 3" xfId="19075" xr:uid="{D96800C5-339E-4F98-A75B-7F3FC83E9C2E}"/>
    <cellStyle name="Style 97 4 2 3 5 3 2" xfId="37535" xr:uid="{AFEF5113-44A7-48E9-BEDA-2F149A5921BF}"/>
    <cellStyle name="Style 97 4 2 3 6" xfId="7727" xr:uid="{4B0475F3-5D1C-4910-B90D-910D1A0CCB47}"/>
    <cellStyle name="Style 97 4 2 3 6 2" xfId="19076" xr:uid="{FCFB35A9-B0B2-4339-85CA-06FB71AE3DD8}"/>
    <cellStyle name="Style 97 4 2 3 6 2 2" xfId="37536" xr:uid="{0E83AAFD-D03C-466E-B919-5FD675D46C9A}"/>
    <cellStyle name="Style 97 4 2 3 6 3" xfId="19077" xr:uid="{9F8C7AB9-6C6D-4B14-8C55-E56E465708E3}"/>
    <cellStyle name="Style 97 4 2 3 6 3 2" xfId="37537" xr:uid="{87F115C9-A362-4D24-B6B7-D2DADF2FED0A}"/>
    <cellStyle name="Style 97 4 2 3 7" xfId="19078" xr:uid="{3EA00EEA-B2C0-4821-AE30-2F0D3CE09BB5}"/>
    <cellStyle name="Style 97 4 2 3 7 2" xfId="19079" xr:uid="{B85555DF-D3B0-4C7D-A54B-B720E54BFCC8}"/>
    <cellStyle name="Style 97 4 2 3 7 2 2" xfId="37538" xr:uid="{463A5D69-4898-4B75-8239-EB974648B8C6}"/>
    <cellStyle name="Style 97 4 2 3 7 3" xfId="19080" xr:uid="{5C6791D1-9833-44CA-93C2-02088BC37871}"/>
    <cellStyle name="Style 97 4 2 3 7 3 2" xfId="37539" xr:uid="{3FC38FF1-9130-467B-B901-081F1A57B35A}"/>
    <cellStyle name="Style 97 4 2 3 7 4" xfId="28194" xr:uid="{E53824DC-5C63-4F8E-B3D2-23597410E1A7}"/>
    <cellStyle name="Style 97 4 2 3 8" xfId="19081" xr:uid="{2CED5E9D-C45E-4829-976D-1ADD46227331}"/>
    <cellStyle name="Style 97 4 2 3 8 2" xfId="19082" xr:uid="{EBC01603-7CEF-4D11-9BFA-F0A1D1CB2A30}"/>
    <cellStyle name="Style 97 4 2 3 8 2 2" xfId="37541" xr:uid="{55C89DF6-EB1A-45A9-B5B4-F22B9727739D}"/>
    <cellStyle name="Style 97 4 2 3 8 3" xfId="37540" xr:uid="{58463DED-3057-4275-91DB-9D4890822C2F}"/>
    <cellStyle name="Style 97 4 2 3 9" xfId="19083" xr:uid="{A8081BDA-DB9E-45D9-A5BF-40E93EF05078}"/>
    <cellStyle name="Style 97 4 2 3 9 2" xfId="37542" xr:uid="{C021EC82-46D2-4F17-8CAA-EF216BD7F2C9}"/>
    <cellStyle name="Style 97 4 2 4" xfId="3817" xr:uid="{51D1F8D0-435E-4FB4-8F4E-322FD10D10F3}"/>
    <cellStyle name="Style 97 4 2 4 10" xfId="19084" xr:uid="{0A2D8572-1829-4A10-BBDF-19DBE1324BAA}"/>
    <cellStyle name="Style 97 4 2 4 10 2" xfId="37543" xr:uid="{7CCA1BBA-94AA-455C-9F5E-AD613752DEE0}"/>
    <cellStyle name="Style 97 4 2 4 11" xfId="24270" xr:uid="{AED00540-50B7-49C4-AF54-40289560C8F8}"/>
    <cellStyle name="Style 97 4 2 4 2" xfId="3818" xr:uid="{F6635C65-245B-4EA1-B90C-3E50AA8476A4}"/>
    <cellStyle name="Style 97 4 2 4 2 10" xfId="24271" xr:uid="{10CE818B-8B3F-4B32-A726-D0E608FF58AD}"/>
    <cellStyle name="Style 97 4 2 4 2 2" xfId="7736" xr:uid="{99459AD8-9626-4F72-A311-A6498521DF15}"/>
    <cellStyle name="Style 97 4 2 4 2 2 2" xfId="19085" xr:uid="{780159AD-66A0-4490-880F-3EE08D264965}"/>
    <cellStyle name="Style 97 4 2 4 2 2 2 2" xfId="37544" xr:uid="{45AE9C5B-1430-4349-A608-B99ACB424D5A}"/>
    <cellStyle name="Style 97 4 2 4 2 2 3" xfId="19086" xr:uid="{25A8279B-528E-467C-A09C-307056215B46}"/>
    <cellStyle name="Style 97 4 2 4 2 2 3 2" xfId="37545" xr:uid="{7E25476C-BAC9-4E9D-9C49-29895CB65344}"/>
    <cellStyle name="Style 97 4 2 4 2 2 4" xfId="19087" xr:uid="{F01C0DF1-32E7-42F1-A51C-F64B034CF4DE}"/>
    <cellStyle name="Style 97 4 2 4 2 2 4 2" xfId="37546" xr:uid="{50AFC808-8779-4C8E-A942-DAF5C7A1F14E}"/>
    <cellStyle name="Style 97 4 2 4 2 3" xfId="7735" xr:uid="{F6C0309E-FFDE-473B-8670-82CCEE25449D}"/>
    <cellStyle name="Style 97 4 2 4 2 3 2" xfId="19088" xr:uid="{56CD4364-04F5-46DC-B7C7-C298A0930619}"/>
    <cellStyle name="Style 97 4 2 4 2 3 2 2" xfId="37547" xr:uid="{846AB121-AAEE-4161-8AAE-1CA3E2E9EF8C}"/>
    <cellStyle name="Style 97 4 2 4 2 3 3" xfId="19089" xr:uid="{2ED60F4C-90E5-4221-BF65-3FE4D470A583}"/>
    <cellStyle name="Style 97 4 2 4 2 3 3 2" xfId="37548" xr:uid="{F688438F-2668-4589-9F42-B2D8E0934E62}"/>
    <cellStyle name="Style 97 4 2 4 2 4" xfId="19090" xr:uid="{39687EF8-B879-4CEF-AC8A-CECA1A47AF16}"/>
    <cellStyle name="Style 97 4 2 4 2 4 2" xfId="19091" xr:uid="{B907FFC9-9575-42B0-828D-E66307088551}"/>
    <cellStyle name="Style 97 4 2 4 2 4 2 2" xfId="37549" xr:uid="{911EA65A-E856-45EA-BC97-7E9F1EB448D1}"/>
    <cellStyle name="Style 97 4 2 4 2 4 3" xfId="19092" xr:uid="{418E3C50-ECC4-4BCC-A4F0-F25A9EED6A45}"/>
    <cellStyle name="Style 97 4 2 4 2 4 3 2" xfId="37550" xr:uid="{8E526DDB-7097-4BE8-B65F-61816D6F668B}"/>
    <cellStyle name="Style 97 4 2 4 2 4 4" xfId="28197" xr:uid="{6554F3C5-17F3-450D-8753-F2E190E64BDC}"/>
    <cellStyle name="Style 97 4 2 4 2 5" xfId="19093" xr:uid="{56413719-4E98-4DD9-9A02-81FCEF1511B4}"/>
    <cellStyle name="Style 97 4 2 4 2 5 2" xfId="19094" xr:uid="{A368BAB5-AD80-497E-8824-DEFA2BDFF167}"/>
    <cellStyle name="Style 97 4 2 4 2 5 2 2" xfId="37552" xr:uid="{4C635C31-CB61-412F-8E25-40AB17D81F02}"/>
    <cellStyle name="Style 97 4 2 4 2 5 3" xfId="37551" xr:uid="{492AD014-2446-4004-B5FD-1A80BA4654B8}"/>
    <cellStyle name="Style 97 4 2 4 2 6" xfId="19095" xr:uid="{04F33DD1-05DE-454B-BDB3-4A396576A906}"/>
    <cellStyle name="Style 97 4 2 4 2 6 2" xfId="19096" xr:uid="{6DF11B8F-8123-4D9E-9CBA-168F7F28A777}"/>
    <cellStyle name="Style 97 4 2 4 2 6 2 2" xfId="37554" xr:uid="{918DE10C-1209-4D50-B177-5C750245566A}"/>
    <cellStyle name="Style 97 4 2 4 2 6 3" xfId="37553" xr:uid="{766A8212-090D-4C69-8D2F-C6C1ECF7AE65}"/>
    <cellStyle name="Style 97 4 2 4 2 7" xfId="19097" xr:uid="{B96CCDA4-2B16-41E4-A39E-9DA503724FB2}"/>
    <cellStyle name="Style 97 4 2 4 2 7 2" xfId="19098" xr:uid="{6DD108C9-254E-4123-A675-DA3B7EF2981B}"/>
    <cellStyle name="Style 97 4 2 4 2 7 2 2" xfId="37556" xr:uid="{A1688AA0-DE39-49A2-9631-8C32BCFF78D5}"/>
    <cellStyle name="Style 97 4 2 4 2 7 3" xfId="37555" xr:uid="{0EC7A58D-2E30-4043-9251-C4E740F6AF28}"/>
    <cellStyle name="Style 97 4 2 4 2 8" xfId="19099" xr:uid="{43D10137-6541-4745-9E2F-CC1F46D8427A}"/>
    <cellStyle name="Style 97 4 2 4 2 8 2" xfId="37557" xr:uid="{6CAD74F0-ECFD-4538-B8A9-DE634C92255B}"/>
    <cellStyle name="Style 97 4 2 4 2 9" xfId="19100" xr:uid="{E28906A3-A483-4CC2-B6DA-B67661DDD379}"/>
    <cellStyle name="Style 97 4 2 4 2 9 2" xfId="37558" xr:uid="{4378E96F-504B-4775-B0B2-375C146A768C}"/>
    <cellStyle name="Style 97 4 2 4 3" xfId="7737" xr:uid="{1728BAC5-4528-405F-95C5-F721437563FE}"/>
    <cellStyle name="Style 97 4 2 4 3 2" xfId="19101" xr:uid="{FF1085BB-2F83-4683-953C-DDFB7804D229}"/>
    <cellStyle name="Style 97 4 2 4 3 2 2" xfId="37559" xr:uid="{C54A0D7B-AA1F-4D37-85EB-98AAD67FF31B}"/>
    <cellStyle name="Style 97 4 2 4 3 3" xfId="19102" xr:uid="{CDFA11BC-6635-4C95-A246-DA6FCF1E6EFF}"/>
    <cellStyle name="Style 97 4 2 4 3 3 2" xfId="37560" xr:uid="{F3BD1A48-8358-4CDD-ADA4-069115C5265C}"/>
    <cellStyle name="Style 97 4 2 4 3 4" xfId="19103" xr:uid="{07BDBAA5-C715-4EDE-A6EE-D7912C1514DF}"/>
    <cellStyle name="Style 97 4 2 4 3 4 2" xfId="37561" xr:uid="{EB44C4CA-D9EB-476D-9C4C-5661ED9EB92D}"/>
    <cellStyle name="Style 97 4 2 4 4" xfId="7734" xr:uid="{4FEC2A48-89E1-4018-9FAE-6247667A1433}"/>
    <cellStyle name="Style 97 4 2 4 4 2" xfId="19104" xr:uid="{FC2F033B-6D93-4CF4-95C0-C77A03CB5DC8}"/>
    <cellStyle name="Style 97 4 2 4 4 2 2" xfId="37562" xr:uid="{7352719F-422E-451B-9014-9F841E42587E}"/>
    <cellStyle name="Style 97 4 2 4 4 3" xfId="19105" xr:uid="{F3D72ECD-4D8C-42B8-A447-C36D1693B37E}"/>
    <cellStyle name="Style 97 4 2 4 4 3 2" xfId="37563" xr:uid="{BE374933-026A-4045-986F-D4950BCF3806}"/>
    <cellStyle name="Style 97 4 2 4 5" xfId="19106" xr:uid="{58B8B6DB-8E11-4C15-B7F3-7F20A69924D3}"/>
    <cellStyle name="Style 97 4 2 4 5 2" xfId="19107" xr:uid="{D1F5C506-D016-4818-86DC-B667FCA66834}"/>
    <cellStyle name="Style 97 4 2 4 5 2 2" xfId="37564" xr:uid="{CE451637-52A4-4B02-899D-F6CB77A10DB5}"/>
    <cellStyle name="Style 97 4 2 4 5 3" xfId="19108" xr:uid="{A425A57C-7385-4FEA-97E3-C24B4D0D920B}"/>
    <cellStyle name="Style 97 4 2 4 5 3 2" xfId="37565" xr:uid="{E05A2F52-B3BB-4F84-BA91-09A436F56DBE}"/>
    <cellStyle name="Style 97 4 2 4 5 4" xfId="28196" xr:uid="{55BEE35E-470C-4F6C-A6D2-34873060B0B7}"/>
    <cellStyle name="Style 97 4 2 4 6" xfId="19109" xr:uid="{86B292E9-1B58-4DB9-803E-1BD19DB437BD}"/>
    <cellStyle name="Style 97 4 2 4 6 2" xfId="19110" xr:uid="{8CF9F426-C1BE-4F02-A0FF-C2466B88B1F6}"/>
    <cellStyle name="Style 97 4 2 4 6 2 2" xfId="37567" xr:uid="{FB123FB0-C742-4040-8AF9-CF6363B0B97F}"/>
    <cellStyle name="Style 97 4 2 4 6 3" xfId="37566" xr:uid="{40E66A9D-B983-4B78-B6C8-9FB16BEFB14D}"/>
    <cellStyle name="Style 97 4 2 4 7" xfId="19111" xr:uid="{CCE20A09-B30F-4E54-B358-FC84E0C3D0B4}"/>
    <cellStyle name="Style 97 4 2 4 7 2" xfId="19112" xr:uid="{DD08AFFD-B58D-4C70-8BDB-324ED0E7F331}"/>
    <cellStyle name="Style 97 4 2 4 7 2 2" xfId="37569" xr:uid="{15BC96F3-F012-44EE-81D6-48F37F552C23}"/>
    <cellStyle name="Style 97 4 2 4 7 3" xfId="37568" xr:uid="{1A7D1B74-996D-4F2A-A71D-78F6F8EDB265}"/>
    <cellStyle name="Style 97 4 2 4 8" xfId="19113" xr:uid="{E63A7E18-588B-42DB-931D-2F42026E332F}"/>
    <cellStyle name="Style 97 4 2 4 8 2" xfId="19114" xr:uid="{F3BCAA6E-586B-45F1-97F2-DBD80CE5B1E6}"/>
    <cellStyle name="Style 97 4 2 4 8 2 2" xfId="37571" xr:uid="{A0F32F80-C2F6-4D27-B347-CED34C546A5C}"/>
    <cellStyle name="Style 97 4 2 4 8 3" xfId="37570" xr:uid="{CB223172-6F43-4FD2-8C19-7A486ABC265A}"/>
    <cellStyle name="Style 97 4 2 4 9" xfId="19115" xr:uid="{240AC0E4-969A-4E44-814F-42E226ACAABB}"/>
    <cellStyle name="Style 97 4 2 4 9 2" xfId="37572" xr:uid="{FF4D4491-78C5-4151-B824-EEC1AA924EB9}"/>
    <cellStyle name="Style 97 4 2 5" xfId="7738" xr:uid="{576C7CCE-B6B1-47E0-A97B-7E564964570D}"/>
    <cellStyle name="Style 97 4 2 5 2" xfId="19116" xr:uid="{1ED84F24-FD88-4C69-A11E-F1AC060ACC07}"/>
    <cellStyle name="Style 97 4 2 5 2 2" xfId="19117" xr:uid="{17E2BE08-BC8D-42BC-9A1B-044555F240A3}"/>
    <cellStyle name="Style 97 4 2 5 2 2 2" xfId="37574" xr:uid="{6249BA0C-249E-4DB5-87C0-A0749CEEF233}"/>
    <cellStyle name="Style 97 4 2 5 2 3" xfId="37573" xr:uid="{A3E08573-7952-4C0D-AD06-E0B2443B8744}"/>
    <cellStyle name="Style 97 4 2 5 3" xfId="19118" xr:uid="{4DC1FD79-30A7-458B-982A-3097329C373F}"/>
    <cellStyle name="Style 97 4 2 5 3 2" xfId="37575" xr:uid="{008C9AB6-AFDC-4D5B-A91E-7258A3BFC0A6}"/>
    <cellStyle name="Style 97 4 2 5 4" xfId="19119" xr:uid="{AF6F6B5F-D970-4B7D-BCC5-940154DD01EF}"/>
    <cellStyle name="Style 97 4 2 5 4 2" xfId="37576" xr:uid="{199783D8-2A9A-4A1D-BEC7-7B08AFA4E2BC}"/>
    <cellStyle name="Style 97 4 2 5 5" xfId="19120" xr:uid="{5538E90E-E126-476F-ACA2-F4AF107A592E}"/>
    <cellStyle name="Style 97 4 2 5 5 2" xfId="37577" xr:uid="{C4704184-72B6-492F-9858-4D13AE02542D}"/>
    <cellStyle name="Style 97 4 2 5 6" xfId="19121" xr:uid="{A1E006B7-5107-4CA8-B4BA-FD05038AB595}"/>
    <cellStyle name="Style 97 4 2 5 6 2" xfId="37578" xr:uid="{C2826D9B-11FF-4D28-813E-D4CEDE09170E}"/>
    <cellStyle name="Style 97 4 2 6" xfId="7739" xr:uid="{8B2439F7-3C7C-494F-8858-8846B402778A}"/>
    <cellStyle name="Style 97 4 2 6 2" xfId="19122" xr:uid="{E8917806-9FBE-40B2-8CF0-A65CE65A8AB1}"/>
    <cellStyle name="Style 97 4 2 6 2 2" xfId="37579" xr:uid="{5DB8F11D-3A8B-4E64-8CFE-F574CAC44DDB}"/>
    <cellStyle name="Style 97 4 2 6 3" xfId="19123" xr:uid="{01F92935-8C85-48E7-BFBF-106091F740CE}"/>
    <cellStyle name="Style 97 4 2 6 3 2" xfId="37580" xr:uid="{443E6B09-9480-4214-8E83-2170B0275E78}"/>
    <cellStyle name="Style 97 4 2 6 4" xfId="19124" xr:uid="{1D6E1702-1338-48C2-B0AB-5E049AA5916A}"/>
    <cellStyle name="Style 97 4 2 6 4 2" xfId="37581" xr:uid="{B4A5D9EF-A47B-4AFB-99D5-F9A152F9E537}"/>
    <cellStyle name="Style 97 4 2 7" xfId="7724" xr:uid="{63D04696-A5FA-4A38-9CF7-1F4AD952C299}"/>
    <cellStyle name="Style 97 4 2 7 2" xfId="19125" xr:uid="{3CDA36F6-7A84-49FC-B58C-24640156A20B}"/>
    <cellStyle name="Style 97 4 2 7 2 2" xfId="37582" xr:uid="{957EC86F-6919-4B84-AF1E-5421AD012369}"/>
    <cellStyle name="Style 97 4 2 7 3" xfId="19126" xr:uid="{62B72811-F4B1-414A-B0F0-DF259F0C8905}"/>
    <cellStyle name="Style 97 4 2 7 3 2" xfId="37583" xr:uid="{A50E28FB-2C60-4E45-AD48-A6A7F446542E}"/>
    <cellStyle name="Style 97 4 2 8" xfId="19127" xr:uid="{69D2511E-695C-4D69-9D5E-CDF123189FA7}"/>
    <cellStyle name="Style 97 4 2 8 2" xfId="19128" xr:uid="{AB12AC2D-FC8F-45FB-BB65-C6A7DA6BD6D4}"/>
    <cellStyle name="Style 97 4 2 8 2 2" xfId="37584" xr:uid="{FC0A4CB7-0A9D-46A3-8EA4-48553F852514}"/>
    <cellStyle name="Style 97 4 2 8 3" xfId="19129" xr:uid="{D2176DA0-9902-404A-B51F-D264BFA51AD2}"/>
    <cellStyle name="Style 97 4 2 8 3 2" xfId="37585" xr:uid="{C155CE4C-BD1A-4829-B526-9FD7762205E9}"/>
    <cellStyle name="Style 97 4 2 8 4" xfId="28192" xr:uid="{F01C743C-30E2-4553-989C-7F15D79C6F59}"/>
    <cellStyle name="Style 97 4 2 9" xfId="19130" xr:uid="{E2EC13BF-3303-4060-A546-08EC5D30834F}"/>
    <cellStyle name="Style 97 4 2 9 2" xfId="19131" xr:uid="{D3E9463E-20B1-4813-AAA2-327082143A72}"/>
    <cellStyle name="Style 97 4 2 9 2 2" xfId="37587" xr:uid="{1C8B110A-A207-4306-BF44-FD5A439E882A}"/>
    <cellStyle name="Style 97 4 2 9 3" xfId="37586" xr:uid="{F7A0AC4F-9B92-449E-B781-8B6107997DBA}"/>
    <cellStyle name="Style 97 4 3" xfId="3819" xr:uid="{F6956CB2-7E1F-40B9-8C9C-9D2D4C8D58EC}"/>
    <cellStyle name="Style 97 4 3 10" xfId="24272" xr:uid="{8984BDA5-EA0A-4591-AC14-CC7C8FC92C7F}"/>
    <cellStyle name="Style 97 4 3 2" xfId="7741" xr:uid="{2776173D-F8DC-41D8-82EF-4E3904213211}"/>
    <cellStyle name="Style 97 4 3 2 2" xfId="19132" xr:uid="{3892EAA4-00BC-4CE3-BF14-9D174C35E98F}"/>
    <cellStyle name="Style 97 4 3 2 2 2" xfId="37588" xr:uid="{716F684C-5002-452C-B920-E2C13A9A24F9}"/>
    <cellStyle name="Style 97 4 3 2 3" xfId="19133" xr:uid="{FEB0D710-BE43-4689-8801-846D3A1ADDAD}"/>
    <cellStyle name="Style 97 4 3 2 3 2" xfId="37589" xr:uid="{21FD67BE-4BA4-4249-A4E9-59410AE643B8}"/>
    <cellStyle name="Style 97 4 3 2 4" xfId="19134" xr:uid="{76F89AD9-7ABA-40F4-AE00-742418936011}"/>
    <cellStyle name="Style 97 4 3 2 4 2" xfId="37590" xr:uid="{7B0CE100-E9BD-4F0B-A1A2-46AACB7870D2}"/>
    <cellStyle name="Style 97 4 3 3" xfId="7740" xr:uid="{DB214114-8409-4C32-BF65-4440317F6428}"/>
    <cellStyle name="Style 97 4 3 3 2" xfId="19135" xr:uid="{DEA069E5-3FAA-4569-8C17-16A3DF3F8975}"/>
    <cellStyle name="Style 97 4 3 3 2 2" xfId="37591" xr:uid="{133E7B8A-E013-4CE9-8DD0-3B64A29967E3}"/>
    <cellStyle name="Style 97 4 3 3 3" xfId="19136" xr:uid="{E4408F28-E3D8-4671-9C48-2892D3336AF0}"/>
    <cellStyle name="Style 97 4 3 3 3 2" xfId="37592" xr:uid="{9A2336C7-8222-4260-8926-52A86FCFB07E}"/>
    <cellStyle name="Style 97 4 3 4" xfId="19137" xr:uid="{8D3DA09A-B496-4B8B-BE00-054C01E42EA7}"/>
    <cellStyle name="Style 97 4 3 4 2" xfId="19138" xr:uid="{152B3346-8484-47A5-B1BD-F1C9F1345312}"/>
    <cellStyle name="Style 97 4 3 4 2 2" xfId="37593" xr:uid="{0849B480-2764-42A1-8DC1-A61719F1914B}"/>
    <cellStyle name="Style 97 4 3 4 3" xfId="19139" xr:uid="{77F94A6A-5881-4A39-88FC-BDDF71FA7B6E}"/>
    <cellStyle name="Style 97 4 3 4 3 2" xfId="37594" xr:uid="{9ADCEB9F-85D3-4029-B55A-1ADD72555A41}"/>
    <cellStyle name="Style 97 4 3 4 4" xfId="28198" xr:uid="{CADA0DE5-0CF2-482D-B263-18A7CB290597}"/>
    <cellStyle name="Style 97 4 3 5" xfId="19140" xr:uid="{20CF67D9-EFB4-412E-8D17-E5E4A7127DF7}"/>
    <cellStyle name="Style 97 4 3 5 2" xfId="19141" xr:uid="{FF674CC8-15A3-42B6-9D87-FA6486C3C915}"/>
    <cellStyle name="Style 97 4 3 5 2 2" xfId="37596" xr:uid="{E4FD813C-A739-4762-8981-192BA09F5BF3}"/>
    <cellStyle name="Style 97 4 3 5 3" xfId="37595" xr:uid="{1C511918-5CCC-4487-ABF3-96D28C74B437}"/>
    <cellStyle name="Style 97 4 3 6" xfId="19142" xr:uid="{E80F5ADC-5F73-44D4-BC8C-09221C3A96E9}"/>
    <cellStyle name="Style 97 4 3 6 2" xfId="19143" xr:uid="{B7B59DAF-E930-4925-BDF0-E04B16592B79}"/>
    <cellStyle name="Style 97 4 3 6 2 2" xfId="37598" xr:uid="{EBEFA5B6-63FE-4A79-B3AF-4C7353271FA4}"/>
    <cellStyle name="Style 97 4 3 6 3" xfId="37597" xr:uid="{71DD69F7-DE92-4268-9153-322CA3B41154}"/>
    <cellStyle name="Style 97 4 3 7" xfId="19144" xr:uid="{B8B1B7ED-F3D9-4B3A-85FF-183DC2BD6657}"/>
    <cellStyle name="Style 97 4 3 7 2" xfId="19145" xr:uid="{401255D1-6184-4882-82AB-FDA57468FC39}"/>
    <cellStyle name="Style 97 4 3 7 2 2" xfId="37600" xr:uid="{F61EF464-D3E6-47FB-8C24-A28165B501D7}"/>
    <cellStyle name="Style 97 4 3 7 3" xfId="37599" xr:uid="{7FD5B155-0D20-4F66-96BE-4E8ED88E1184}"/>
    <cellStyle name="Style 97 4 3 8" xfId="19146" xr:uid="{1651EEC9-9AB4-45C4-943B-C38D00C02A0B}"/>
    <cellStyle name="Style 97 4 3 8 2" xfId="37601" xr:uid="{8AAB7500-711F-47FD-8100-EBAF7573474C}"/>
    <cellStyle name="Style 97 4 3 9" xfId="19147" xr:uid="{7800DB42-3661-48FB-9EA4-38BE8733BD04}"/>
    <cellStyle name="Style 97 4 3 9 2" xfId="37602" xr:uid="{38739485-527E-4D02-B423-571A76CFE499}"/>
    <cellStyle name="Style 97 4 4" xfId="7742" xr:uid="{97970F15-CE89-49AF-88EB-A959ECB928A4}"/>
    <cellStyle name="Style 97 4 4 2" xfId="7743" xr:uid="{7DFAA70A-B86B-467F-825D-B610561A6B1C}"/>
    <cellStyle name="Style 97 4 4 2 2" xfId="19148" xr:uid="{1E46E352-8928-465D-A453-608AEC06E6CC}"/>
    <cellStyle name="Style 97 4 4 2 2 2" xfId="37603" xr:uid="{4C17FC7C-A483-45CA-80B4-4C0FB4C9B032}"/>
    <cellStyle name="Style 97 4 4 2 3" xfId="19149" xr:uid="{6107C651-DA08-4B87-9FA6-D4D6E57F9DEB}"/>
    <cellStyle name="Style 97 4 4 2 3 2" xfId="37604" xr:uid="{131CC607-8A00-47E6-828A-B8DDCCE62EC5}"/>
    <cellStyle name="Style 97 4 4 3" xfId="7744" xr:uid="{D684443B-0B39-477E-A61F-ADB44BC8A0C2}"/>
    <cellStyle name="Style 97 4 4 3 2" xfId="19150" xr:uid="{4F1A3200-6585-4CFD-8E0C-98FF58B98402}"/>
    <cellStyle name="Style 97 4 4 3 2 2" xfId="37605" xr:uid="{049F875A-53B1-4477-92CB-8CB0A479DF64}"/>
    <cellStyle name="Style 97 4 4 4" xfId="19151" xr:uid="{05825616-5F07-4412-B6B5-25BFB5FC339A}"/>
    <cellStyle name="Style 97 4 4 4 2" xfId="37606" xr:uid="{F8E614AF-E255-476D-9376-0B24186B339C}"/>
    <cellStyle name="Style 97 4 4 5" xfId="19152" xr:uid="{55319B7A-E68B-4A98-BF04-802697B26F6F}"/>
    <cellStyle name="Style 97 4 4 5 2" xfId="37607" xr:uid="{A34E2E71-26B3-4B4C-A9CD-830B3AD50B87}"/>
    <cellStyle name="Style 97 4 4 6" xfId="19153" xr:uid="{B5E9373F-91B7-4BEF-81A8-AE2AD4920B49}"/>
    <cellStyle name="Style 97 4 4 6 2" xfId="37608" xr:uid="{F71532C7-368A-4643-B020-61CA456E366D}"/>
    <cellStyle name="Style 97 4 4 7" xfId="24273" xr:uid="{946B9254-4F89-4AC1-AE01-2546285744A6}"/>
    <cellStyle name="Style 97 4 5" xfId="7745" xr:uid="{704AF053-6448-43F2-A372-64A2B25500F8}"/>
    <cellStyle name="Style 97 4 5 2" xfId="19154" xr:uid="{7A13D4A7-3967-4621-9D70-C56F240A1A65}"/>
    <cellStyle name="Style 97 4 5 2 2" xfId="37609" xr:uid="{690872B9-A3E9-4282-A489-8BA66852401E}"/>
    <cellStyle name="Style 97 4 5 3" xfId="19155" xr:uid="{1AB53554-1D42-47EC-AE4C-B088BCD14980}"/>
    <cellStyle name="Style 97 4 5 3 2" xfId="37610" xr:uid="{244F1D98-0684-45AA-88A4-4F354042A5F4}"/>
    <cellStyle name="Style 97 4 5 4" xfId="19156" xr:uid="{1F9EEC98-1468-4BE3-87CA-345F3E5F5A05}"/>
    <cellStyle name="Style 97 4 5 4 2" xfId="37611" xr:uid="{76CC80E3-A02E-4797-9023-EC544CD58B1F}"/>
    <cellStyle name="Style 97 4 6" xfId="7723" xr:uid="{F7EC60F0-0341-42A3-8A4E-3EB5407CA701}"/>
    <cellStyle name="Style 97 4 6 2" xfId="19157" xr:uid="{E09133DB-60FB-4DBD-9B16-FE546F1FD0B8}"/>
    <cellStyle name="Style 97 4 6 2 2" xfId="37612" xr:uid="{10D91222-C11F-42B2-B589-4AEE1C8B924F}"/>
    <cellStyle name="Style 97 4 6 3" xfId="19158" xr:uid="{A5FAC33C-014B-4891-823E-F3B0C47611AA}"/>
    <cellStyle name="Style 97 4 6 3 2" xfId="37613" xr:uid="{84A98054-652A-4201-9511-7DAFA58E41C4}"/>
    <cellStyle name="Style 97 4 7" xfId="4458" xr:uid="{4456016A-380E-44E2-B4F5-B729C2A01FA7}"/>
    <cellStyle name="Style 97 4 7 2" xfId="19159" xr:uid="{240E2452-80C4-4879-890F-738E2283B0AF}"/>
    <cellStyle name="Style 97 4 7 2 2" xfId="37614" xr:uid="{2B59D35B-94A1-4FB7-9269-6AEA287F893D}"/>
    <cellStyle name="Style 97 4 7 3" xfId="19160" xr:uid="{9BE65D7A-C9C9-4655-A25C-57A8DB342B0A}"/>
    <cellStyle name="Style 97 4 7 3 2" xfId="37615" xr:uid="{B0A4101B-052E-4C64-9680-783736258552}"/>
    <cellStyle name="Style 97 4 7 4" xfId="26731" xr:uid="{8C99FFB6-30C0-4318-905F-96877E7D7C04}"/>
    <cellStyle name="Style 97 4 8" xfId="19161" xr:uid="{710036FC-C1D9-4AB9-AD4F-98D8D30B6ADB}"/>
    <cellStyle name="Style 97 4 8 2" xfId="19162" xr:uid="{CD45D935-82E8-4137-AA15-E62A5C51F4E7}"/>
    <cellStyle name="Style 97 4 8 2 2" xfId="37616" xr:uid="{09BD4D55-83F6-4A77-9477-ACD75A499157}"/>
    <cellStyle name="Style 97 4 8 3" xfId="19163" xr:uid="{F7CF66DE-56EC-4BFA-8DD1-BB88EE3D5D56}"/>
    <cellStyle name="Style 97 4 8 3 2" xfId="37617" xr:uid="{AF52E20B-2E37-4091-A357-F6744C66DAEF}"/>
    <cellStyle name="Style 97 4 8 4" xfId="28191" xr:uid="{8BC8AC6F-3B2B-40A8-98FF-341C08682750}"/>
    <cellStyle name="Style 97 4 9" xfId="19164" xr:uid="{24E854F8-D75C-41AA-A55B-8D001ADD4E96}"/>
    <cellStyle name="Style 97 4 9 2" xfId="19165" xr:uid="{28FBED0E-E380-4ADA-8641-DE428401EEB3}"/>
    <cellStyle name="Style 97 4 9 2 2" xfId="37619" xr:uid="{38C2BFB6-FB90-4397-B6A1-73D0CC23B4F2}"/>
    <cellStyle name="Style 97 4 9 3" xfId="37618" xr:uid="{F5E70BF9-DA72-42DE-926B-721C602F53C6}"/>
    <cellStyle name="Style 97 5" xfId="3820" xr:uid="{A16AAB7B-A7BA-4500-9FDF-9E67FFB4D8F7}"/>
    <cellStyle name="Style 97 5 10" xfId="19166" xr:uid="{19448BC7-0217-4DA7-BEF2-A93D4DEDDE90}"/>
    <cellStyle name="Style 97 5 10 2" xfId="37620" xr:uid="{6793CBAB-C263-412A-99ED-474DB1163F76}"/>
    <cellStyle name="Style 97 5 11" xfId="19167" xr:uid="{9A97317B-2E30-4AD9-B5A8-42A4F1E9B69D}"/>
    <cellStyle name="Style 97 5 11 2" xfId="37621" xr:uid="{178899B7-6282-485F-ACEA-3630285040B5}"/>
    <cellStyle name="Style 97 5 12" xfId="24274" xr:uid="{AB3F4A43-4AE5-4F90-8ECD-C0AF94B98701}"/>
    <cellStyle name="Style 97 5 2" xfId="3821" xr:uid="{9B7A2C59-F23D-4658-A836-AF5BA9ED877A}"/>
    <cellStyle name="Style 97 5 2 10" xfId="19168" xr:uid="{823A22BE-CE83-40EE-937C-BF578EBD8CBD}"/>
    <cellStyle name="Style 97 5 2 10 2" xfId="19169" xr:uid="{9167DE58-52B7-40BB-9406-8FB28F1E43C0}"/>
    <cellStyle name="Style 97 5 2 10 2 2" xfId="37623" xr:uid="{51006C57-3A66-4404-9CE9-27CB00296899}"/>
    <cellStyle name="Style 97 5 2 10 3" xfId="37622" xr:uid="{52D4ED6C-3061-4C22-8BE7-0D1DC73F4C3B}"/>
    <cellStyle name="Style 97 5 2 11" xfId="19170" xr:uid="{641CFFAE-FD41-4D1F-ACEF-65A3BEE69134}"/>
    <cellStyle name="Style 97 5 2 11 2" xfId="37624" xr:uid="{E865950C-EBFB-4951-A724-86BE497CD462}"/>
    <cellStyle name="Style 97 5 2 12" xfId="19171" xr:uid="{668AFE20-C37C-4E24-8B94-F57D030BD91F}"/>
    <cellStyle name="Style 97 5 2 12 2" xfId="37625" xr:uid="{1826248A-98FF-4D61-8C39-03E171CB23B1}"/>
    <cellStyle name="Style 97 5 2 13" xfId="24275" xr:uid="{7F8EBDC2-69F8-4002-A71B-CAF413607395}"/>
    <cellStyle name="Style 97 5 2 2" xfId="3822" xr:uid="{84EB0905-D7A2-4BB2-B909-200FC0B06BA2}"/>
    <cellStyle name="Style 97 5 2 2 10" xfId="24276" xr:uid="{F096D399-4C70-4C90-B476-38F9C7196C29}"/>
    <cellStyle name="Style 97 5 2 2 2" xfId="7749" xr:uid="{F19DD925-E8AA-4723-B7D9-FDB7C33AAA4B}"/>
    <cellStyle name="Style 97 5 2 2 2 2" xfId="19172" xr:uid="{ABB69A68-3DED-483F-92B7-1A6F5D11A185}"/>
    <cellStyle name="Style 97 5 2 2 2 2 2" xfId="37626" xr:uid="{CA878FF6-62B4-4D9D-8432-D12A53D15E43}"/>
    <cellStyle name="Style 97 5 2 2 2 3" xfId="19173" xr:uid="{3AA1E17F-0FB1-4146-9E12-488CDE667C8C}"/>
    <cellStyle name="Style 97 5 2 2 2 3 2" xfId="37627" xr:uid="{39B1ED26-BAAF-416E-BC3B-DFE98AA18ACE}"/>
    <cellStyle name="Style 97 5 2 2 2 4" xfId="19174" xr:uid="{2EBDBA1A-CD53-4263-A34A-9EF1501F7E23}"/>
    <cellStyle name="Style 97 5 2 2 2 4 2" xfId="37628" xr:uid="{2D370E43-C19B-420F-8D82-5BB9132836E4}"/>
    <cellStyle name="Style 97 5 2 2 3" xfId="7748" xr:uid="{6388FC80-0FF7-46F9-AE23-A9586D14F3EE}"/>
    <cellStyle name="Style 97 5 2 2 3 2" xfId="19175" xr:uid="{A15ABF3A-3463-4402-A626-B4C97C052A4A}"/>
    <cellStyle name="Style 97 5 2 2 3 2 2" xfId="37629" xr:uid="{51BFDD8A-7FC3-4E62-9628-DB02FFFAAF61}"/>
    <cellStyle name="Style 97 5 2 2 3 3" xfId="19176" xr:uid="{28893ED2-B144-4D04-9267-E2A68E76668F}"/>
    <cellStyle name="Style 97 5 2 2 3 3 2" xfId="37630" xr:uid="{66AE9D58-61ED-4C36-A699-87191FE9AA0D}"/>
    <cellStyle name="Style 97 5 2 2 4" xfId="19177" xr:uid="{5C6C24BB-9E1A-4477-9656-5E4C333A7756}"/>
    <cellStyle name="Style 97 5 2 2 4 2" xfId="19178" xr:uid="{EE827DA3-4E29-4AE1-8CA0-99AC31D0D84E}"/>
    <cellStyle name="Style 97 5 2 2 4 2 2" xfId="37631" xr:uid="{935D69DA-7169-43FC-826B-4963AE48A3EC}"/>
    <cellStyle name="Style 97 5 2 2 4 3" xfId="19179" xr:uid="{5F99BED0-FB1E-42B6-9293-BADB1A83F48A}"/>
    <cellStyle name="Style 97 5 2 2 4 3 2" xfId="37632" xr:uid="{B9345CDC-96AE-4610-A8D8-08E18F39A8D4}"/>
    <cellStyle name="Style 97 5 2 2 4 4" xfId="28201" xr:uid="{767005EF-7EF3-474E-AD36-B612AC3D6F5B}"/>
    <cellStyle name="Style 97 5 2 2 5" xfId="19180" xr:uid="{C8380D25-537C-49A2-B789-AFF6AB7A4A68}"/>
    <cellStyle name="Style 97 5 2 2 5 2" xfId="19181" xr:uid="{ABB3DB1C-FD76-447C-9F3E-4995B9244C2E}"/>
    <cellStyle name="Style 97 5 2 2 5 2 2" xfId="37634" xr:uid="{A9B8BDA3-C9D5-449A-AE55-316426CC4FB2}"/>
    <cellStyle name="Style 97 5 2 2 5 3" xfId="37633" xr:uid="{7FBAE504-55A6-40FB-AFD8-593D76541B47}"/>
    <cellStyle name="Style 97 5 2 2 6" xfId="19182" xr:uid="{C4005A71-2ADF-4110-890C-55C167CA6DDE}"/>
    <cellStyle name="Style 97 5 2 2 6 2" xfId="19183" xr:uid="{CD6F64B1-65CD-47C5-AA9D-F2C2D34003AB}"/>
    <cellStyle name="Style 97 5 2 2 6 2 2" xfId="37636" xr:uid="{6296E6BC-066D-442B-86B2-11348FA4A09A}"/>
    <cellStyle name="Style 97 5 2 2 6 3" xfId="37635" xr:uid="{E7B4625A-6D8F-493C-B775-D08682C77C70}"/>
    <cellStyle name="Style 97 5 2 2 7" xfId="19184" xr:uid="{B570165C-BECA-4DBF-8A82-FD8FA49026A5}"/>
    <cellStyle name="Style 97 5 2 2 7 2" xfId="19185" xr:uid="{DBA34AFA-4A93-41DD-9C95-957A8EF25C9B}"/>
    <cellStyle name="Style 97 5 2 2 7 2 2" xfId="37638" xr:uid="{50301545-6541-4A5F-90BF-30B3CBB5D601}"/>
    <cellStyle name="Style 97 5 2 2 7 3" xfId="37637" xr:uid="{8DAC8514-AD5E-4854-9624-D60CA0367F18}"/>
    <cellStyle name="Style 97 5 2 2 8" xfId="19186" xr:uid="{E0E3B2C6-887E-45E5-9B9A-00453846EC32}"/>
    <cellStyle name="Style 97 5 2 2 8 2" xfId="37639" xr:uid="{EC4C4904-D6C5-4011-9418-9E640A64E267}"/>
    <cellStyle name="Style 97 5 2 2 9" xfId="19187" xr:uid="{C1E0D976-3172-4BDA-8429-614E5DB34FBA}"/>
    <cellStyle name="Style 97 5 2 2 9 2" xfId="37640" xr:uid="{0011DE0B-A49B-4E9E-90FA-4AFD58B78370}"/>
    <cellStyle name="Style 97 5 2 3" xfId="3823" xr:uid="{61AC87A0-105E-49FF-A8DE-89D8F7C555F8}"/>
    <cellStyle name="Style 97 5 2 3 10" xfId="19188" xr:uid="{18CF41E6-5B2A-4B06-A30A-906AD2B496F2}"/>
    <cellStyle name="Style 97 5 2 3 10 2" xfId="37641" xr:uid="{AF03904B-DDAB-4247-BD11-B49A27AD2312}"/>
    <cellStyle name="Style 97 5 2 3 11" xfId="24277" xr:uid="{6DED73C1-6F02-44C0-9611-0CBEA8BCE8EF}"/>
    <cellStyle name="Style 97 5 2 3 2" xfId="3824" xr:uid="{781F3E30-15FE-4EAF-AB52-9C1196C63A5D}"/>
    <cellStyle name="Style 97 5 2 3 2 10" xfId="19189" xr:uid="{B3600F02-A9D4-4F18-B8EA-DEDF91354CDB}"/>
    <cellStyle name="Style 97 5 2 3 2 10 2" xfId="37642" xr:uid="{27E57460-5E62-4BB5-A9EA-417C15B7C328}"/>
    <cellStyle name="Style 97 5 2 3 2 11" xfId="24278" xr:uid="{4C0B6FA6-4DEB-4B0D-B8C7-F3650A088FC5}"/>
    <cellStyle name="Style 97 5 2 3 2 2" xfId="7752" xr:uid="{FB9194E3-FCB2-409B-8173-8B585EC2A864}"/>
    <cellStyle name="Style 97 5 2 3 2 2 2" xfId="19190" xr:uid="{F298645C-E4BB-44F2-9009-A088CB241DC9}"/>
    <cellStyle name="Style 97 5 2 3 2 2 2 2" xfId="19191" xr:uid="{147C8AA1-8119-4DB5-886F-519CB9D0AA27}"/>
    <cellStyle name="Style 97 5 2 3 2 2 2 2 2" xfId="37644" xr:uid="{5EC9E687-AB74-46CC-9B90-D08A2CC09AD0}"/>
    <cellStyle name="Style 97 5 2 3 2 2 2 3" xfId="37643" xr:uid="{ECD15FAA-4F42-42CA-A3A8-C0B5BD15EF5E}"/>
    <cellStyle name="Style 97 5 2 3 2 2 3" xfId="19192" xr:uid="{7FCAEC3D-9489-41C1-9F88-761CDE46D840}"/>
    <cellStyle name="Style 97 5 2 3 2 2 3 2" xfId="19193" xr:uid="{FE9CCFA7-37B2-45A1-9A05-43267483DE41}"/>
    <cellStyle name="Style 97 5 2 3 2 2 3 2 2" xfId="37646" xr:uid="{979E6A99-D6A3-4901-B5B7-96A4F1545AA0}"/>
    <cellStyle name="Style 97 5 2 3 2 2 3 3" xfId="37645" xr:uid="{2D874F04-C346-4FEB-96CA-641CFFD39A62}"/>
    <cellStyle name="Style 97 5 2 3 2 2 4" xfId="19194" xr:uid="{D96A3CCB-7395-444F-BB84-43B84E828E84}"/>
    <cellStyle name="Style 97 5 2 3 2 2 4 2" xfId="19195" xr:uid="{5806D65F-4413-4DCA-A9F6-529355C06F77}"/>
    <cellStyle name="Style 97 5 2 3 2 2 4 2 2" xfId="37648" xr:uid="{B43B0A60-80A2-482E-91E7-E566EBDE7E61}"/>
    <cellStyle name="Style 97 5 2 3 2 2 4 3" xfId="37647" xr:uid="{6743F099-415C-4BBE-ABB9-130AC06681BF}"/>
    <cellStyle name="Style 97 5 2 3 2 2 5" xfId="19196" xr:uid="{A5F4B196-0F4F-4E3B-8FE8-37D339949715}"/>
    <cellStyle name="Style 97 5 2 3 2 2 5 2" xfId="19197" xr:uid="{44DC9634-38ED-4710-B960-F8852CD82B22}"/>
    <cellStyle name="Style 97 5 2 3 2 2 5 2 2" xfId="37650" xr:uid="{776035C5-65C3-4661-8701-885D9954BFBD}"/>
    <cellStyle name="Style 97 5 2 3 2 2 5 3" xfId="37649" xr:uid="{A6FCF2C9-2299-4508-931D-E849CB9060EF}"/>
    <cellStyle name="Style 97 5 2 3 2 2 6" xfId="19198" xr:uid="{F9C20E54-458F-4BBC-927B-9F910D08A4C1}"/>
    <cellStyle name="Style 97 5 2 3 2 2 6 2" xfId="37651" xr:uid="{5B3C246D-8129-4342-92C9-17B50926447A}"/>
    <cellStyle name="Style 97 5 2 3 2 2 7" xfId="19199" xr:uid="{439E5B05-D291-47D9-94AF-F71F57EA90AC}"/>
    <cellStyle name="Style 97 5 2 3 2 2 7 2" xfId="37652" xr:uid="{7039D512-5983-49F6-92E4-F3FBFE0DBA09}"/>
    <cellStyle name="Style 97 5 2 3 2 3" xfId="7751" xr:uid="{035721A8-FC9B-4762-BB5C-D6A7D9A62F71}"/>
    <cellStyle name="Style 97 5 2 3 2 3 2" xfId="19200" xr:uid="{326C37B6-78C8-40F9-AFDC-12FC31D6217C}"/>
    <cellStyle name="Style 97 5 2 3 2 3 2 2" xfId="37653" xr:uid="{FFDC2033-9B3F-40EB-B33F-E79DF2237466}"/>
    <cellStyle name="Style 97 5 2 3 2 3 3" xfId="19201" xr:uid="{1FC5C873-4F8B-4F5B-8264-D38B5D65CF0A}"/>
    <cellStyle name="Style 97 5 2 3 2 3 3 2" xfId="37654" xr:uid="{682951EE-E65A-431A-9495-623DDB6A4549}"/>
    <cellStyle name="Style 97 5 2 3 2 4" xfId="19202" xr:uid="{F740A24F-7E4A-43B2-831E-6537C7808F89}"/>
    <cellStyle name="Style 97 5 2 3 2 4 2" xfId="19203" xr:uid="{F2ADD6A7-BA8A-4B0B-A700-A55F9F80694A}"/>
    <cellStyle name="Style 97 5 2 3 2 4 2 2" xfId="37655" xr:uid="{58A4A0E2-20E9-4569-9153-A42E494B516F}"/>
    <cellStyle name="Style 97 5 2 3 2 4 3" xfId="19204" xr:uid="{FA5A2073-F005-4D45-9E30-3BD25A87B89E}"/>
    <cellStyle name="Style 97 5 2 3 2 4 3 2" xfId="37656" xr:uid="{5392A6C0-E0DB-4728-9214-D30DD963605B}"/>
    <cellStyle name="Style 97 5 2 3 2 4 4" xfId="28203" xr:uid="{98C08135-157B-44C2-A42C-05BE900F82E7}"/>
    <cellStyle name="Style 97 5 2 3 2 5" xfId="19205" xr:uid="{95C806E3-1FBE-45B7-B5F2-EE2B0CBDE48E}"/>
    <cellStyle name="Style 97 5 2 3 2 5 2" xfId="19206" xr:uid="{B7B2BD9F-7664-476C-A83B-4F2A192AEDDC}"/>
    <cellStyle name="Style 97 5 2 3 2 5 2 2" xfId="37658" xr:uid="{6CD3F4D3-AC38-4529-9564-1485F63F44FC}"/>
    <cellStyle name="Style 97 5 2 3 2 5 3" xfId="37657" xr:uid="{C508E42D-CDE2-4EB9-ABE4-CC4927256477}"/>
    <cellStyle name="Style 97 5 2 3 2 6" xfId="19207" xr:uid="{A433C8D6-7A2B-48B1-AF34-0569549ECBAF}"/>
    <cellStyle name="Style 97 5 2 3 2 6 2" xfId="19208" xr:uid="{FB8A20BB-59FE-4739-97A6-9754EE391130}"/>
    <cellStyle name="Style 97 5 2 3 2 6 2 2" xfId="37660" xr:uid="{48287E49-B38D-4CA6-83C8-B73301FC8327}"/>
    <cellStyle name="Style 97 5 2 3 2 6 3" xfId="37659" xr:uid="{099873FF-AB14-4200-876A-909124ED3A97}"/>
    <cellStyle name="Style 97 5 2 3 2 7" xfId="19209" xr:uid="{157A12E9-5EFC-4096-AC41-8ADC3E3D173B}"/>
    <cellStyle name="Style 97 5 2 3 2 7 2" xfId="19210" xr:uid="{42FFD258-D317-4A7D-A798-15DD04A4E521}"/>
    <cellStyle name="Style 97 5 2 3 2 7 2 2" xfId="37662" xr:uid="{B295C682-862E-4483-A95D-7039C2D24CA6}"/>
    <cellStyle name="Style 97 5 2 3 2 7 3" xfId="37661" xr:uid="{0B1FCCE6-6BE6-42CD-82C5-288F98A76341}"/>
    <cellStyle name="Style 97 5 2 3 2 8" xfId="19211" xr:uid="{E2FBDE41-6C54-4428-AE34-D1726A0FD8A4}"/>
    <cellStyle name="Style 97 5 2 3 2 8 2" xfId="19212" xr:uid="{DE6760BF-AFFD-4B6B-A00D-7F614D441021}"/>
    <cellStyle name="Style 97 5 2 3 2 8 2 2" xfId="37664" xr:uid="{1130C6EC-232E-43A1-A4B4-CD235E5A31CC}"/>
    <cellStyle name="Style 97 5 2 3 2 8 3" xfId="37663" xr:uid="{EDFBD5FC-9684-46F6-B401-235212600AB4}"/>
    <cellStyle name="Style 97 5 2 3 2 9" xfId="19213" xr:uid="{395F4A3C-0E86-4FDE-BC20-69EF8D3AC784}"/>
    <cellStyle name="Style 97 5 2 3 2 9 2" xfId="37665" xr:uid="{BB6F9C34-E500-4EAA-A2BF-82A665EE2CE5}"/>
    <cellStyle name="Style 97 5 2 3 3" xfId="7753" xr:uid="{57DF46F8-243D-4C27-9EFF-26F3B92CF7C4}"/>
    <cellStyle name="Style 97 5 2 3 3 2" xfId="7754" xr:uid="{C1E38AF3-1EBB-400F-9956-AA044AB85DD6}"/>
    <cellStyle name="Style 97 5 2 3 3 2 2" xfId="19214" xr:uid="{E6CE6601-C059-4F15-8D48-806E59C7D65C}"/>
    <cellStyle name="Style 97 5 2 3 3 2 2 2" xfId="37666" xr:uid="{A8588CD5-817B-42DA-9EAA-6AD6D6A10E01}"/>
    <cellStyle name="Style 97 5 2 3 3 2 3" xfId="19215" xr:uid="{1F4DF33C-064C-4B14-891E-3D40CF22E29D}"/>
    <cellStyle name="Style 97 5 2 3 3 2 3 2" xfId="37667" xr:uid="{73420234-4B51-401F-A448-BE0E801D43C4}"/>
    <cellStyle name="Style 97 5 2 3 3 3" xfId="19216" xr:uid="{416CD7AC-4DB8-4891-89F4-C3679A9D013B}"/>
    <cellStyle name="Style 97 5 2 3 3 3 2" xfId="37668" xr:uid="{156FCC0F-157A-4A12-8ADC-73497AAD22AD}"/>
    <cellStyle name="Style 97 5 2 3 3 4" xfId="19217" xr:uid="{3019C6D1-2F82-48CF-ABC9-F952A9CC0758}"/>
    <cellStyle name="Style 97 5 2 3 3 4 2" xfId="37669" xr:uid="{372BD4A8-CA1B-4507-A96B-A117989286D4}"/>
    <cellStyle name="Style 97 5 2 3 3 5" xfId="19218" xr:uid="{D2CFBB58-AF25-4FDD-ABA0-31F6661D13C1}"/>
    <cellStyle name="Style 97 5 2 3 3 5 2" xfId="37670" xr:uid="{B8DE2DE9-54C5-4EB7-90EE-DD86074027CD}"/>
    <cellStyle name="Style 97 5 2 3 3 6" xfId="19219" xr:uid="{7433981C-75C3-4BED-A5BD-D9C8BCDE1C3E}"/>
    <cellStyle name="Style 97 5 2 3 3 6 2" xfId="37671" xr:uid="{32A7806F-2B52-4C84-B10B-9D7BB389E47F}"/>
    <cellStyle name="Style 97 5 2 3 3 7" xfId="24279" xr:uid="{F347206D-F4BC-4140-850E-37DDC1482234}"/>
    <cellStyle name="Style 97 5 2 3 4" xfId="7755" xr:uid="{5132E2F9-F05A-47E7-ACD0-60E828A53C36}"/>
    <cellStyle name="Style 97 5 2 3 4 2" xfId="19220" xr:uid="{CEE2673F-268C-42AA-8C1A-E3BE1388CB0C}"/>
    <cellStyle name="Style 97 5 2 3 4 2 2" xfId="37672" xr:uid="{DBCF1E5B-D503-4280-B64C-1209EF3330B6}"/>
    <cellStyle name="Style 97 5 2 3 4 3" xfId="19221" xr:uid="{F82D3147-D458-4958-923A-864914564B2A}"/>
    <cellStyle name="Style 97 5 2 3 4 3 2" xfId="37673" xr:uid="{71B2F4EE-5A0C-4E3D-AC83-6DD6297BA4DB}"/>
    <cellStyle name="Style 97 5 2 3 4 4" xfId="19222" xr:uid="{93E87FC0-2EC8-4A1B-AD17-BA10CD357523}"/>
    <cellStyle name="Style 97 5 2 3 4 4 2" xfId="37674" xr:uid="{CC30C3FA-5882-451C-BA26-FF1EE092F353}"/>
    <cellStyle name="Style 97 5 2 3 5" xfId="7756" xr:uid="{781B0565-E30C-4966-941D-8A99D858FF3B}"/>
    <cellStyle name="Style 97 5 2 3 5 2" xfId="19223" xr:uid="{35C89DED-64DC-4B11-8ADF-AE17223BD662}"/>
    <cellStyle name="Style 97 5 2 3 5 2 2" xfId="37675" xr:uid="{84427E63-FF37-487B-A2B7-20433DD623BE}"/>
    <cellStyle name="Style 97 5 2 3 5 3" xfId="19224" xr:uid="{48563D02-0F37-4F30-80FA-DA6967EA4EA7}"/>
    <cellStyle name="Style 97 5 2 3 5 3 2" xfId="37676" xr:uid="{69A50DAF-714C-46C2-86A0-429AECE65AB4}"/>
    <cellStyle name="Style 97 5 2 3 6" xfId="7750" xr:uid="{330C40BD-2487-4B5A-B866-4E53FA659FD8}"/>
    <cellStyle name="Style 97 5 2 3 6 2" xfId="19225" xr:uid="{EAC4584E-89D9-4A41-9DA8-7C4E7422FF54}"/>
    <cellStyle name="Style 97 5 2 3 6 2 2" xfId="37677" xr:uid="{0B11EF29-B9EE-4274-8A13-010AFD745F6B}"/>
    <cellStyle name="Style 97 5 2 3 6 3" xfId="19226" xr:uid="{3A9397C7-FF07-4D63-B3E6-00953C6953C9}"/>
    <cellStyle name="Style 97 5 2 3 6 3 2" xfId="37678" xr:uid="{B92246C8-BD3A-49E7-AB6E-1B4D067AAE7D}"/>
    <cellStyle name="Style 97 5 2 3 7" xfId="19227" xr:uid="{63B1F8DD-78D1-4094-8E81-A1242A091D67}"/>
    <cellStyle name="Style 97 5 2 3 7 2" xfId="19228" xr:uid="{0010E9C9-8D67-4BFC-9E0F-1B337DC106E9}"/>
    <cellStyle name="Style 97 5 2 3 7 2 2" xfId="37679" xr:uid="{08540656-BB38-4111-B08D-81E7B9904D1B}"/>
    <cellStyle name="Style 97 5 2 3 7 3" xfId="19229" xr:uid="{E891C80F-777B-4DDA-8319-7EF3C2E58999}"/>
    <cellStyle name="Style 97 5 2 3 7 3 2" xfId="37680" xr:uid="{A5CDA899-A965-457D-B560-50E534784CA9}"/>
    <cellStyle name="Style 97 5 2 3 7 4" xfId="28202" xr:uid="{9C25D49F-D3FB-471C-AD26-E0287AFDF560}"/>
    <cellStyle name="Style 97 5 2 3 8" xfId="19230" xr:uid="{9377C879-530C-41A5-8485-2B10F8E5CDDE}"/>
    <cellStyle name="Style 97 5 2 3 8 2" xfId="19231" xr:uid="{EEFA4737-15C9-4388-B949-34E1B80E03D8}"/>
    <cellStyle name="Style 97 5 2 3 8 2 2" xfId="37682" xr:uid="{94A2A6B6-6526-4E55-AEF6-CDDBD0EC407C}"/>
    <cellStyle name="Style 97 5 2 3 8 3" xfId="37681" xr:uid="{EEC76BE3-5AE4-4A94-BFC7-763C408A3593}"/>
    <cellStyle name="Style 97 5 2 3 9" xfId="19232" xr:uid="{B1D1CDBD-D1B5-4268-850D-574AF118D7A8}"/>
    <cellStyle name="Style 97 5 2 3 9 2" xfId="37683" xr:uid="{D4242433-0AF0-4E24-9E21-AE8291EB7129}"/>
    <cellStyle name="Style 97 5 2 4" xfId="3825" xr:uid="{629BE2C9-49BD-4B1E-BBCA-8269531B1D9C}"/>
    <cellStyle name="Style 97 5 2 4 10" xfId="19233" xr:uid="{45C05D6F-739D-4066-944C-856D68FD689E}"/>
    <cellStyle name="Style 97 5 2 4 10 2" xfId="37684" xr:uid="{1F97BFAF-6CF3-498C-BE7A-3F73AAD40BCF}"/>
    <cellStyle name="Style 97 5 2 4 11" xfId="19234" xr:uid="{9B9C7DCA-A543-4629-AD88-42DAFE2241D2}"/>
    <cellStyle name="Style 97 5 2 4 11 2" xfId="37685" xr:uid="{1867EC2F-3D4F-40D7-80A1-702C2265DD6A}"/>
    <cellStyle name="Style 97 5 2 4 12" xfId="24280" xr:uid="{9BB3FFDC-DAD9-4201-9DAA-319F9815FEF9}"/>
    <cellStyle name="Style 97 5 2 4 2" xfId="3826" xr:uid="{672D5687-5801-4570-BDDC-7008A03C6527}"/>
    <cellStyle name="Style 97 5 2 4 2 10" xfId="19235" xr:uid="{4D160952-69EC-4637-A31D-CD5D6C10045A}"/>
    <cellStyle name="Style 97 5 2 4 2 10 2" xfId="37686" xr:uid="{0C861FB2-13E5-4AC1-80B0-7F25259DF8A2}"/>
    <cellStyle name="Style 97 5 2 4 2 11" xfId="24281" xr:uid="{A320E27C-ECCC-4F21-B130-AD18DA14D3F3}"/>
    <cellStyle name="Style 97 5 2 4 2 2" xfId="7759" xr:uid="{3754271D-D1FD-4756-B923-20DAA829CFC6}"/>
    <cellStyle name="Style 97 5 2 4 2 2 2" xfId="19236" xr:uid="{74FBFD03-3621-4053-B9C9-FE0DA7FD4216}"/>
    <cellStyle name="Style 97 5 2 4 2 2 2 2" xfId="19237" xr:uid="{E87A316F-B4AA-4C37-A89B-467DF802BE8C}"/>
    <cellStyle name="Style 97 5 2 4 2 2 2 2 2" xfId="37688" xr:uid="{445A4192-62B7-4E49-A4A9-1F33CCF45947}"/>
    <cellStyle name="Style 97 5 2 4 2 2 2 3" xfId="37687" xr:uid="{31422C8A-6BAC-4058-9FA9-70A1FDA5955B}"/>
    <cellStyle name="Style 97 5 2 4 2 2 3" xfId="19238" xr:uid="{7A4C8F8F-650F-4925-8734-0EE84680243A}"/>
    <cellStyle name="Style 97 5 2 4 2 2 3 2" xfId="19239" xr:uid="{63849882-E017-4222-A076-8A65295668E5}"/>
    <cellStyle name="Style 97 5 2 4 2 2 3 2 2" xfId="37690" xr:uid="{77B3A663-2415-4749-8866-2C3964063817}"/>
    <cellStyle name="Style 97 5 2 4 2 2 3 3" xfId="37689" xr:uid="{035A4E19-3F33-4DB3-BEDA-AA040897552B}"/>
    <cellStyle name="Style 97 5 2 4 2 2 4" xfId="19240" xr:uid="{B5A5E64A-0A60-42B3-A97F-5075F115F819}"/>
    <cellStyle name="Style 97 5 2 4 2 2 4 2" xfId="19241" xr:uid="{008B39A0-FDC4-4359-B8DA-FADD5BED58AE}"/>
    <cellStyle name="Style 97 5 2 4 2 2 4 2 2" xfId="37692" xr:uid="{2CBFC69A-F554-489B-A59E-41D4AEC196D0}"/>
    <cellStyle name="Style 97 5 2 4 2 2 4 3" xfId="37691" xr:uid="{BD376E20-1E3E-4428-8716-EDDC288A7D1D}"/>
    <cellStyle name="Style 97 5 2 4 2 2 5" xfId="19242" xr:uid="{CDDFB941-FA36-4745-9277-0A7F311E454A}"/>
    <cellStyle name="Style 97 5 2 4 2 2 5 2" xfId="19243" xr:uid="{F58259A8-171E-4E14-B76B-67F59C72C233}"/>
    <cellStyle name="Style 97 5 2 4 2 2 5 2 2" xfId="37694" xr:uid="{851613BE-7B3D-4C9B-BFE3-57FA40DAEBE1}"/>
    <cellStyle name="Style 97 5 2 4 2 2 5 3" xfId="37693" xr:uid="{0F7CCD13-5482-40CC-9D8A-EFBA649AB2FA}"/>
    <cellStyle name="Style 97 5 2 4 2 2 6" xfId="19244" xr:uid="{61EF436F-938D-47F7-A3FB-5AD066E6A862}"/>
    <cellStyle name="Style 97 5 2 4 2 2 6 2" xfId="37695" xr:uid="{26F044C9-137B-4E25-AE34-67812B1BD7F0}"/>
    <cellStyle name="Style 97 5 2 4 2 2 7" xfId="19245" xr:uid="{0A8BA098-FB89-4673-A39B-7C8FD13D1DC3}"/>
    <cellStyle name="Style 97 5 2 4 2 2 7 2" xfId="37696" xr:uid="{C74A2F4E-E52D-47D3-912E-A1A40D810CC2}"/>
    <cellStyle name="Style 97 5 2 4 2 3" xfId="7758" xr:uid="{8E0247F3-E5ED-4AA2-B15B-2A3119996321}"/>
    <cellStyle name="Style 97 5 2 4 2 3 2" xfId="19246" xr:uid="{687CA9C9-2AE6-46F1-B450-90D8BAEDEC6D}"/>
    <cellStyle name="Style 97 5 2 4 2 3 2 2" xfId="37697" xr:uid="{FF279F50-DD78-46FC-BA1B-C07F8FFB2C9A}"/>
    <cellStyle name="Style 97 5 2 4 2 3 3" xfId="19247" xr:uid="{5F2E12DB-452A-4D50-9E4D-1F8DF2C5814C}"/>
    <cellStyle name="Style 97 5 2 4 2 3 3 2" xfId="37698" xr:uid="{75B06898-CD0E-4D6B-936C-1D35DAD98A04}"/>
    <cellStyle name="Style 97 5 2 4 2 4" xfId="19248" xr:uid="{E9F43B0C-54E2-44DB-8FFC-AE683B0DDDEF}"/>
    <cellStyle name="Style 97 5 2 4 2 4 2" xfId="19249" xr:uid="{C28B7233-CB19-4B42-A5C9-5CB76F38FDA7}"/>
    <cellStyle name="Style 97 5 2 4 2 4 2 2" xfId="37699" xr:uid="{677C5FB7-6EF5-456A-8A25-68469EA62CB4}"/>
    <cellStyle name="Style 97 5 2 4 2 4 3" xfId="19250" xr:uid="{1E11C17F-70CB-42AD-964B-9CEC2C351C01}"/>
    <cellStyle name="Style 97 5 2 4 2 4 3 2" xfId="37700" xr:uid="{5D359478-0C2D-424D-B7D5-682249CC50D2}"/>
    <cellStyle name="Style 97 5 2 4 2 4 4" xfId="28205" xr:uid="{E5084CB4-3BD6-4740-BAC1-5B89F0815766}"/>
    <cellStyle name="Style 97 5 2 4 2 5" xfId="19251" xr:uid="{18B376AE-A8FD-4F18-8C9B-90CE4E21A599}"/>
    <cellStyle name="Style 97 5 2 4 2 5 2" xfId="19252" xr:uid="{EDBBBEEB-5F35-45DC-961D-0DBF49C911AF}"/>
    <cellStyle name="Style 97 5 2 4 2 5 2 2" xfId="37702" xr:uid="{A0AF574C-7713-418B-A4C8-697B2DE07496}"/>
    <cellStyle name="Style 97 5 2 4 2 5 3" xfId="37701" xr:uid="{2835B471-7BDA-4024-BB14-5868C3D63579}"/>
    <cellStyle name="Style 97 5 2 4 2 6" xfId="19253" xr:uid="{110FCD05-4520-4A8F-A830-C1126B4C899D}"/>
    <cellStyle name="Style 97 5 2 4 2 6 2" xfId="19254" xr:uid="{E9D8CE46-486B-43F8-950D-39C4F4CB5A3A}"/>
    <cellStyle name="Style 97 5 2 4 2 6 2 2" xfId="37704" xr:uid="{F9F3B56F-2BE2-4034-9C6A-5B34318087BD}"/>
    <cellStyle name="Style 97 5 2 4 2 6 3" xfId="37703" xr:uid="{47A79D46-D3BC-448B-B1A5-82C5FE6325FB}"/>
    <cellStyle name="Style 97 5 2 4 2 7" xfId="19255" xr:uid="{46D43804-7765-4E70-9765-6489E61B27AB}"/>
    <cellStyle name="Style 97 5 2 4 2 7 2" xfId="19256" xr:uid="{49240F47-EB3F-4CBE-BFF8-38CD69CCBECC}"/>
    <cellStyle name="Style 97 5 2 4 2 7 2 2" xfId="37706" xr:uid="{F95A61D9-5865-4260-BD01-AC5EA76D2D84}"/>
    <cellStyle name="Style 97 5 2 4 2 7 3" xfId="37705" xr:uid="{018BD532-5FDA-47BC-81D1-91E3D0C80071}"/>
    <cellStyle name="Style 97 5 2 4 2 8" xfId="19257" xr:uid="{3A2F953A-3C37-494F-BF3B-CF204A30CA3B}"/>
    <cellStyle name="Style 97 5 2 4 2 8 2" xfId="19258" xr:uid="{DB067F8E-3E01-4438-9109-27E3D6E7DE92}"/>
    <cellStyle name="Style 97 5 2 4 2 8 2 2" xfId="37708" xr:uid="{18C559F3-D33D-4B20-983D-A31D2209BBCD}"/>
    <cellStyle name="Style 97 5 2 4 2 8 3" xfId="37707" xr:uid="{5556258C-6B1A-4396-B587-FDDBC85D36C4}"/>
    <cellStyle name="Style 97 5 2 4 2 9" xfId="19259" xr:uid="{F1095C44-5349-4B86-86C5-F26EF371A2A2}"/>
    <cellStyle name="Style 97 5 2 4 2 9 2" xfId="37709" xr:uid="{E699D958-2E73-4F3A-B009-23E5F0DF0926}"/>
    <cellStyle name="Style 97 5 2 4 3" xfId="7760" xr:uid="{5AE33860-C018-408E-976A-8DF30316055C}"/>
    <cellStyle name="Style 97 5 2 4 3 2" xfId="19260" xr:uid="{312C7417-8CBC-44E3-B70C-A9E658EFDB7F}"/>
    <cellStyle name="Style 97 5 2 4 3 2 2" xfId="19261" xr:uid="{D852D531-79A7-4A34-80A5-009AD9F81F53}"/>
    <cellStyle name="Style 97 5 2 4 3 2 2 2" xfId="37711" xr:uid="{D200104D-AFCA-40D4-A3F8-916FFE594D02}"/>
    <cellStyle name="Style 97 5 2 4 3 2 3" xfId="37710" xr:uid="{F567234B-D341-4526-8D09-5D86CCD0E609}"/>
    <cellStyle name="Style 97 5 2 4 3 3" xfId="19262" xr:uid="{157065AF-BB16-4CF5-A014-181F91C72FD4}"/>
    <cellStyle name="Style 97 5 2 4 3 3 2" xfId="19263" xr:uid="{2E467AD0-0DA1-406D-A413-561748CBC0BA}"/>
    <cellStyle name="Style 97 5 2 4 3 3 2 2" xfId="37713" xr:uid="{441FA04E-B546-4439-BA2B-33353C8D19AB}"/>
    <cellStyle name="Style 97 5 2 4 3 3 3" xfId="37712" xr:uid="{30532663-7EBB-415D-B7A9-F8548607ACC2}"/>
    <cellStyle name="Style 97 5 2 4 3 4" xfId="19264" xr:uid="{EFBE103A-E52E-4111-8F9F-466585A2EF27}"/>
    <cellStyle name="Style 97 5 2 4 3 4 2" xfId="19265" xr:uid="{F761D6C8-BBC0-4368-8D4A-1CCCDFE09CAD}"/>
    <cellStyle name="Style 97 5 2 4 3 4 2 2" xfId="37715" xr:uid="{B6C3E4DD-F317-421E-95C6-106D15B3B8F6}"/>
    <cellStyle name="Style 97 5 2 4 3 4 3" xfId="37714" xr:uid="{50F51DCB-1610-49AC-8D6F-71554AA68324}"/>
    <cellStyle name="Style 97 5 2 4 3 5" xfId="19266" xr:uid="{6BD52548-ED5D-4A72-AE69-9CCDD483E699}"/>
    <cellStyle name="Style 97 5 2 4 3 5 2" xfId="19267" xr:uid="{D437008B-7271-485E-A98C-169E849F0553}"/>
    <cellStyle name="Style 97 5 2 4 3 5 2 2" xfId="37717" xr:uid="{FB81BB03-D6F0-4D92-8A68-33BC147A6F3C}"/>
    <cellStyle name="Style 97 5 2 4 3 5 3" xfId="37716" xr:uid="{8FDA9ECC-507E-47B5-A5E8-A5C668E04542}"/>
    <cellStyle name="Style 97 5 2 4 3 6" xfId="19268" xr:uid="{03189C41-E40D-4B50-AA1A-29BDE0A0A9D5}"/>
    <cellStyle name="Style 97 5 2 4 3 6 2" xfId="37718" xr:uid="{DE7877CE-F60C-43C2-99D5-2E4DA02CA22F}"/>
    <cellStyle name="Style 97 5 2 4 3 7" xfId="19269" xr:uid="{7E7F0A07-3E13-4628-819D-E9D3F3172BEB}"/>
    <cellStyle name="Style 97 5 2 4 3 7 2" xfId="37719" xr:uid="{7D805CF1-DBAC-40B9-A040-B2C33C929563}"/>
    <cellStyle name="Style 97 5 2 4 4" xfId="7757" xr:uid="{B9EAEA15-0325-4489-955F-AFDA578F09AD}"/>
    <cellStyle name="Style 97 5 2 4 4 2" xfId="19270" xr:uid="{C5285867-F2DF-4FA9-BEF8-33CFBDAB8921}"/>
    <cellStyle name="Style 97 5 2 4 4 2 2" xfId="37720" xr:uid="{64E6B99E-F888-4361-9AA9-C4264457C7F8}"/>
    <cellStyle name="Style 97 5 2 4 4 3" xfId="19271" xr:uid="{1021D032-6683-42E8-BFDE-34A16DBB684E}"/>
    <cellStyle name="Style 97 5 2 4 4 3 2" xfId="37721" xr:uid="{83225933-7AE0-45D5-B44F-A20C14C1BB16}"/>
    <cellStyle name="Style 97 5 2 4 5" xfId="19272" xr:uid="{37E6960B-581F-4561-AECE-CCEDCE20E44C}"/>
    <cellStyle name="Style 97 5 2 4 5 2" xfId="19273" xr:uid="{B8506566-8BEF-4191-8E4C-ED79296147C4}"/>
    <cellStyle name="Style 97 5 2 4 5 2 2" xfId="37722" xr:uid="{8E817C20-1CBF-4968-91E3-2A16491AD562}"/>
    <cellStyle name="Style 97 5 2 4 5 3" xfId="19274" xr:uid="{40E7D424-5E25-4541-9B73-FA68CE16F722}"/>
    <cellStyle name="Style 97 5 2 4 5 3 2" xfId="37723" xr:uid="{2BD9DA39-29FC-4B65-AE18-3956C4C8D026}"/>
    <cellStyle name="Style 97 5 2 4 5 4" xfId="28204" xr:uid="{B762A4AE-7871-4693-AFE3-7E3F8C80EE9D}"/>
    <cellStyle name="Style 97 5 2 4 6" xfId="19275" xr:uid="{7184F7AF-22E7-4AE8-AEB9-DB6BC468E77C}"/>
    <cellStyle name="Style 97 5 2 4 6 2" xfId="19276" xr:uid="{726646B9-2ACA-4C15-BB59-5CD52B1C3797}"/>
    <cellStyle name="Style 97 5 2 4 6 2 2" xfId="37725" xr:uid="{AA5CA4C9-2DE6-463D-92A0-339BCD6B9659}"/>
    <cellStyle name="Style 97 5 2 4 6 3" xfId="37724" xr:uid="{697B5085-B972-4CA8-B8B2-9B544F3FE7A9}"/>
    <cellStyle name="Style 97 5 2 4 7" xfId="19277" xr:uid="{A9B2F22D-DAAA-4CC1-B681-E4130D87929C}"/>
    <cellStyle name="Style 97 5 2 4 7 2" xfId="19278" xr:uid="{F07AB0EB-635A-49A3-869B-8F75870F3A7D}"/>
    <cellStyle name="Style 97 5 2 4 7 2 2" xfId="37727" xr:uid="{E83188DF-9E7D-4F9B-BA47-0CB98ACE74AC}"/>
    <cellStyle name="Style 97 5 2 4 7 3" xfId="37726" xr:uid="{F30511EE-9258-4122-BCBC-C2E46514F4D4}"/>
    <cellStyle name="Style 97 5 2 4 8" xfId="19279" xr:uid="{CB48D3FE-45CF-49E3-956A-2020F1D71BE0}"/>
    <cellStyle name="Style 97 5 2 4 8 2" xfId="19280" xr:uid="{00B84841-3707-4A90-BCEC-EA71335A938E}"/>
    <cellStyle name="Style 97 5 2 4 8 2 2" xfId="37729" xr:uid="{6C90E5BA-69C6-4E28-8A2E-9ECA1900B5D4}"/>
    <cellStyle name="Style 97 5 2 4 8 3" xfId="37728" xr:uid="{9AB53789-8316-4232-A518-E1A14ADDABEC}"/>
    <cellStyle name="Style 97 5 2 4 9" xfId="19281" xr:uid="{4A5E2C9A-5842-4778-925D-FC0578370AA8}"/>
    <cellStyle name="Style 97 5 2 4 9 2" xfId="19282" xr:uid="{D01D04B5-46AA-4B53-A593-E5EABAFFBD1F}"/>
    <cellStyle name="Style 97 5 2 4 9 2 2" xfId="37731" xr:uid="{8D50B402-6B93-4B56-AD65-D76C920DEC77}"/>
    <cellStyle name="Style 97 5 2 4 9 3" xfId="37730" xr:uid="{1C6B9042-3FE9-44C8-90D9-04E272AC00E1}"/>
    <cellStyle name="Style 97 5 2 5" xfId="7761" xr:uid="{009614D8-B752-4AEB-87BC-DFDC91645B3C}"/>
    <cellStyle name="Style 97 5 2 5 2" xfId="19283" xr:uid="{F733DE8D-1732-47C9-8B7D-B02CF17A2917}"/>
    <cellStyle name="Style 97 5 2 5 2 2" xfId="37732" xr:uid="{4742A68F-D415-40B7-BCDF-78BEBD80077A}"/>
    <cellStyle name="Style 97 5 2 5 3" xfId="19284" xr:uid="{81F61004-A669-47F8-BCE8-D6A2BFEB2D5F}"/>
    <cellStyle name="Style 97 5 2 5 3 2" xfId="37733" xr:uid="{FABA730A-ECE5-4A4D-84B1-6C963E73A472}"/>
    <cellStyle name="Style 97 5 2 5 4" xfId="19285" xr:uid="{F80F516A-6AC6-4570-9C0B-FFFE7397BEED}"/>
    <cellStyle name="Style 97 5 2 5 4 2" xfId="37734" xr:uid="{022D8301-C8ED-4A1E-BEFB-41B2A092044F}"/>
    <cellStyle name="Style 97 5 2 6" xfId="7762" xr:uid="{D144EE67-B77E-44E7-8E5C-99F25E7A41FB}"/>
    <cellStyle name="Style 97 5 2 6 2" xfId="19286" xr:uid="{D1F73FD0-607D-4E79-AB68-D946254E27EB}"/>
    <cellStyle name="Style 97 5 2 6 2 2" xfId="37735" xr:uid="{A900DD86-9190-4B9E-87A5-F51649DDE519}"/>
    <cellStyle name="Style 97 5 2 6 3" xfId="19287" xr:uid="{D9900342-A607-44AC-A409-150C9D05658A}"/>
    <cellStyle name="Style 97 5 2 6 3 2" xfId="37736" xr:uid="{85ABB25A-4C55-44BC-AA9B-3553F3ADF2FF}"/>
    <cellStyle name="Style 97 5 2 7" xfId="7747" xr:uid="{CD009DCA-BAE2-4287-8E54-E5816E6C26D2}"/>
    <cellStyle name="Style 97 5 2 7 2" xfId="19288" xr:uid="{D0C241B6-9FF2-4787-9688-8FD94021944F}"/>
    <cellStyle name="Style 97 5 2 7 2 2" xfId="37737" xr:uid="{BD130C1C-7D19-446A-9D6B-CB1C55473FA8}"/>
    <cellStyle name="Style 97 5 2 7 3" xfId="19289" xr:uid="{C25711DC-909F-44B7-AAD4-DD5FEAD7B576}"/>
    <cellStyle name="Style 97 5 2 7 3 2" xfId="37738" xr:uid="{84CDFD64-60F5-4B7E-98EC-244366094316}"/>
    <cellStyle name="Style 97 5 2 8" xfId="19290" xr:uid="{8BBB2DEA-1A18-4367-B914-7D78A8068C39}"/>
    <cellStyle name="Style 97 5 2 8 2" xfId="19291" xr:uid="{7A3502CF-D6C5-4BD5-8A9C-AB530EE3480D}"/>
    <cellStyle name="Style 97 5 2 8 2 2" xfId="37739" xr:uid="{68D300CD-A880-48D0-AA51-0D4D6B2DF3A0}"/>
    <cellStyle name="Style 97 5 2 8 3" xfId="19292" xr:uid="{3DB85C47-F4AC-4E41-BCEB-ABDD20A20F22}"/>
    <cellStyle name="Style 97 5 2 8 3 2" xfId="37740" xr:uid="{B989E1B1-3505-44C9-A212-4535532A9E01}"/>
    <cellStyle name="Style 97 5 2 8 4" xfId="28200" xr:uid="{AAAE56CC-3B13-47D0-85C3-6FC7C7EFA9BD}"/>
    <cellStyle name="Style 97 5 2 9" xfId="19293" xr:uid="{E1745238-6FEB-4E54-8A02-DD68FDA36875}"/>
    <cellStyle name="Style 97 5 2 9 2" xfId="19294" xr:uid="{6DC5BC0D-5AFE-4033-BDA4-FEFFE1A041F8}"/>
    <cellStyle name="Style 97 5 2 9 2 2" xfId="37742" xr:uid="{D330576A-8EEF-413D-B852-10D389FD4F46}"/>
    <cellStyle name="Style 97 5 2 9 3" xfId="37741" xr:uid="{2A6F00F4-CD11-4D2A-B264-F13E80258950}"/>
    <cellStyle name="Style 97 5 3" xfId="3827" xr:uid="{CB24B6C2-BFC4-45B3-A97A-5DF011C56D02}"/>
    <cellStyle name="Style 97 5 3 10" xfId="19295" xr:uid="{BC970C42-107C-4C9E-A51B-DF3B90B96E55}"/>
    <cellStyle name="Style 97 5 3 10 2" xfId="37743" xr:uid="{5A09BBA7-AB23-4A05-B85D-1EC2402285F7}"/>
    <cellStyle name="Style 97 5 3 11" xfId="24282" xr:uid="{32DE38CB-BE74-4D30-9877-76517BE5112A}"/>
    <cellStyle name="Style 97 5 3 2" xfId="7764" xr:uid="{0D11A1BA-8B77-4C04-83EE-BF7E0AB8C486}"/>
    <cellStyle name="Style 97 5 3 2 2" xfId="19296" xr:uid="{D2262A9E-FE71-4B05-AC3D-FF4D84C1B243}"/>
    <cellStyle name="Style 97 5 3 2 2 2" xfId="19297" xr:uid="{2B8A22E5-713F-494A-8C00-5DCECEF135C0}"/>
    <cellStyle name="Style 97 5 3 2 2 2 2" xfId="37745" xr:uid="{D24B83E7-5B8D-4E58-A4B2-992D4590DDE0}"/>
    <cellStyle name="Style 97 5 3 2 2 3" xfId="37744" xr:uid="{B5E60515-87D6-4D50-AB43-4DE6DA0740A3}"/>
    <cellStyle name="Style 97 5 3 2 3" xfId="19298" xr:uid="{79A6851B-6AA8-417A-A1A9-157ED980D8C4}"/>
    <cellStyle name="Style 97 5 3 2 3 2" xfId="19299" xr:uid="{CD05940D-A036-4C0D-83B3-84EDB249C916}"/>
    <cellStyle name="Style 97 5 3 2 3 2 2" xfId="37747" xr:uid="{94AEE5F3-B37A-41CF-AD54-9697ADE0BD64}"/>
    <cellStyle name="Style 97 5 3 2 3 3" xfId="37746" xr:uid="{E17CC2A8-7669-49BF-B760-EC41CCF8DCD3}"/>
    <cellStyle name="Style 97 5 3 2 4" xfId="19300" xr:uid="{D3786EF5-0DB5-43D0-98D0-96A266632E78}"/>
    <cellStyle name="Style 97 5 3 2 4 2" xfId="19301" xr:uid="{5ADC7D1E-5F9D-44C1-AAFF-D6167F2D5012}"/>
    <cellStyle name="Style 97 5 3 2 4 2 2" xfId="37749" xr:uid="{B82AAB8F-CF75-40B6-8A55-CFAE901C0F26}"/>
    <cellStyle name="Style 97 5 3 2 4 3" xfId="37748" xr:uid="{E207598D-8300-42C1-BA1D-617042CB989D}"/>
    <cellStyle name="Style 97 5 3 2 5" xfId="19302" xr:uid="{6A549F62-8884-4768-B138-319E690ACA91}"/>
    <cellStyle name="Style 97 5 3 2 5 2" xfId="19303" xr:uid="{7051E9D4-5AEE-487A-A314-B8BD35DCBCFF}"/>
    <cellStyle name="Style 97 5 3 2 5 2 2" xfId="37751" xr:uid="{7C5B9656-8219-4BC1-AB4E-F9B0A8B41A7E}"/>
    <cellStyle name="Style 97 5 3 2 5 3" xfId="37750" xr:uid="{4AA6996E-C17F-4F35-A527-52FAFAC3EBF9}"/>
    <cellStyle name="Style 97 5 3 2 6" xfId="19304" xr:uid="{A2C491B0-0096-4FC6-8ABB-AAE0CBC2BCF2}"/>
    <cellStyle name="Style 97 5 3 2 6 2" xfId="37752" xr:uid="{E82EDC3A-84E6-4646-926F-0ED94241AAFF}"/>
    <cellStyle name="Style 97 5 3 2 7" xfId="19305" xr:uid="{52C7E4FB-4AA2-4D4D-AC51-781CF4BE7DCF}"/>
    <cellStyle name="Style 97 5 3 2 7 2" xfId="37753" xr:uid="{3CC01C45-1061-40F9-8A52-A46B44C7A04A}"/>
    <cellStyle name="Style 97 5 3 3" xfId="7763" xr:uid="{151CCD4A-80C0-4D60-B57C-F3D73E4C2BD5}"/>
    <cellStyle name="Style 97 5 3 3 2" xfId="19306" xr:uid="{7B80D974-7BD0-41FB-8F9F-5D3BB4B9F8BE}"/>
    <cellStyle name="Style 97 5 3 3 2 2" xfId="37754" xr:uid="{14B46A33-3978-463D-93FB-EC8F716DDCBC}"/>
    <cellStyle name="Style 97 5 3 3 3" xfId="19307" xr:uid="{90787837-990C-4774-9936-87088B8DC293}"/>
    <cellStyle name="Style 97 5 3 3 3 2" xfId="37755" xr:uid="{E678D633-C811-4F4A-AD86-A20369E19739}"/>
    <cellStyle name="Style 97 5 3 4" xfId="19308" xr:uid="{57BEEDE8-25CA-4078-82B0-756B092DDA6A}"/>
    <cellStyle name="Style 97 5 3 4 2" xfId="19309" xr:uid="{B1A8A956-7898-4D36-B8D3-BABB3EE5DE30}"/>
    <cellStyle name="Style 97 5 3 4 2 2" xfId="37756" xr:uid="{15E87915-CD0B-412E-A659-ECAFEE1184DB}"/>
    <cellStyle name="Style 97 5 3 4 3" xfId="19310" xr:uid="{0955F12E-546D-443A-B7A6-C62EF2DB0384}"/>
    <cellStyle name="Style 97 5 3 4 3 2" xfId="37757" xr:uid="{AA020FB2-02B4-4F02-8283-D27A6458686A}"/>
    <cellStyle name="Style 97 5 3 4 4" xfId="28206" xr:uid="{CCF13A2F-7117-4054-A8D3-D6A4B03AAC80}"/>
    <cellStyle name="Style 97 5 3 5" xfId="19311" xr:uid="{0E58F94E-F708-42BC-8BDA-BF0802D9F5E5}"/>
    <cellStyle name="Style 97 5 3 5 2" xfId="19312" xr:uid="{1CD6203C-A437-40D1-9EF4-C28E84555D58}"/>
    <cellStyle name="Style 97 5 3 5 2 2" xfId="37759" xr:uid="{635DF2C5-0CA9-4E1F-93E2-28DA67BFF88E}"/>
    <cellStyle name="Style 97 5 3 5 3" xfId="37758" xr:uid="{B78D996F-479B-4602-A194-8F3A6757441D}"/>
    <cellStyle name="Style 97 5 3 6" xfId="19313" xr:uid="{DE413EA3-69FE-4E53-99E3-3E6B163CEF70}"/>
    <cellStyle name="Style 97 5 3 6 2" xfId="19314" xr:uid="{259F6B01-CB47-4296-9DAB-BF3DAD1548E4}"/>
    <cellStyle name="Style 97 5 3 6 2 2" xfId="37761" xr:uid="{5845D92A-C35C-4556-B9A3-BA27E9A9D021}"/>
    <cellStyle name="Style 97 5 3 6 3" xfId="37760" xr:uid="{647E179C-8CF6-4A96-9A2F-3AE9536B90C7}"/>
    <cellStyle name="Style 97 5 3 7" xfId="19315" xr:uid="{E9CCECD7-4FA2-4C50-B584-A9A7C4361BA2}"/>
    <cellStyle name="Style 97 5 3 7 2" xfId="19316" xr:uid="{2E271944-FACD-4993-A4D5-B4AF9C618795}"/>
    <cellStyle name="Style 97 5 3 7 2 2" xfId="37763" xr:uid="{3313D60B-DE4F-40C5-9563-1D9AFBE64769}"/>
    <cellStyle name="Style 97 5 3 7 3" xfId="37762" xr:uid="{767F571B-EBC0-4270-B00B-C8194852E4EB}"/>
    <cellStyle name="Style 97 5 3 8" xfId="19317" xr:uid="{FE165FD3-8506-486A-BB4A-CAEFCDA1BED2}"/>
    <cellStyle name="Style 97 5 3 8 2" xfId="19318" xr:uid="{7FFEA309-6DCE-41AB-BBB1-0D67F8636259}"/>
    <cellStyle name="Style 97 5 3 8 2 2" xfId="37765" xr:uid="{62AB1D81-F170-4F07-9671-645D451A20E9}"/>
    <cellStyle name="Style 97 5 3 8 3" xfId="37764" xr:uid="{9E949E31-51D4-484B-8AC3-86D9F6C714DC}"/>
    <cellStyle name="Style 97 5 3 9" xfId="19319" xr:uid="{46145B70-D10E-4F3B-A695-583A8EE24FFC}"/>
    <cellStyle name="Style 97 5 3 9 2" xfId="37766" xr:uid="{CC152F87-45E1-489A-9957-C52B64D02D13}"/>
    <cellStyle name="Style 97 5 4" xfId="7765" xr:uid="{FE9B6AB3-5C23-4A12-8D43-A475FF76EC60}"/>
    <cellStyle name="Style 97 5 4 2" xfId="7766" xr:uid="{5CDCC0D2-62EA-468A-ABD7-E9F31445A5C2}"/>
    <cellStyle name="Style 97 5 4 2 2" xfId="19320" xr:uid="{55C3A166-9578-41E6-A533-8D0F4DB972C9}"/>
    <cellStyle name="Style 97 5 4 2 2 2" xfId="37767" xr:uid="{88416B51-08EF-4647-84C4-590B0427A02C}"/>
    <cellStyle name="Style 97 5 4 2 3" xfId="19321" xr:uid="{D3E10C42-7501-4B61-9102-162021925CDB}"/>
    <cellStyle name="Style 97 5 4 2 3 2" xfId="37768" xr:uid="{29561EA0-48B9-4F73-BAB1-6EEC6CAF570C}"/>
    <cellStyle name="Style 97 5 4 3" xfId="7767" xr:uid="{A60F889B-E8C5-4BC3-99C4-29740FD2C01E}"/>
    <cellStyle name="Style 97 5 4 3 2" xfId="19322" xr:uid="{5F9B2146-B326-4F7E-A392-9367F7853D4E}"/>
    <cellStyle name="Style 97 5 4 3 2 2" xfId="37769" xr:uid="{FA6EF511-723F-4A71-8468-E0137B9A0075}"/>
    <cellStyle name="Style 97 5 4 4" xfId="19323" xr:uid="{94081682-A017-4FD0-853A-EFEAE462A375}"/>
    <cellStyle name="Style 97 5 4 4 2" xfId="37770" xr:uid="{03EEE59D-5F07-472F-A0DB-3E304C89DFBC}"/>
    <cellStyle name="Style 97 5 4 5" xfId="19324" xr:uid="{4F4C295D-F6A1-4C6A-9613-4A1BE8F68861}"/>
    <cellStyle name="Style 97 5 4 5 2" xfId="37771" xr:uid="{FB3616B9-C696-4C13-9BB4-6E6F8C52E728}"/>
    <cellStyle name="Style 97 5 4 6" xfId="19325" xr:uid="{945856AE-6DB1-442C-A549-CE5BF9E4E520}"/>
    <cellStyle name="Style 97 5 4 6 2" xfId="37772" xr:uid="{0C9DD7CC-C46D-4E31-A74A-5DCB7FCE791F}"/>
    <cellStyle name="Style 97 5 4 7" xfId="24283" xr:uid="{EA6ABB2F-0CF7-44B3-9013-076926B83514}"/>
    <cellStyle name="Style 97 5 5" xfId="7768" xr:uid="{1C0E3ADE-7867-4CCD-8CF0-572356E268F5}"/>
    <cellStyle name="Style 97 5 5 2" xfId="19326" xr:uid="{1C314215-BC6C-4404-8257-9865DA84A937}"/>
    <cellStyle name="Style 97 5 5 2 2" xfId="37773" xr:uid="{397E3C99-5526-4C8F-9DF9-E8EB18964670}"/>
    <cellStyle name="Style 97 5 5 3" xfId="19327" xr:uid="{B58803CF-D979-41AE-88F2-14CD5D43DB24}"/>
    <cellStyle name="Style 97 5 5 3 2" xfId="37774" xr:uid="{E5BB6854-6C33-4983-9687-2D7C064CF75C}"/>
    <cellStyle name="Style 97 5 5 4" xfId="19328" xr:uid="{3E8148B4-458D-4EAA-B320-F1853B71F931}"/>
    <cellStyle name="Style 97 5 5 4 2" xfId="37775" xr:uid="{93486BB1-9215-4987-810B-61DE5DE5B67F}"/>
    <cellStyle name="Style 97 5 6" xfId="7746" xr:uid="{D364B044-03D6-45BB-8ABB-22E77CB6E950}"/>
    <cellStyle name="Style 97 5 6 2" xfId="19329" xr:uid="{152CD125-6A18-4802-A9CA-AA49985D364A}"/>
    <cellStyle name="Style 97 5 6 2 2" xfId="37776" xr:uid="{E2BFACAA-ABB7-4123-A8AD-B80CC438DCB5}"/>
    <cellStyle name="Style 97 5 6 3" xfId="19330" xr:uid="{6E5C91C7-6858-49F7-B687-851DC4DB6220}"/>
    <cellStyle name="Style 97 5 6 3 2" xfId="37777" xr:uid="{DF3FEE57-4E72-488A-8E7E-B79748363A63}"/>
    <cellStyle name="Style 97 5 7" xfId="4459" xr:uid="{BA86A2F9-C1B2-48CA-A0B4-B1FC9D97745C}"/>
    <cellStyle name="Style 97 5 7 2" xfId="19331" xr:uid="{10C751D0-D2CC-4A0C-9435-DFACB728273B}"/>
    <cellStyle name="Style 97 5 7 2 2" xfId="37778" xr:uid="{30700BFD-B2BE-46BB-9917-81A960104BF1}"/>
    <cellStyle name="Style 97 5 7 3" xfId="19332" xr:uid="{5612DF46-CB70-4BF2-AF66-8ED09EE8CB70}"/>
    <cellStyle name="Style 97 5 7 3 2" xfId="37779" xr:uid="{25229D61-D03E-47F5-97F2-AA793F1957FD}"/>
    <cellStyle name="Style 97 5 7 4" xfId="26732" xr:uid="{D520FACD-66C5-41D3-8F0E-EE779A9B5973}"/>
    <cellStyle name="Style 97 5 8" xfId="19333" xr:uid="{BD160A02-E051-4BD0-93B5-A364912F655C}"/>
    <cellStyle name="Style 97 5 8 2" xfId="19334" xr:uid="{E9F43C81-B27E-443D-A33D-E9D9A835439E}"/>
    <cellStyle name="Style 97 5 8 2 2" xfId="37780" xr:uid="{EC2F5E93-BB15-484D-8EAF-572835CE6EE5}"/>
    <cellStyle name="Style 97 5 8 3" xfId="19335" xr:uid="{F50C7B9C-7C17-4DFD-8699-97478941EE70}"/>
    <cellStyle name="Style 97 5 8 3 2" xfId="37781" xr:uid="{4690ABA9-A690-40C6-B939-A4CC4879DBBC}"/>
    <cellStyle name="Style 97 5 8 4" xfId="28199" xr:uid="{60C879A4-CB02-43A7-84C4-8CDEF51EF9BD}"/>
    <cellStyle name="Style 97 5 9" xfId="19336" xr:uid="{3D89C40B-CA99-4550-BA44-C6635BDFB19C}"/>
    <cellStyle name="Style 97 5 9 2" xfId="19337" xr:uid="{CEBA504E-7D32-4757-A75C-35975A2B07AB}"/>
    <cellStyle name="Style 97 5 9 2 2" xfId="37783" xr:uid="{23A46D99-6916-40B5-B9DF-C3C13FC19769}"/>
    <cellStyle name="Style 97 5 9 3" xfId="37782" xr:uid="{9D06724D-2673-4D14-A86E-634ADDC790F6}"/>
    <cellStyle name="Style 97 6" xfId="3828" xr:uid="{06B4D27D-423A-4418-A067-CCB71E5E60B4}"/>
    <cellStyle name="Style 97 6 10" xfId="19338" xr:uid="{657E9719-FF34-479E-8E6A-E06A5D0B6824}"/>
    <cellStyle name="Style 97 6 10 2" xfId="19339" xr:uid="{CC56EA36-96A5-4FE0-B4CE-81AB0914286A}"/>
    <cellStyle name="Style 97 6 10 2 2" xfId="37785" xr:uid="{8AA88C29-2DB5-4174-A9C9-2AE41BAF6BE4}"/>
    <cellStyle name="Style 97 6 10 3" xfId="37784" xr:uid="{101B6A15-660E-43D0-9570-C359020E5CC0}"/>
    <cellStyle name="Style 97 6 11" xfId="19340" xr:uid="{AD5521F4-D318-41C9-BF6C-9C595690E9E7}"/>
    <cellStyle name="Style 97 6 11 2" xfId="19341" xr:uid="{79ACB3B3-7EEF-4E05-B05B-44AD7EA2E70F}"/>
    <cellStyle name="Style 97 6 11 2 2" xfId="37787" xr:uid="{5D971E1F-D072-419F-876A-52509E5BE1CD}"/>
    <cellStyle name="Style 97 6 11 3" xfId="37786" xr:uid="{D27199F5-C0D9-4317-A39E-3FEFE8E47DD1}"/>
    <cellStyle name="Style 97 6 12" xfId="19342" xr:uid="{2E8C3DD8-16E7-40FF-91C5-140F9A21044A}"/>
    <cellStyle name="Style 97 6 12 2" xfId="37788" xr:uid="{C79C0873-87C3-467C-8FE1-5782B560FFA1}"/>
    <cellStyle name="Style 97 6 13" xfId="19343" xr:uid="{D48C2E67-F2EB-4582-BA24-882560E77476}"/>
    <cellStyle name="Style 97 6 13 2" xfId="37789" xr:uid="{13B62F86-70CC-4B8F-8D19-FB974293AB2C}"/>
    <cellStyle name="Style 97 6 14" xfId="24284" xr:uid="{08A4C032-642A-4AE8-AF97-027E292B604F}"/>
    <cellStyle name="Style 97 6 2" xfId="3829" xr:uid="{78571A4C-43EA-4421-8AB9-4EAF8DBE48F8}"/>
    <cellStyle name="Style 97 6 2 10" xfId="19344" xr:uid="{ABA84C05-B4AF-4C54-AA56-138E0B998B81}"/>
    <cellStyle name="Style 97 6 2 10 2" xfId="37790" xr:uid="{6A214718-0229-4F83-9F75-CE909A0380EA}"/>
    <cellStyle name="Style 97 6 2 11" xfId="24285" xr:uid="{E50E8EB3-5042-4EA4-B8D2-BF59F0ADF1EC}"/>
    <cellStyle name="Style 97 6 2 2" xfId="7771" xr:uid="{B0669A2D-0D7E-4A0F-878E-75648E86811D}"/>
    <cellStyle name="Style 97 6 2 2 2" xfId="19345" xr:uid="{A4926693-A31C-48FB-A95A-A5486FB1C177}"/>
    <cellStyle name="Style 97 6 2 2 2 2" xfId="19346" xr:uid="{0595DD22-1ACA-41ED-895E-E60DA964A13A}"/>
    <cellStyle name="Style 97 6 2 2 2 2 2" xfId="37792" xr:uid="{D4050EEB-B35F-4295-8931-A09C3B157633}"/>
    <cellStyle name="Style 97 6 2 2 2 3" xfId="37791" xr:uid="{15AFE11A-1D4D-4C39-B70C-44904E49ECC9}"/>
    <cellStyle name="Style 97 6 2 2 3" xfId="19347" xr:uid="{3843D2E4-7342-4AD6-B020-3FB19BFB0F69}"/>
    <cellStyle name="Style 97 6 2 2 3 2" xfId="19348" xr:uid="{EC90E4A6-C261-42A8-8969-BF28C6FC6D57}"/>
    <cellStyle name="Style 97 6 2 2 3 2 2" xfId="37794" xr:uid="{36C889D5-2A32-4832-8ACC-EEB5AAFF35A3}"/>
    <cellStyle name="Style 97 6 2 2 3 3" xfId="37793" xr:uid="{8F8B922D-B13D-4D31-B87D-5ED3C0C399FA}"/>
    <cellStyle name="Style 97 6 2 2 4" xfId="19349" xr:uid="{4DBDCE67-812C-4D3E-8A2E-9665199AED4C}"/>
    <cellStyle name="Style 97 6 2 2 4 2" xfId="19350" xr:uid="{A1C44B8C-3920-4477-85E5-5C2E0BED6501}"/>
    <cellStyle name="Style 97 6 2 2 4 2 2" xfId="37796" xr:uid="{B3EBBB8E-A03B-4C5A-80D2-50C61723A99E}"/>
    <cellStyle name="Style 97 6 2 2 4 3" xfId="37795" xr:uid="{16AB1B1B-54BC-4C8F-84F0-7EBF774FA9E7}"/>
    <cellStyle name="Style 97 6 2 2 5" xfId="19351" xr:uid="{00922045-DFC5-4EE8-BCBC-E743493C099B}"/>
    <cellStyle name="Style 97 6 2 2 5 2" xfId="19352" xr:uid="{3F266DEC-50FC-4113-AD2E-E60F4243BC97}"/>
    <cellStyle name="Style 97 6 2 2 5 2 2" xfId="37798" xr:uid="{7E8F3F26-6489-42D7-8066-CB6F6CCDD675}"/>
    <cellStyle name="Style 97 6 2 2 5 3" xfId="37797" xr:uid="{0050CC2F-C0D1-4945-BAF7-EC5896C44957}"/>
    <cellStyle name="Style 97 6 2 2 6" xfId="19353" xr:uid="{355096FC-CD01-49EB-9989-F075A074D127}"/>
    <cellStyle name="Style 97 6 2 2 6 2" xfId="37799" xr:uid="{1128F97A-B9B6-45F4-A861-44F36C602974}"/>
    <cellStyle name="Style 97 6 2 2 7" xfId="19354" xr:uid="{F00F6009-A9CF-48BB-998D-8F66298DD3A9}"/>
    <cellStyle name="Style 97 6 2 2 7 2" xfId="37800" xr:uid="{307C1B1D-2623-4B69-9CE6-1E81EBB3B33A}"/>
    <cellStyle name="Style 97 6 2 3" xfId="7770" xr:uid="{2C500881-B548-4A3C-82BC-DFE1BD00C1EE}"/>
    <cellStyle name="Style 97 6 2 3 2" xfId="19355" xr:uid="{DAF0BC2A-2C56-45C9-9B8E-8A2C0D987CAC}"/>
    <cellStyle name="Style 97 6 2 3 2 2" xfId="37801" xr:uid="{3C96352A-172A-4AF1-8A14-A10A2FD53BE9}"/>
    <cellStyle name="Style 97 6 2 3 3" xfId="19356" xr:uid="{B33A5D9E-D940-461A-A008-BF5A095F4117}"/>
    <cellStyle name="Style 97 6 2 3 3 2" xfId="37802" xr:uid="{52993B62-A93E-4CAC-938E-F8644D05DCC8}"/>
    <cellStyle name="Style 97 6 2 4" xfId="19357" xr:uid="{24B3A63E-0609-430C-B21E-BE8158D8CD2A}"/>
    <cellStyle name="Style 97 6 2 4 2" xfId="19358" xr:uid="{8E9659A2-0C01-4EAD-9336-BA1BFFEA0A99}"/>
    <cellStyle name="Style 97 6 2 4 2 2" xfId="37803" xr:uid="{1768A318-B23F-4A20-AC6A-F7B16B65C827}"/>
    <cellStyle name="Style 97 6 2 4 3" xfId="19359" xr:uid="{1A954451-88E9-4111-AE47-4728B8B0F73B}"/>
    <cellStyle name="Style 97 6 2 4 3 2" xfId="37804" xr:uid="{0BA73D6A-B425-46C1-83B6-AE9849FE9C0B}"/>
    <cellStyle name="Style 97 6 2 4 4" xfId="28208" xr:uid="{4D6197A0-881D-47B6-AE9F-73132728586F}"/>
    <cellStyle name="Style 97 6 2 5" xfId="19360" xr:uid="{85E5184D-8326-403F-A8A2-08C7659729F7}"/>
    <cellStyle name="Style 97 6 2 5 2" xfId="19361" xr:uid="{0EA3B3D2-B58E-44DB-827F-FC19614A1BF7}"/>
    <cellStyle name="Style 97 6 2 5 2 2" xfId="37806" xr:uid="{61B9E308-07EA-4D28-AA07-E181C4B63CBA}"/>
    <cellStyle name="Style 97 6 2 5 3" xfId="37805" xr:uid="{1E709769-4CC9-4921-A873-808A1EA1E53A}"/>
    <cellStyle name="Style 97 6 2 6" xfId="19362" xr:uid="{7359F937-CFBA-46DD-B9AF-CB16944C83EB}"/>
    <cellStyle name="Style 97 6 2 6 2" xfId="19363" xr:uid="{DA6E23E3-82FB-4D59-82F6-5EA602FE2D35}"/>
    <cellStyle name="Style 97 6 2 6 2 2" xfId="37808" xr:uid="{BFD2DBCC-C1D5-4A16-A704-41786DF84885}"/>
    <cellStyle name="Style 97 6 2 6 3" xfId="37807" xr:uid="{65871DB1-E57A-4227-91CB-F75F50B75CCD}"/>
    <cellStyle name="Style 97 6 2 7" xfId="19364" xr:uid="{177E1B1F-7066-487F-8386-CE31D5F5688F}"/>
    <cellStyle name="Style 97 6 2 7 2" xfId="19365" xr:uid="{773C27D3-9CA3-49F0-82E3-C6F0083129E7}"/>
    <cellStyle name="Style 97 6 2 7 2 2" xfId="37810" xr:uid="{93C75CA4-AD86-4742-A162-C4FA7C3F81B5}"/>
    <cellStyle name="Style 97 6 2 7 3" xfId="37809" xr:uid="{22C4D706-6F2B-4523-8BB1-1AE474ABDE74}"/>
    <cellStyle name="Style 97 6 2 8" xfId="19366" xr:uid="{830B2ACD-1DFE-4306-9D63-315CF9804EB0}"/>
    <cellStyle name="Style 97 6 2 8 2" xfId="19367" xr:uid="{9A0681D2-5396-41C0-A124-21DEFE606E8B}"/>
    <cellStyle name="Style 97 6 2 8 2 2" xfId="37812" xr:uid="{5EAD4C2E-69A7-4149-9F24-C2ED9A71811B}"/>
    <cellStyle name="Style 97 6 2 8 3" xfId="37811" xr:uid="{D866DD2F-BA39-4971-8C84-2110692A84F7}"/>
    <cellStyle name="Style 97 6 2 9" xfId="19368" xr:uid="{457D1DF0-4C4A-4CA1-969A-DAC174BD81E7}"/>
    <cellStyle name="Style 97 6 2 9 2" xfId="37813" xr:uid="{EA07A969-9B0D-4DCB-9B3C-7DE2A9550DC2}"/>
    <cellStyle name="Style 97 6 3" xfId="3830" xr:uid="{539B7D31-8F33-40BB-B6F1-4415F34995EE}"/>
    <cellStyle name="Style 97 6 3 10" xfId="19369" xr:uid="{10086A80-95F5-41AD-8BB8-5053263AE31F}"/>
    <cellStyle name="Style 97 6 3 10 2" xfId="37814" xr:uid="{8D051690-3A8B-494D-92CF-F47394333DA8}"/>
    <cellStyle name="Style 97 6 3 11" xfId="19370" xr:uid="{112618D9-3D94-423C-A337-FE8F31F90C59}"/>
    <cellStyle name="Style 97 6 3 11 2" xfId="37815" xr:uid="{0CF1A2A7-7D8B-43C1-BAF6-9197B8B568BD}"/>
    <cellStyle name="Style 97 6 3 12" xfId="24286" xr:uid="{25E8E0F4-070A-41C4-AB80-91DDEDF9F796}"/>
    <cellStyle name="Style 97 6 3 2" xfId="3831" xr:uid="{AFAECA8E-FE52-4C42-81AC-527DB64F7A9E}"/>
    <cellStyle name="Style 97 6 3 2 10" xfId="19371" xr:uid="{FAC73498-500F-4D21-AE53-1533DB721959}"/>
    <cellStyle name="Style 97 6 3 2 10 2" xfId="37816" xr:uid="{8845CDD1-7744-4FB6-B668-EABB57D0C27A}"/>
    <cellStyle name="Style 97 6 3 2 11" xfId="24287" xr:uid="{C406F0D3-FFEA-48A0-BF15-B4E66A7F3688}"/>
    <cellStyle name="Style 97 6 3 2 2" xfId="7774" xr:uid="{40796994-784E-40E5-A7F6-550E37DF362A}"/>
    <cellStyle name="Style 97 6 3 2 2 2" xfId="19372" xr:uid="{C8D71989-F604-4B84-B3E5-387ED0227C97}"/>
    <cellStyle name="Style 97 6 3 2 2 2 2" xfId="19373" xr:uid="{4B372E52-AE48-4F60-B047-2ED1F367F2EB}"/>
    <cellStyle name="Style 97 6 3 2 2 2 2 2" xfId="37818" xr:uid="{6D9A8FC5-A764-486E-BD7B-E4076E148EB3}"/>
    <cellStyle name="Style 97 6 3 2 2 2 3" xfId="37817" xr:uid="{817A2ACC-933E-41CD-8AFD-747334FEFF4F}"/>
    <cellStyle name="Style 97 6 3 2 2 3" xfId="19374" xr:uid="{42398ED9-B61C-4F37-9FEC-A52B4BFF8EDE}"/>
    <cellStyle name="Style 97 6 3 2 2 3 2" xfId="19375" xr:uid="{645B8E73-7204-4F8D-A6B0-966400EF13E7}"/>
    <cellStyle name="Style 97 6 3 2 2 3 2 2" xfId="37820" xr:uid="{85A974BA-74C5-48A1-8672-1382D71412B7}"/>
    <cellStyle name="Style 97 6 3 2 2 3 3" xfId="37819" xr:uid="{C09FE547-9019-44D1-B408-067B9776E87E}"/>
    <cellStyle name="Style 97 6 3 2 2 4" xfId="19376" xr:uid="{3592BE13-B4BF-4FC1-BFB8-CBCBBA681A60}"/>
    <cellStyle name="Style 97 6 3 2 2 4 2" xfId="19377" xr:uid="{6D1A7B74-FCDF-4CC0-A8BD-9B5F8E7B43D7}"/>
    <cellStyle name="Style 97 6 3 2 2 4 2 2" xfId="37822" xr:uid="{A49AF068-EE96-42E7-9D11-921A2C286EEF}"/>
    <cellStyle name="Style 97 6 3 2 2 4 3" xfId="37821" xr:uid="{6F70AB42-6315-4BF8-8BA9-714BA53EC7CC}"/>
    <cellStyle name="Style 97 6 3 2 2 5" xfId="19378" xr:uid="{B6038AB9-5761-4802-8284-FED0C41B36DD}"/>
    <cellStyle name="Style 97 6 3 2 2 5 2" xfId="19379" xr:uid="{E382ABF0-A84F-4531-AEB9-A6AA15A3B9C3}"/>
    <cellStyle name="Style 97 6 3 2 2 5 2 2" xfId="37824" xr:uid="{2852AB08-4D79-48CF-BCD7-C45C3A01BE03}"/>
    <cellStyle name="Style 97 6 3 2 2 5 3" xfId="37823" xr:uid="{1823546F-283D-418B-880D-655534EDB673}"/>
    <cellStyle name="Style 97 6 3 2 2 6" xfId="19380" xr:uid="{941C9A0B-0046-4B0A-AEDB-2B6986A897B6}"/>
    <cellStyle name="Style 97 6 3 2 2 6 2" xfId="37825" xr:uid="{8DBD0038-4062-423C-A579-14AD64BEDFD6}"/>
    <cellStyle name="Style 97 6 3 2 2 7" xfId="19381" xr:uid="{D082BDDE-FAC4-468D-9DFF-7881AA949C0B}"/>
    <cellStyle name="Style 97 6 3 2 2 7 2" xfId="37826" xr:uid="{17672B78-46D6-4875-B557-026B5651EC96}"/>
    <cellStyle name="Style 97 6 3 2 3" xfId="7773" xr:uid="{40DAA96F-DF8C-48E8-B8FC-3C3B2B87C954}"/>
    <cellStyle name="Style 97 6 3 2 3 2" xfId="19382" xr:uid="{48A1DA74-A615-4804-A846-0E58950A969A}"/>
    <cellStyle name="Style 97 6 3 2 3 2 2" xfId="37827" xr:uid="{14AA54F5-F484-47B6-B408-7B00A12055BC}"/>
    <cellStyle name="Style 97 6 3 2 3 3" xfId="19383" xr:uid="{9E54C724-4E10-4C57-917C-CF6E0061F033}"/>
    <cellStyle name="Style 97 6 3 2 3 3 2" xfId="37828" xr:uid="{FF3EF168-0664-4B4B-8AC7-6DE9E6A60057}"/>
    <cellStyle name="Style 97 6 3 2 4" xfId="19384" xr:uid="{67A9E760-0CCD-4C46-BE79-C99CA9539A92}"/>
    <cellStyle name="Style 97 6 3 2 4 2" xfId="19385" xr:uid="{06A3F114-793C-442F-A9D4-4D0EBD4133BA}"/>
    <cellStyle name="Style 97 6 3 2 4 2 2" xfId="37829" xr:uid="{94318176-668F-48F6-8675-6F0086C811FA}"/>
    <cellStyle name="Style 97 6 3 2 4 3" xfId="19386" xr:uid="{A6F33648-A62E-40CD-9C1E-3C417B73760E}"/>
    <cellStyle name="Style 97 6 3 2 4 3 2" xfId="37830" xr:uid="{DA28E163-7661-450B-BFA9-7B8FDE1489B6}"/>
    <cellStyle name="Style 97 6 3 2 4 4" xfId="28210" xr:uid="{84D14103-C52C-4E5B-8254-133077FAD6C7}"/>
    <cellStyle name="Style 97 6 3 2 5" xfId="19387" xr:uid="{C91B4C69-0539-4ED1-BDE7-B75B868CCC7D}"/>
    <cellStyle name="Style 97 6 3 2 5 2" xfId="19388" xr:uid="{73147581-2D2B-49A3-A783-8AAA2A537462}"/>
    <cellStyle name="Style 97 6 3 2 5 2 2" xfId="37832" xr:uid="{1D72249C-6AAE-47EB-B425-16A895BA4288}"/>
    <cellStyle name="Style 97 6 3 2 5 3" xfId="37831" xr:uid="{89A81BA8-57FD-441D-A705-585999884EE8}"/>
    <cellStyle name="Style 97 6 3 2 6" xfId="19389" xr:uid="{ED3446C4-9B30-4AC8-B589-EE2B8EE28DC1}"/>
    <cellStyle name="Style 97 6 3 2 6 2" xfId="19390" xr:uid="{8785CAA5-763A-406F-B509-D1B06BFE4DEA}"/>
    <cellStyle name="Style 97 6 3 2 6 2 2" xfId="37834" xr:uid="{B6662B68-CBE7-4E71-B399-1166F137EE7A}"/>
    <cellStyle name="Style 97 6 3 2 6 3" xfId="37833" xr:uid="{FD5365D3-393A-4501-BC67-63A93528A524}"/>
    <cellStyle name="Style 97 6 3 2 7" xfId="19391" xr:uid="{D480D297-DFAC-47C4-9F56-52AB6EE088F9}"/>
    <cellStyle name="Style 97 6 3 2 7 2" xfId="19392" xr:uid="{0F6C6F6A-41EE-4AAD-8DDE-AD1B153476BA}"/>
    <cellStyle name="Style 97 6 3 2 7 2 2" xfId="37836" xr:uid="{F254489F-62BB-4D41-8686-C688ADA8585F}"/>
    <cellStyle name="Style 97 6 3 2 7 3" xfId="37835" xr:uid="{7E2273BA-1835-4AD9-A398-2176BF0EC1C5}"/>
    <cellStyle name="Style 97 6 3 2 8" xfId="19393" xr:uid="{A3D0C63C-FF49-4391-8053-3C9163B47875}"/>
    <cellStyle name="Style 97 6 3 2 8 2" xfId="19394" xr:uid="{3C9D0F98-14E1-4B66-B218-A8E148B89635}"/>
    <cellStyle name="Style 97 6 3 2 8 2 2" xfId="37838" xr:uid="{54AC6B22-2821-4C54-A3A4-7D1CEF9A24E2}"/>
    <cellStyle name="Style 97 6 3 2 8 3" xfId="37837" xr:uid="{A62A3F6B-705F-4C47-8535-2C5FD944B2DD}"/>
    <cellStyle name="Style 97 6 3 2 9" xfId="19395" xr:uid="{8344CF1B-4B61-4BA4-8064-05248412F9EE}"/>
    <cellStyle name="Style 97 6 3 2 9 2" xfId="37839" xr:uid="{63F46034-39E4-496D-B31E-B01485560399}"/>
    <cellStyle name="Style 97 6 3 3" xfId="7775" xr:uid="{3979A42B-E44F-4D83-A5FB-DD3CF77D96F6}"/>
    <cellStyle name="Style 97 6 3 3 2" xfId="7776" xr:uid="{993C1D04-78C3-4273-AE5E-1268779E132A}"/>
    <cellStyle name="Style 97 6 3 3 2 2" xfId="19396" xr:uid="{1A2E25B1-3783-4096-AD78-455D32BD6D70}"/>
    <cellStyle name="Style 97 6 3 3 2 2 2" xfId="37840" xr:uid="{9AB8B7C9-59AF-4ED1-A3CD-98AAAE7229B0}"/>
    <cellStyle name="Style 97 6 3 3 2 3" xfId="19397" xr:uid="{8DE98FE9-757C-47B0-BE86-1F8CD47DBAC5}"/>
    <cellStyle name="Style 97 6 3 3 2 3 2" xfId="37841" xr:uid="{F5D4D0FB-8CC5-45FD-8737-E10EF6639CBC}"/>
    <cellStyle name="Style 97 6 3 3 2 4" xfId="19398" xr:uid="{9E9087F8-F0A1-4175-8E3B-27DD172FEF7E}"/>
    <cellStyle name="Style 97 6 3 3 2 4 2" xfId="37842" xr:uid="{0EE724CB-80AE-41AF-BCC5-2CE40BC11AA6}"/>
    <cellStyle name="Style 97 6 3 3 3" xfId="19399" xr:uid="{82461AF3-FE35-4DCB-9966-0D87B8A91576}"/>
    <cellStyle name="Style 97 6 3 3 3 2" xfId="19400" xr:uid="{B82564FE-888F-406E-9283-24636096E6AF}"/>
    <cellStyle name="Style 97 6 3 3 3 2 2" xfId="37844" xr:uid="{30614A44-E3B9-49EB-AFED-0E8613EE9685}"/>
    <cellStyle name="Style 97 6 3 3 3 3" xfId="37843" xr:uid="{D2C7B4C0-72C2-406C-B348-69AC43DED115}"/>
    <cellStyle name="Style 97 6 3 3 4" xfId="19401" xr:uid="{BA87ADF8-5FCF-40BA-982A-8AE66AFF6F04}"/>
    <cellStyle name="Style 97 6 3 3 4 2" xfId="19402" xr:uid="{2AB36AB0-B73D-453B-80A9-4D4ADC84A946}"/>
    <cellStyle name="Style 97 6 3 3 4 2 2" xfId="37846" xr:uid="{E6AF0F32-CB50-48A3-BA73-489E8F7B0066}"/>
    <cellStyle name="Style 97 6 3 3 4 3" xfId="37845" xr:uid="{1C3383EB-01C5-4013-A660-0EA6F0360AFD}"/>
    <cellStyle name="Style 97 6 3 3 5" xfId="19403" xr:uid="{53393299-EE26-4437-B4BA-8CB63A67B5ED}"/>
    <cellStyle name="Style 97 6 3 3 5 2" xfId="19404" xr:uid="{6A9F94D6-87D3-418D-B7B2-B265BA351DE0}"/>
    <cellStyle name="Style 97 6 3 3 5 2 2" xfId="37848" xr:uid="{47D665E2-F4CA-4FEA-9B35-DFF4EEF03819}"/>
    <cellStyle name="Style 97 6 3 3 5 3" xfId="37847" xr:uid="{A4DF59A2-836B-45E3-8A20-19243B8FE6D1}"/>
    <cellStyle name="Style 97 6 3 3 6" xfId="19405" xr:uid="{09328C4E-ED97-458B-9C61-E89D57CAC35C}"/>
    <cellStyle name="Style 97 6 3 3 6 2" xfId="37849" xr:uid="{36C39A02-4D17-4A15-A2BC-257FC527F9BB}"/>
    <cellStyle name="Style 97 6 3 3 7" xfId="19406" xr:uid="{A580EF67-96A5-446A-AE02-8CB42356A5FC}"/>
    <cellStyle name="Style 97 6 3 3 7 2" xfId="37850" xr:uid="{F8166901-9BBB-406F-A6D9-748BF3968407}"/>
    <cellStyle name="Style 97 6 3 3 8" xfId="24288" xr:uid="{6873A48F-79D4-414B-B37E-340101849478}"/>
    <cellStyle name="Style 97 6 3 4" xfId="7777" xr:uid="{F0AD1CC5-39E8-47EF-B0F0-DACA14F306F0}"/>
    <cellStyle name="Style 97 6 3 4 2" xfId="19407" xr:uid="{B9F1CB0D-DBC2-48C0-B083-44ADD16C976C}"/>
    <cellStyle name="Style 97 6 3 4 2 2" xfId="37851" xr:uid="{B8DB542F-3E36-4723-BFD6-0A91B5F6DF4E}"/>
    <cellStyle name="Style 97 6 3 4 3" xfId="19408" xr:uid="{FB89C661-F6F0-423E-92AB-6841717B392F}"/>
    <cellStyle name="Style 97 6 3 4 3 2" xfId="37852" xr:uid="{1132D780-95B3-4A9B-A987-287AD3877370}"/>
    <cellStyle name="Style 97 6 3 4 4" xfId="19409" xr:uid="{555C0ADC-C549-4252-8594-1B24EA00AD5B}"/>
    <cellStyle name="Style 97 6 3 4 4 2" xfId="37853" xr:uid="{A14339C0-2957-48B3-BE60-80A09281FAB9}"/>
    <cellStyle name="Style 97 6 3 5" xfId="7778" xr:uid="{66740BE7-FCED-487D-91A7-22880C9B4A81}"/>
    <cellStyle name="Style 97 6 3 5 2" xfId="19410" xr:uid="{62D17C2A-2366-4FEC-89DA-FCCB0CFFC6BF}"/>
    <cellStyle name="Style 97 6 3 5 2 2" xfId="37854" xr:uid="{24A07E77-D6C1-4D94-A5A0-1D71B93EC8F4}"/>
    <cellStyle name="Style 97 6 3 5 3" xfId="19411" xr:uid="{3EDA3A3B-3FC1-4B7D-9A86-E50BF31C8C86}"/>
    <cellStyle name="Style 97 6 3 5 3 2" xfId="37855" xr:uid="{62F391E9-CBF7-4DF7-B9F9-1F617EC86662}"/>
    <cellStyle name="Style 97 6 3 6" xfId="7772" xr:uid="{0AECBB2C-0653-4E25-B379-033730050400}"/>
    <cellStyle name="Style 97 6 3 6 2" xfId="19412" xr:uid="{00BE663D-4F57-4052-8644-DACEBE516042}"/>
    <cellStyle name="Style 97 6 3 6 2 2" xfId="37856" xr:uid="{0F79DAE9-4A9A-4285-A341-8FA20692BC76}"/>
    <cellStyle name="Style 97 6 3 6 3" xfId="19413" xr:uid="{A900336C-CFA3-44E6-A2CA-37F7AEBB586B}"/>
    <cellStyle name="Style 97 6 3 6 3 2" xfId="37857" xr:uid="{22C7F0D4-F54D-45E6-9501-89818FA71586}"/>
    <cellStyle name="Style 97 6 3 7" xfId="19414" xr:uid="{99EF0DE0-40AE-4F09-B498-1DCC08D03CD5}"/>
    <cellStyle name="Style 97 6 3 7 2" xfId="19415" xr:uid="{5878C497-CC4B-4779-AE6A-B2876FEC5D56}"/>
    <cellStyle name="Style 97 6 3 7 2 2" xfId="37858" xr:uid="{0EDC109C-F1C9-48C9-B2B6-64649FB16E38}"/>
    <cellStyle name="Style 97 6 3 7 3" xfId="19416" xr:uid="{8572D5A5-91FA-42E1-B0FF-567D1D75A1AF}"/>
    <cellStyle name="Style 97 6 3 7 3 2" xfId="37859" xr:uid="{BF123604-D097-44C0-AC75-CCD7D8DD8772}"/>
    <cellStyle name="Style 97 6 3 7 4" xfId="28209" xr:uid="{19D0CAEF-0AA5-4F38-8344-83E45C2D5D86}"/>
    <cellStyle name="Style 97 6 3 8" xfId="19417" xr:uid="{6800D16C-CD8D-42F5-BA21-8BE247C15B15}"/>
    <cellStyle name="Style 97 6 3 8 2" xfId="19418" xr:uid="{1AEC379B-78A5-4995-9A7D-C0051F6B0BF6}"/>
    <cellStyle name="Style 97 6 3 8 2 2" xfId="37861" xr:uid="{6F55F761-FA94-4815-ACFD-0DE0A5142AAA}"/>
    <cellStyle name="Style 97 6 3 8 3" xfId="37860" xr:uid="{F337F632-B2E2-44A1-8F70-B278DB9F4C92}"/>
    <cellStyle name="Style 97 6 3 9" xfId="19419" xr:uid="{8F9BC801-2C09-4833-A8A5-1CF03A82B1E5}"/>
    <cellStyle name="Style 97 6 3 9 2" xfId="19420" xr:uid="{524C1C49-A6D2-40E9-B7C6-E6F30A921B1E}"/>
    <cellStyle name="Style 97 6 3 9 2 2" xfId="37863" xr:uid="{1E226492-42BE-4996-B37E-B7F6CAED08D0}"/>
    <cellStyle name="Style 97 6 3 9 3" xfId="37862" xr:uid="{B2092786-BE84-4B65-94C6-58223D465C62}"/>
    <cellStyle name="Style 97 6 4" xfId="3832" xr:uid="{C56DD3D2-0A87-4DFF-B81B-1BD5880FC764}"/>
    <cellStyle name="Style 97 6 4 10" xfId="19421" xr:uid="{DB461EDA-A30F-4ECF-982E-39687F492732}"/>
    <cellStyle name="Style 97 6 4 10 2" xfId="37864" xr:uid="{E8B49AAA-7200-416F-9D8F-5467916AE3BC}"/>
    <cellStyle name="Style 97 6 4 11" xfId="19422" xr:uid="{B032E09E-5258-48CF-BFB1-9CA1D7A8E3BD}"/>
    <cellStyle name="Style 97 6 4 11 2" xfId="37865" xr:uid="{82E659A4-E479-4F53-99D3-5136CE0289CE}"/>
    <cellStyle name="Style 97 6 4 12" xfId="24289" xr:uid="{4BFB133B-4883-41B2-84C5-EE59A2CC0DB7}"/>
    <cellStyle name="Style 97 6 4 2" xfId="3833" xr:uid="{CFCE8CB1-FE66-4737-9682-D5F4D261CD86}"/>
    <cellStyle name="Style 97 6 4 2 10" xfId="19423" xr:uid="{659F8D99-9320-4AA3-8141-979AF6C1D4DA}"/>
    <cellStyle name="Style 97 6 4 2 10 2" xfId="37866" xr:uid="{4628982C-6EC7-4B04-8893-9BC2B0329B57}"/>
    <cellStyle name="Style 97 6 4 2 11" xfId="24290" xr:uid="{F660668F-CF90-4199-94DA-64AD711FEB08}"/>
    <cellStyle name="Style 97 6 4 2 2" xfId="7781" xr:uid="{C5FA4A42-4CCE-45E5-8F6C-240098FF44F1}"/>
    <cellStyle name="Style 97 6 4 2 2 2" xfId="19424" xr:uid="{0E15F265-3EBC-460D-8EAA-96059B0B313E}"/>
    <cellStyle name="Style 97 6 4 2 2 2 2" xfId="19425" xr:uid="{81972BC4-F50F-4E87-8DB7-D49A85247965}"/>
    <cellStyle name="Style 97 6 4 2 2 2 2 2" xfId="37868" xr:uid="{47E02C66-D4B7-4FE8-B957-12BDAE3BBFC5}"/>
    <cellStyle name="Style 97 6 4 2 2 2 3" xfId="37867" xr:uid="{A5F62234-3877-4AAD-93E6-7B57115B6659}"/>
    <cellStyle name="Style 97 6 4 2 2 3" xfId="19426" xr:uid="{EF97BFA5-3FB2-406E-A9C9-F0A0AC9DEB68}"/>
    <cellStyle name="Style 97 6 4 2 2 3 2" xfId="19427" xr:uid="{91464A96-7367-4B51-8FF5-D8FB98CD7C08}"/>
    <cellStyle name="Style 97 6 4 2 2 3 2 2" xfId="37870" xr:uid="{B15C3C20-B5EB-4863-9FA6-D36F212B6DDE}"/>
    <cellStyle name="Style 97 6 4 2 2 3 3" xfId="37869" xr:uid="{5C5B99D7-0A35-4229-8337-A0841013CF2C}"/>
    <cellStyle name="Style 97 6 4 2 2 4" xfId="19428" xr:uid="{229CA3C6-75D7-42E2-899C-AB8475070451}"/>
    <cellStyle name="Style 97 6 4 2 2 4 2" xfId="19429" xr:uid="{42921D2F-7EF4-450C-A093-B7A62BFC368F}"/>
    <cellStyle name="Style 97 6 4 2 2 4 2 2" xfId="37872" xr:uid="{5E20A455-FB90-4F57-87F5-AB421D851B1F}"/>
    <cellStyle name="Style 97 6 4 2 2 4 3" xfId="37871" xr:uid="{7FEE369C-ED8A-4D83-9E7C-9DE9B346AD1F}"/>
    <cellStyle name="Style 97 6 4 2 2 5" xfId="19430" xr:uid="{025DD53C-D7D0-4FA0-A477-BD95C88ED21E}"/>
    <cellStyle name="Style 97 6 4 2 2 5 2" xfId="19431" xr:uid="{648E4FAA-009E-40B9-8E5D-9EFAFBB60D9F}"/>
    <cellStyle name="Style 97 6 4 2 2 5 2 2" xfId="37874" xr:uid="{AFB2DDB9-2646-4EBA-8DC3-45FA1CAA22CA}"/>
    <cellStyle name="Style 97 6 4 2 2 5 3" xfId="37873" xr:uid="{CC61D81F-8837-4560-92C6-6ADB8C082C4A}"/>
    <cellStyle name="Style 97 6 4 2 2 6" xfId="19432" xr:uid="{5043DE43-D87D-4863-80AB-4FE72A7C0AD7}"/>
    <cellStyle name="Style 97 6 4 2 2 6 2" xfId="37875" xr:uid="{DB48EAFB-85EE-4C03-92C3-69AE89292651}"/>
    <cellStyle name="Style 97 6 4 2 2 7" xfId="19433" xr:uid="{1F75A5B7-F8EA-457B-8662-8065AED54AB5}"/>
    <cellStyle name="Style 97 6 4 2 2 7 2" xfId="37876" xr:uid="{FCA8B6DE-96D1-4658-BA36-CBDC351FA12D}"/>
    <cellStyle name="Style 97 6 4 2 3" xfId="7780" xr:uid="{85902C19-96A2-4054-AF3A-76CEB938F127}"/>
    <cellStyle name="Style 97 6 4 2 3 2" xfId="19434" xr:uid="{E39CCA9A-A78E-49C9-9747-4337DFB120F2}"/>
    <cellStyle name="Style 97 6 4 2 3 2 2" xfId="37877" xr:uid="{C750D80C-69ED-4E41-ADC8-20375FA22685}"/>
    <cellStyle name="Style 97 6 4 2 3 3" xfId="19435" xr:uid="{47EFB3B9-2534-442B-99A9-D16832E5E5BA}"/>
    <cellStyle name="Style 97 6 4 2 3 3 2" xfId="37878" xr:uid="{D8D8CFB7-EAF7-4395-83C0-3BB8469B9D78}"/>
    <cellStyle name="Style 97 6 4 2 4" xfId="19436" xr:uid="{FD0B3316-B8B9-4CA6-B2C5-6DAF00C99DD0}"/>
    <cellStyle name="Style 97 6 4 2 4 2" xfId="19437" xr:uid="{83F5C051-9CB4-4836-B55A-5D657D0B7A14}"/>
    <cellStyle name="Style 97 6 4 2 4 2 2" xfId="37879" xr:uid="{076B6860-D060-4F46-BC54-1E134E66EBBB}"/>
    <cellStyle name="Style 97 6 4 2 4 3" xfId="19438" xr:uid="{F84B07BC-26FB-44B2-BE72-81002CCB3211}"/>
    <cellStyle name="Style 97 6 4 2 4 3 2" xfId="37880" xr:uid="{B8022950-5AB7-404F-B332-86BBD0417F93}"/>
    <cellStyle name="Style 97 6 4 2 4 4" xfId="28212" xr:uid="{763412CC-FEDF-4BD3-89B9-A884619CCE19}"/>
    <cellStyle name="Style 97 6 4 2 5" xfId="19439" xr:uid="{9CB09683-1ECE-4E53-9E7E-AAE5FC294ED4}"/>
    <cellStyle name="Style 97 6 4 2 5 2" xfId="19440" xr:uid="{202234E5-0368-4F94-95B8-D3F2086C3A61}"/>
    <cellStyle name="Style 97 6 4 2 5 2 2" xfId="37882" xr:uid="{B5A52500-F5B8-457A-8FF8-3C5D425E981D}"/>
    <cellStyle name="Style 97 6 4 2 5 3" xfId="37881" xr:uid="{713767C0-B538-4E4F-83BB-269D8F8726F9}"/>
    <cellStyle name="Style 97 6 4 2 6" xfId="19441" xr:uid="{EB0B91FE-E096-48D5-840B-E0476BB7C81F}"/>
    <cellStyle name="Style 97 6 4 2 6 2" xfId="19442" xr:uid="{C0DE79D7-5ED7-4935-A684-FE6126A509D5}"/>
    <cellStyle name="Style 97 6 4 2 6 2 2" xfId="37884" xr:uid="{37DE2E66-00FE-47BF-A356-B5BFE3434101}"/>
    <cellStyle name="Style 97 6 4 2 6 3" xfId="37883" xr:uid="{A66CB995-221A-4AD2-AE4A-62C4A7763756}"/>
    <cellStyle name="Style 97 6 4 2 7" xfId="19443" xr:uid="{2B2B37E3-2364-405E-93F1-7C78D8FDFFD7}"/>
    <cellStyle name="Style 97 6 4 2 7 2" xfId="19444" xr:uid="{0DDB56C9-15E3-4E2C-A482-89BB07A008D6}"/>
    <cellStyle name="Style 97 6 4 2 7 2 2" xfId="37886" xr:uid="{1068E657-1A72-4D40-98B4-ABBAD5FA920F}"/>
    <cellStyle name="Style 97 6 4 2 7 3" xfId="37885" xr:uid="{BF881452-25E6-4987-9194-B044F711F8F5}"/>
    <cellStyle name="Style 97 6 4 2 8" xfId="19445" xr:uid="{37DF7D21-A889-46F0-BBA9-A2D2024A96A0}"/>
    <cellStyle name="Style 97 6 4 2 8 2" xfId="19446" xr:uid="{A6247618-F637-476A-8BBA-1998CE6980C1}"/>
    <cellStyle name="Style 97 6 4 2 8 2 2" xfId="37888" xr:uid="{C49F5F79-1B2D-4E2A-A7F9-68CD41056040}"/>
    <cellStyle name="Style 97 6 4 2 8 3" xfId="37887" xr:uid="{6F58E07A-079A-467D-9BBA-50B0FC1AD057}"/>
    <cellStyle name="Style 97 6 4 2 9" xfId="19447" xr:uid="{1D236380-8359-440C-B370-DD825A2A462B}"/>
    <cellStyle name="Style 97 6 4 2 9 2" xfId="37889" xr:uid="{72DFA7DB-EE56-44A7-89D8-AF1522CD9E56}"/>
    <cellStyle name="Style 97 6 4 3" xfId="7782" xr:uid="{1319E703-18BA-44F7-A493-60EE58D03A00}"/>
    <cellStyle name="Style 97 6 4 3 2" xfId="19448" xr:uid="{D96C1562-E86A-4ECF-80FC-87173EE2C839}"/>
    <cellStyle name="Style 97 6 4 3 2 2" xfId="19449" xr:uid="{26B11A9F-D476-4BFA-8881-5BCDC86D4153}"/>
    <cellStyle name="Style 97 6 4 3 2 2 2" xfId="37891" xr:uid="{9505A217-7015-4732-8347-73A0FA59EE69}"/>
    <cellStyle name="Style 97 6 4 3 2 3" xfId="37890" xr:uid="{D35F6BDD-E963-4C0D-9554-AF40D39FC36C}"/>
    <cellStyle name="Style 97 6 4 3 3" xfId="19450" xr:uid="{3D77CB60-B523-40E5-B0A0-D06B3BF38D83}"/>
    <cellStyle name="Style 97 6 4 3 3 2" xfId="19451" xr:uid="{C26DFF8B-EDB8-4267-B30C-2982FACF7239}"/>
    <cellStyle name="Style 97 6 4 3 3 2 2" xfId="37893" xr:uid="{0F19B70B-87E4-4BE1-9E55-C8D1A96BA9E4}"/>
    <cellStyle name="Style 97 6 4 3 3 3" xfId="37892" xr:uid="{C8EDCB1F-6ECF-4790-9066-8683FD6ADAAF}"/>
    <cellStyle name="Style 97 6 4 3 4" xfId="19452" xr:uid="{07AF4A85-3612-4CFA-8794-F8F07B19C2D2}"/>
    <cellStyle name="Style 97 6 4 3 4 2" xfId="19453" xr:uid="{40A2DD60-0992-4C68-8B94-A5C2BDEE6382}"/>
    <cellStyle name="Style 97 6 4 3 4 2 2" xfId="37895" xr:uid="{F5075441-EC4F-481F-BE72-DBE0550384EB}"/>
    <cellStyle name="Style 97 6 4 3 4 3" xfId="37894" xr:uid="{38DD5287-4232-49BA-A300-E53062072858}"/>
    <cellStyle name="Style 97 6 4 3 5" xfId="19454" xr:uid="{40180D7F-DD29-4B8D-8F49-F9B239CB5B42}"/>
    <cellStyle name="Style 97 6 4 3 5 2" xfId="19455" xr:uid="{3A722596-DA90-417C-9CC1-FEC0D3D49C13}"/>
    <cellStyle name="Style 97 6 4 3 5 2 2" xfId="37897" xr:uid="{0A1ED9D1-D16B-4DBB-90B9-EC82983E8EF0}"/>
    <cellStyle name="Style 97 6 4 3 5 3" xfId="37896" xr:uid="{66C30B82-DDC8-4DA8-B6D7-CDDD700DDFD9}"/>
    <cellStyle name="Style 97 6 4 3 6" xfId="19456" xr:uid="{0D8D1E69-5405-4EF7-902B-5AF78609A75E}"/>
    <cellStyle name="Style 97 6 4 3 6 2" xfId="37898" xr:uid="{C8689E81-20EC-4218-9880-E449431E1961}"/>
    <cellStyle name="Style 97 6 4 3 7" xfId="19457" xr:uid="{1180E73D-A2A4-46B6-97E8-E90407FFAA5C}"/>
    <cellStyle name="Style 97 6 4 3 7 2" xfId="37899" xr:uid="{AEF98930-E6AD-41A2-822B-B62C6C48F5B5}"/>
    <cellStyle name="Style 97 6 4 4" xfId="7779" xr:uid="{3652922C-903F-4483-944B-2681AC644541}"/>
    <cellStyle name="Style 97 6 4 4 2" xfId="19458" xr:uid="{77ED68DB-F07C-4D04-B399-BC3EB0FE9741}"/>
    <cellStyle name="Style 97 6 4 4 2 2" xfId="37900" xr:uid="{4D9FECA6-7B82-4430-8B3E-3BEE726C2872}"/>
    <cellStyle name="Style 97 6 4 4 3" xfId="19459" xr:uid="{C0EEA32C-8589-4DE0-9645-AE9FAC3CDF22}"/>
    <cellStyle name="Style 97 6 4 4 3 2" xfId="37901" xr:uid="{E0E41B98-4D82-4A3C-871B-465AF59804B5}"/>
    <cellStyle name="Style 97 6 4 5" xfId="19460" xr:uid="{9E8327C3-A703-4182-884F-11AD2E462267}"/>
    <cellStyle name="Style 97 6 4 5 2" xfId="19461" xr:uid="{3F158384-470D-481E-8B71-E28485F08606}"/>
    <cellStyle name="Style 97 6 4 5 2 2" xfId="37902" xr:uid="{B7421575-5735-4725-9CC3-21D43378C19C}"/>
    <cellStyle name="Style 97 6 4 5 3" xfId="19462" xr:uid="{8F28C1D0-7577-45BD-8867-0CDD4CBFE6CA}"/>
    <cellStyle name="Style 97 6 4 5 3 2" xfId="37903" xr:uid="{1A1FDF5C-97CC-447B-983C-2CA47342A3BD}"/>
    <cellStyle name="Style 97 6 4 5 4" xfId="28211" xr:uid="{71FB25C0-C944-466C-8F05-C21405884478}"/>
    <cellStyle name="Style 97 6 4 6" xfId="19463" xr:uid="{7CEA3FCA-C553-4ABA-A364-B6680829A35C}"/>
    <cellStyle name="Style 97 6 4 6 2" xfId="19464" xr:uid="{7C809681-D83C-4B72-9CBA-81A6CDA3A590}"/>
    <cellStyle name="Style 97 6 4 6 2 2" xfId="37905" xr:uid="{D3E37D1D-68EA-43B5-A447-04C6C1C526E4}"/>
    <cellStyle name="Style 97 6 4 6 3" xfId="37904" xr:uid="{CE74B1BA-3905-417B-B077-A1BBA07DBEDA}"/>
    <cellStyle name="Style 97 6 4 7" xfId="19465" xr:uid="{A849290D-B1F6-491F-8F3A-A454F17EE64F}"/>
    <cellStyle name="Style 97 6 4 7 2" xfId="19466" xr:uid="{321A9A49-5862-473D-8E39-03E30C868AAB}"/>
    <cellStyle name="Style 97 6 4 7 2 2" xfId="37907" xr:uid="{887FD0D7-FDBA-49AF-8865-C2486E7DC97D}"/>
    <cellStyle name="Style 97 6 4 7 3" xfId="37906" xr:uid="{9E1CB109-3829-43CB-9465-3753A27D808B}"/>
    <cellStyle name="Style 97 6 4 8" xfId="19467" xr:uid="{D86ED587-5B8F-4E6D-9BF0-57F953E63344}"/>
    <cellStyle name="Style 97 6 4 8 2" xfId="19468" xr:uid="{1CCAD2F6-BB20-416B-A636-D185E9D2EB09}"/>
    <cellStyle name="Style 97 6 4 8 2 2" xfId="37909" xr:uid="{E77B78AA-EC0C-4D48-BEF8-B55FB481398B}"/>
    <cellStyle name="Style 97 6 4 8 3" xfId="37908" xr:uid="{5363A103-0D46-4697-802B-A4C3D42487D1}"/>
    <cellStyle name="Style 97 6 4 9" xfId="19469" xr:uid="{0089041B-E9F3-46DB-8BAE-002A2B81C2CD}"/>
    <cellStyle name="Style 97 6 4 9 2" xfId="19470" xr:uid="{B718EFDA-ADE9-4E1A-B20F-98433DED6562}"/>
    <cellStyle name="Style 97 6 4 9 2 2" xfId="37911" xr:uid="{FD986C9B-5D2D-4341-B8B5-0F1C8D3B6544}"/>
    <cellStyle name="Style 97 6 4 9 3" xfId="37910" xr:uid="{A7B25FDD-71F5-4281-996D-C82BBE50BC53}"/>
    <cellStyle name="Style 97 6 5" xfId="7783" xr:uid="{D2822433-FCF3-4617-B7E7-1FD2B62AA1AA}"/>
    <cellStyle name="Style 97 6 5 2" xfId="19471" xr:uid="{CD4154E2-5E67-467A-94EC-C91C53384A07}"/>
    <cellStyle name="Style 97 6 5 2 2" xfId="19472" xr:uid="{D67B0BC9-B6E5-473A-B70D-DE852371AD96}"/>
    <cellStyle name="Style 97 6 5 2 2 2" xfId="37913" xr:uid="{67942243-3F5B-48EC-9E19-325508CB6C3F}"/>
    <cellStyle name="Style 97 6 5 2 3" xfId="19473" xr:uid="{CA3B283C-7B8A-4A7A-9BD4-942DC6863E81}"/>
    <cellStyle name="Style 97 6 5 2 3 2" xfId="37914" xr:uid="{977E3DFB-EDEC-4CF3-924D-2865D0562C77}"/>
    <cellStyle name="Style 97 6 5 2 4" xfId="37912" xr:uid="{226002CC-D8EE-417A-85F4-7250469C46F5}"/>
    <cellStyle name="Style 97 6 5 3" xfId="19474" xr:uid="{FE89D18C-D915-4CDE-82F6-79E147ECE58E}"/>
    <cellStyle name="Style 97 6 5 3 2" xfId="19475" xr:uid="{4C95799C-BC93-45EF-91B2-7DD56342066F}"/>
    <cellStyle name="Style 97 6 5 3 2 2" xfId="37916" xr:uid="{C4D36918-A544-4D7D-A730-2D9A9581707A}"/>
    <cellStyle name="Style 97 6 5 3 3" xfId="37915" xr:uid="{7CF79664-5423-4618-A565-26BC65FBA352}"/>
    <cellStyle name="Style 97 6 5 4" xfId="19476" xr:uid="{8F8F4C4D-6933-4B87-8951-EE4C09F0D2D6}"/>
    <cellStyle name="Style 97 6 5 4 2" xfId="19477" xr:uid="{D4FB8985-B4D6-4AFD-B754-A6279ED18BFF}"/>
    <cellStyle name="Style 97 6 5 4 2 2" xfId="37918" xr:uid="{3C8C38D0-757B-4BF7-A210-C4AC13746808}"/>
    <cellStyle name="Style 97 6 5 4 3" xfId="37917" xr:uid="{19D8096A-CC9D-4AAE-A482-1159402A2B72}"/>
    <cellStyle name="Style 97 6 5 5" xfId="19478" xr:uid="{BF9A3DA5-77B6-4B1C-A8CF-EE85A8221703}"/>
    <cellStyle name="Style 97 6 5 5 2" xfId="19479" xr:uid="{96483BA1-D687-461B-B3E1-44F95440D7F1}"/>
    <cellStyle name="Style 97 6 5 5 2 2" xfId="37920" xr:uid="{7AF29306-8B8B-49E4-BD68-F45B1CED8A74}"/>
    <cellStyle name="Style 97 6 5 5 3" xfId="37919" xr:uid="{D58583AB-8AD8-4160-9A13-44666FB8EA51}"/>
    <cellStyle name="Style 97 6 5 6" xfId="19480" xr:uid="{FCE9A040-77CD-439F-BC8D-D4A51187024D}"/>
    <cellStyle name="Style 97 6 5 6 2" xfId="37921" xr:uid="{9951C3A3-188B-4639-A557-A35EAE968D4B}"/>
    <cellStyle name="Style 97 6 5 7" xfId="19481" xr:uid="{08C0BAFE-0135-40FD-9B61-825B96B58567}"/>
    <cellStyle name="Style 97 6 5 7 2" xfId="37922" xr:uid="{FC6A92D2-459A-4E79-8FA8-B243B6A614A9}"/>
    <cellStyle name="Style 97 6 6" xfId="7784" xr:uid="{8A3C4CE5-A738-492D-B0F9-A926998B6C71}"/>
    <cellStyle name="Style 97 6 6 2" xfId="19482" xr:uid="{CE20D251-BF6C-4727-BF22-4067D378CBD9}"/>
    <cellStyle name="Style 97 6 6 2 2" xfId="37923" xr:uid="{20B7014E-99A4-472E-B528-2858C2C24CBD}"/>
    <cellStyle name="Style 97 6 6 3" xfId="19483" xr:uid="{D0619FF6-DBA5-48DC-990F-44170BDBF83D}"/>
    <cellStyle name="Style 97 6 6 3 2" xfId="37924" xr:uid="{FEA2729C-CF3E-430F-A0C3-8F2244047EA4}"/>
    <cellStyle name="Style 97 6 6 4" xfId="19484" xr:uid="{3B4773BB-BB0B-4A80-97B9-EC398D8DE38B}"/>
    <cellStyle name="Style 97 6 6 4 2" xfId="37925" xr:uid="{07D52502-4E02-4976-865A-9F2B22BD3E8B}"/>
    <cellStyle name="Style 97 6 7" xfId="7769" xr:uid="{53BE9939-A2D9-4FD9-9AFC-2837D130EB05}"/>
    <cellStyle name="Style 97 6 7 2" xfId="19485" xr:uid="{73F29C0F-3FA9-4BDB-8AD2-DCF5E6539263}"/>
    <cellStyle name="Style 97 6 7 2 2" xfId="37926" xr:uid="{C9206F7C-DBED-4DF0-8AE2-4A1A5678A928}"/>
    <cellStyle name="Style 97 6 7 3" xfId="19486" xr:uid="{D991F882-7EB7-4DC3-A4C5-3BD3A38BC902}"/>
    <cellStyle name="Style 97 6 7 3 2" xfId="37927" xr:uid="{A6E65D65-65F5-427A-AB5D-E7C79336CF24}"/>
    <cellStyle name="Style 97 6 8" xfId="19487" xr:uid="{F00F3E46-688E-4FCD-BD13-96BDEBDED5B1}"/>
    <cellStyle name="Style 97 6 8 2" xfId="19488" xr:uid="{42E0DE4C-DF2F-4913-AC1D-B8E75CB1B388}"/>
    <cellStyle name="Style 97 6 8 2 2" xfId="37928" xr:uid="{1629EAFC-F1D6-4B25-B364-F6F8D2E48D9A}"/>
    <cellStyle name="Style 97 6 8 3" xfId="19489" xr:uid="{D48A4A63-BE88-4222-AAFF-C5D91CE7D301}"/>
    <cellStyle name="Style 97 6 8 3 2" xfId="37929" xr:uid="{A46E2406-FFB6-460A-B013-FE6AFE7EBCE8}"/>
    <cellStyle name="Style 97 6 8 4" xfId="28207" xr:uid="{600E147F-9307-4C1A-B43D-5AFF77AC48C7}"/>
    <cellStyle name="Style 97 6 9" xfId="19490" xr:uid="{09E0FF25-19AA-42BD-B528-653110D42AE7}"/>
    <cellStyle name="Style 97 6 9 2" xfId="19491" xr:uid="{AECE2CF2-C5BB-4C2F-9443-71B1B70B7F9B}"/>
    <cellStyle name="Style 97 6 9 2 2" xfId="37931" xr:uid="{7C4C636D-C832-4C4D-A8CD-2504A3A4E4A7}"/>
    <cellStyle name="Style 97 6 9 3" xfId="37930" xr:uid="{EE8A01C1-E66D-41E0-9F2C-18CCD5BD0487}"/>
    <cellStyle name="Style 97 7" xfId="3834" xr:uid="{641D3CC6-0E06-482B-BA1F-8CABDC9A56B2}"/>
    <cellStyle name="Style 97 7 10" xfId="19492" xr:uid="{8349B0E4-0E27-4DD5-A4F3-F7B98C7FC8BF}"/>
    <cellStyle name="Style 97 7 10 2" xfId="37932" xr:uid="{14A9ED81-D041-4E0A-9C6E-D0C952992D9A}"/>
    <cellStyle name="Style 97 7 11" xfId="19493" xr:uid="{98F2117E-11A3-4398-B393-5C2D4ADBF6B5}"/>
    <cellStyle name="Style 97 7 11 2" xfId="37933" xr:uid="{BD3F33E4-C315-4E52-80D1-144E18DD632E}"/>
    <cellStyle name="Style 97 7 12" xfId="24291" xr:uid="{EECB8AE2-F0F5-401E-8BE3-807AA0A1CBD5}"/>
    <cellStyle name="Style 97 7 2" xfId="3835" xr:uid="{EEE480CC-51B4-4C15-8627-CDC2517A6B40}"/>
    <cellStyle name="Style 97 7 2 10" xfId="19494" xr:uid="{ADA8F35F-62AE-433B-A1E3-E693156772A9}"/>
    <cellStyle name="Style 97 7 2 10 2" xfId="37934" xr:uid="{9E066B43-9F19-4746-98AD-2D6281605DCF}"/>
    <cellStyle name="Style 97 7 2 11" xfId="24292" xr:uid="{04B65466-07DC-4240-806E-36323881C757}"/>
    <cellStyle name="Style 97 7 2 2" xfId="7787" xr:uid="{2D5619C0-0FCF-4A65-92AA-B3B03E83A430}"/>
    <cellStyle name="Style 97 7 2 2 2" xfId="19495" xr:uid="{F9D1F518-B56A-4BFC-9533-CFA8E88A17E2}"/>
    <cellStyle name="Style 97 7 2 2 2 2" xfId="19496" xr:uid="{90910DB1-80C1-4E4F-B884-E099CC013A80}"/>
    <cellStyle name="Style 97 7 2 2 2 2 2" xfId="37936" xr:uid="{59996A24-B16E-48B9-93F4-5903D7558B38}"/>
    <cellStyle name="Style 97 7 2 2 2 3" xfId="37935" xr:uid="{D2FFD3BD-B490-4FC9-A1B9-24219AB84E25}"/>
    <cellStyle name="Style 97 7 2 2 3" xfId="19497" xr:uid="{D620C99A-AA02-4683-B09B-60D7F589B896}"/>
    <cellStyle name="Style 97 7 2 2 3 2" xfId="19498" xr:uid="{A3848BC4-1A5A-45C1-AA7D-83DE695402D2}"/>
    <cellStyle name="Style 97 7 2 2 3 2 2" xfId="37938" xr:uid="{E64F4F09-8346-48F0-931D-7DA0690B9BDD}"/>
    <cellStyle name="Style 97 7 2 2 3 3" xfId="37937" xr:uid="{04B05505-ED2E-4312-8615-37660F4B5CFF}"/>
    <cellStyle name="Style 97 7 2 2 4" xfId="19499" xr:uid="{18CFA908-C66D-45F6-84D8-A648D7394289}"/>
    <cellStyle name="Style 97 7 2 2 4 2" xfId="19500" xr:uid="{1B7D9DC7-24E6-4A6D-A874-C2CFDE4361D6}"/>
    <cellStyle name="Style 97 7 2 2 4 2 2" xfId="37940" xr:uid="{3C67F6BB-406E-4823-959E-A2DC4D0F3B0A}"/>
    <cellStyle name="Style 97 7 2 2 4 3" xfId="37939" xr:uid="{2B4C3A77-E9A4-48F8-9B9D-A152F74D1597}"/>
    <cellStyle name="Style 97 7 2 2 5" xfId="19501" xr:uid="{DD27AC50-E150-4D6B-934A-646B00727467}"/>
    <cellStyle name="Style 97 7 2 2 5 2" xfId="19502" xr:uid="{86571974-36FB-4EB1-9541-D796D92C106D}"/>
    <cellStyle name="Style 97 7 2 2 5 2 2" xfId="37942" xr:uid="{A937D99E-6C54-403C-8B36-9228EE681677}"/>
    <cellStyle name="Style 97 7 2 2 5 3" xfId="37941" xr:uid="{BED0D215-47EF-41EC-A692-64966157F2DC}"/>
    <cellStyle name="Style 97 7 2 2 6" xfId="19503" xr:uid="{D3BBD065-73C6-4A84-9163-2F76D6B404DD}"/>
    <cellStyle name="Style 97 7 2 2 6 2" xfId="37943" xr:uid="{EB867C7D-819B-497A-B54F-721B9E264965}"/>
    <cellStyle name="Style 97 7 2 2 7" xfId="19504" xr:uid="{4D3C0AA3-8530-4A07-AF6A-BFD74C13555C}"/>
    <cellStyle name="Style 97 7 2 2 7 2" xfId="37944" xr:uid="{206BA758-BEC8-4C52-8AB2-70A78DF90313}"/>
    <cellStyle name="Style 97 7 2 3" xfId="7786" xr:uid="{FAE473A2-0021-40A2-8195-BEA7FCAB7CC3}"/>
    <cellStyle name="Style 97 7 2 3 2" xfId="19505" xr:uid="{799AC816-9C24-4BB3-95DD-17E58D2923C5}"/>
    <cellStyle name="Style 97 7 2 3 2 2" xfId="37945" xr:uid="{2193E792-E6C8-446E-A6C4-2795E9514B4E}"/>
    <cellStyle name="Style 97 7 2 3 3" xfId="19506" xr:uid="{C9FDAD0D-8D9C-4B5B-9E77-1FBF2E2D08CA}"/>
    <cellStyle name="Style 97 7 2 3 3 2" xfId="37946" xr:uid="{87290134-E5EE-440F-A840-823830CFB886}"/>
    <cellStyle name="Style 97 7 2 4" xfId="19507" xr:uid="{FFC67FAA-87A3-425B-9A09-9CD7368416EC}"/>
    <cellStyle name="Style 97 7 2 4 2" xfId="19508" xr:uid="{1345F7D1-B1C2-44DF-A1BE-CC355450D37A}"/>
    <cellStyle name="Style 97 7 2 4 2 2" xfId="37947" xr:uid="{B57251FA-C324-4FFE-A0ED-D89C54D973B0}"/>
    <cellStyle name="Style 97 7 2 4 3" xfId="19509" xr:uid="{92906366-9F9E-4D8E-87E2-1A09BAB8B291}"/>
    <cellStyle name="Style 97 7 2 4 3 2" xfId="37948" xr:uid="{4DFB98B9-39BC-45CE-AE84-89B3CD2F6B4E}"/>
    <cellStyle name="Style 97 7 2 4 4" xfId="28214" xr:uid="{17667658-A2DF-452F-9AE2-9E7052A30DA8}"/>
    <cellStyle name="Style 97 7 2 5" xfId="19510" xr:uid="{6671FBFB-7AFD-4D68-9BA0-B652329147BF}"/>
    <cellStyle name="Style 97 7 2 5 2" xfId="19511" xr:uid="{8531C0FD-CD9D-4DE0-9CDA-A06812A44982}"/>
    <cellStyle name="Style 97 7 2 5 2 2" xfId="37950" xr:uid="{237A9251-8570-486C-A96E-C0B933787D09}"/>
    <cellStyle name="Style 97 7 2 5 3" xfId="37949" xr:uid="{65768D46-1945-4026-B25B-0530A373D355}"/>
    <cellStyle name="Style 97 7 2 6" xfId="19512" xr:uid="{77AA6055-5B32-4233-9CA5-914194442382}"/>
    <cellStyle name="Style 97 7 2 6 2" xfId="19513" xr:uid="{4DB628FF-A1BE-453E-A42B-ED821B59EC51}"/>
    <cellStyle name="Style 97 7 2 6 2 2" xfId="37952" xr:uid="{ECA2E347-0509-4C22-9B8B-F24550AD5B4B}"/>
    <cellStyle name="Style 97 7 2 6 3" xfId="37951" xr:uid="{D595101D-0274-4BD7-A291-DC643C92C109}"/>
    <cellStyle name="Style 97 7 2 7" xfId="19514" xr:uid="{8157E2FC-C333-4FA9-B53B-042AE20EE45D}"/>
    <cellStyle name="Style 97 7 2 7 2" xfId="19515" xr:uid="{33453EB5-10E8-4E77-90A0-FB5200503361}"/>
    <cellStyle name="Style 97 7 2 7 2 2" xfId="37954" xr:uid="{01F01746-BE58-4C38-88A2-7B65D7A1A772}"/>
    <cellStyle name="Style 97 7 2 7 3" xfId="37953" xr:uid="{D0C5986A-7C6F-42B6-83CE-681B8E205B1F}"/>
    <cellStyle name="Style 97 7 2 8" xfId="19516" xr:uid="{52E455B5-F0DF-49A7-8A7B-127AD06189AD}"/>
    <cellStyle name="Style 97 7 2 8 2" xfId="19517" xr:uid="{938D937C-9AE7-44A2-8F58-9F7985E3E825}"/>
    <cellStyle name="Style 97 7 2 8 2 2" xfId="37956" xr:uid="{376DFB4E-2F46-4D0B-9C57-2E895A467C32}"/>
    <cellStyle name="Style 97 7 2 8 3" xfId="37955" xr:uid="{5936E638-3FD4-4053-B5EA-0EDFF1E143A8}"/>
    <cellStyle name="Style 97 7 2 9" xfId="19518" xr:uid="{760F3E81-80A6-4747-AB4D-6B31099B15ED}"/>
    <cellStyle name="Style 97 7 2 9 2" xfId="37957" xr:uid="{C350333E-EAE2-4806-965B-24E12BC6EF34}"/>
    <cellStyle name="Style 97 7 3" xfId="7788" xr:uid="{64E81687-FCED-4786-A98B-38663994F13E}"/>
    <cellStyle name="Style 97 7 3 2" xfId="7789" xr:uid="{4356781A-28AB-48A8-B37B-2FE8AABA4C2A}"/>
    <cellStyle name="Style 97 7 3 2 2" xfId="19519" xr:uid="{73501183-51D3-4C6B-988C-5D337E529189}"/>
    <cellStyle name="Style 97 7 3 2 2 2" xfId="37958" xr:uid="{88F43059-DAD0-42E6-BD17-2E59613C32FB}"/>
    <cellStyle name="Style 97 7 3 2 3" xfId="19520" xr:uid="{DED51004-67FC-4607-9C81-F5D03A0C050E}"/>
    <cellStyle name="Style 97 7 3 2 3 2" xfId="37959" xr:uid="{0FBF25FE-8B94-4EA5-8AE4-95432A9F8B63}"/>
    <cellStyle name="Style 97 7 3 2 4" xfId="19521" xr:uid="{C1264E44-32B2-4BE7-A938-9A18CCF74B46}"/>
    <cellStyle name="Style 97 7 3 2 4 2" xfId="37960" xr:uid="{E6EAC3ED-7C65-4D9F-A505-7E28F0EC044C}"/>
    <cellStyle name="Style 97 7 3 3" xfId="19522" xr:uid="{91AB59DB-921E-4A7F-9618-98301291E76F}"/>
    <cellStyle name="Style 97 7 3 3 2" xfId="19523" xr:uid="{19670E5C-7B59-46ED-81A7-7AE7410D8C1C}"/>
    <cellStyle name="Style 97 7 3 3 2 2" xfId="37962" xr:uid="{5A9700AA-36A1-41B9-BC16-CAB9CBF2142D}"/>
    <cellStyle name="Style 97 7 3 3 3" xfId="37961" xr:uid="{BDB5F44D-8253-4B6E-8A98-A1EEBC386827}"/>
    <cellStyle name="Style 97 7 3 4" xfId="19524" xr:uid="{86B82661-1C99-4B80-A6D4-27EB244797DD}"/>
    <cellStyle name="Style 97 7 3 4 2" xfId="19525" xr:uid="{5BED8CBF-242C-48DD-8048-EDE06D49C232}"/>
    <cellStyle name="Style 97 7 3 4 2 2" xfId="37964" xr:uid="{0F06C8EE-32FC-4E5A-A143-0847B47227B7}"/>
    <cellStyle name="Style 97 7 3 4 3" xfId="37963" xr:uid="{D28502C5-54AF-415C-BD48-FBBAD83402A1}"/>
    <cellStyle name="Style 97 7 3 5" xfId="19526" xr:uid="{3E0E370B-1099-44DB-BD50-46239D29620C}"/>
    <cellStyle name="Style 97 7 3 5 2" xfId="19527" xr:uid="{7825BA02-A8D6-4197-817A-0AEA2C7FF1CD}"/>
    <cellStyle name="Style 97 7 3 5 2 2" xfId="37966" xr:uid="{B3807137-9767-405D-B283-2341405050C6}"/>
    <cellStyle name="Style 97 7 3 5 3" xfId="37965" xr:uid="{5FA0BDFA-C16A-4796-9739-7F4738D08EF5}"/>
    <cellStyle name="Style 97 7 3 6" xfId="19528" xr:uid="{7BB27DC1-9604-425F-B4C2-5F01EAB6D495}"/>
    <cellStyle name="Style 97 7 3 6 2" xfId="37967" xr:uid="{0FFC7767-9003-43F0-815D-FFFFDE9C7C55}"/>
    <cellStyle name="Style 97 7 3 7" xfId="19529" xr:uid="{3CEB3964-A3F3-4D29-AFE8-64BAEAC19E8F}"/>
    <cellStyle name="Style 97 7 3 7 2" xfId="37968" xr:uid="{41A75CE1-1E41-4B21-A679-BAB3EF53E92B}"/>
    <cellStyle name="Style 97 7 3 8" xfId="24293" xr:uid="{026D8D48-3F9F-43DE-A02F-24526461F8AE}"/>
    <cellStyle name="Style 97 7 4" xfId="7790" xr:uid="{79F41811-1CA1-4BEC-B4D8-839AED63736D}"/>
    <cellStyle name="Style 97 7 4 2" xfId="19530" xr:uid="{C56EFCB2-1234-40FE-9955-51EC19D858EA}"/>
    <cellStyle name="Style 97 7 4 2 2" xfId="37969" xr:uid="{50D33D96-9155-4449-814E-C5FD9D55EF22}"/>
    <cellStyle name="Style 97 7 4 3" xfId="19531" xr:uid="{4F9D5165-B9D4-47BD-82F9-6C9B75F1710D}"/>
    <cellStyle name="Style 97 7 4 3 2" xfId="37970" xr:uid="{18ACE587-BA2A-4B3B-A4F9-4F764646E2DF}"/>
    <cellStyle name="Style 97 7 4 4" xfId="19532" xr:uid="{07E475B5-65CA-4FE9-B1C7-42588EE44FC5}"/>
    <cellStyle name="Style 97 7 4 4 2" xfId="37971" xr:uid="{F008EF6F-2A46-4542-A93B-ED10B5AE1AA9}"/>
    <cellStyle name="Style 97 7 5" xfId="7791" xr:uid="{78A61E00-8319-45D6-820C-69414D48E6C2}"/>
    <cellStyle name="Style 97 7 5 2" xfId="19533" xr:uid="{48834978-2D95-4C7E-A71B-E85AC1B812D5}"/>
    <cellStyle name="Style 97 7 5 2 2" xfId="37972" xr:uid="{854F779D-5EE1-4A10-B84C-8BD825587BF8}"/>
    <cellStyle name="Style 97 7 5 3" xfId="19534" xr:uid="{5044602F-5991-4781-81DF-FCBCF2E1EA9D}"/>
    <cellStyle name="Style 97 7 5 3 2" xfId="37973" xr:uid="{1905783D-ED43-4BC6-8EE8-7844E1CB5FC0}"/>
    <cellStyle name="Style 97 7 6" xfId="7785" xr:uid="{B59A39BA-41B8-4BD9-BFEA-30B3F9071D48}"/>
    <cellStyle name="Style 97 7 6 2" xfId="19535" xr:uid="{40EEB541-3657-4CFF-BF2C-53BC9BF186DC}"/>
    <cellStyle name="Style 97 7 6 2 2" xfId="37974" xr:uid="{15721377-1409-4012-8396-D81897D57F5A}"/>
    <cellStyle name="Style 97 7 6 3" xfId="19536" xr:uid="{FCC1727C-2614-4372-9234-4B1B8A3C86AB}"/>
    <cellStyle name="Style 97 7 6 3 2" xfId="37975" xr:uid="{119633C7-3E60-4EFA-AF9E-60CB2A1F4D86}"/>
    <cellStyle name="Style 97 7 7" xfId="19537" xr:uid="{AFDEB099-93A2-447A-8ADB-277FFCF43390}"/>
    <cellStyle name="Style 97 7 7 2" xfId="19538" xr:uid="{63331D29-88B3-4F0F-AE2D-34402C7BB745}"/>
    <cellStyle name="Style 97 7 7 2 2" xfId="37976" xr:uid="{1311525E-5E39-42E5-8635-F88D72C4CF51}"/>
    <cellStyle name="Style 97 7 7 3" xfId="19539" xr:uid="{3E5117FF-AD79-446F-9C1F-45A646A7B22B}"/>
    <cellStyle name="Style 97 7 7 3 2" xfId="37977" xr:uid="{ABBA8E3D-5B4C-4DFA-8D22-82BF9B75FF36}"/>
    <cellStyle name="Style 97 7 7 4" xfId="28213" xr:uid="{5211FB79-829F-4EB5-A2EE-52225BAFEC78}"/>
    <cellStyle name="Style 97 7 8" xfId="19540" xr:uid="{1319694B-B4BE-4D49-8894-7AFBE29342CF}"/>
    <cellStyle name="Style 97 7 8 2" xfId="19541" xr:uid="{F4586F27-E624-44F5-8D21-844DECDD1A69}"/>
    <cellStyle name="Style 97 7 8 2 2" xfId="37979" xr:uid="{5B6F7A86-38B6-4CF2-A757-3D211794B99F}"/>
    <cellStyle name="Style 97 7 8 3" xfId="37978" xr:uid="{6DCC3C51-AAD1-46F9-8A74-30DC582419C5}"/>
    <cellStyle name="Style 97 7 9" xfId="19542" xr:uid="{9D6E60EB-2F45-478E-B952-E764996AD8D4}"/>
    <cellStyle name="Style 97 7 9 2" xfId="19543" xr:uid="{882C54E6-72FE-4777-88AC-004A79D70A6C}"/>
    <cellStyle name="Style 97 7 9 2 2" xfId="37981" xr:uid="{BA7B0339-4C14-44DC-BCA6-747DD04C904C}"/>
    <cellStyle name="Style 97 7 9 3" xfId="37980" xr:uid="{85653A24-B5E7-433C-A311-6FFD9800A03A}"/>
    <cellStyle name="Style 97 8" xfId="3836" xr:uid="{7D6D8CF8-B047-4F35-9521-F0FF87EE2AEE}"/>
    <cellStyle name="Style 97 8 10" xfId="19544" xr:uid="{5195CD2C-FF90-4933-993A-C52937590D65}"/>
    <cellStyle name="Style 97 8 10 2" xfId="37982" xr:uid="{83444DD0-06D4-41C6-B5DE-0465D6AAC213}"/>
    <cellStyle name="Style 97 8 11" xfId="19545" xr:uid="{4B71552E-FC90-4773-A548-1B4C21242F4D}"/>
    <cellStyle name="Style 97 8 11 2" xfId="37983" xr:uid="{39962B37-D059-4A4E-A404-F38A6C687C35}"/>
    <cellStyle name="Style 97 8 12" xfId="24294" xr:uid="{682F3C11-6F76-4B3A-870F-8798163C9E8C}"/>
    <cellStyle name="Style 97 8 2" xfId="3837" xr:uid="{B78D5EA9-2CDD-4AE9-982A-279A660728B4}"/>
    <cellStyle name="Style 97 8 2 10" xfId="19546" xr:uid="{48CC7026-C527-48CE-90AB-0FB58368E14F}"/>
    <cellStyle name="Style 97 8 2 10 2" xfId="37984" xr:uid="{B20AF71E-B7DC-495A-869A-97D901F40F85}"/>
    <cellStyle name="Style 97 8 2 11" xfId="24295" xr:uid="{CCCD9868-AF9F-4E7B-84C1-8617DD9874BE}"/>
    <cellStyle name="Style 97 8 2 2" xfId="7794" xr:uid="{7D3200A0-08A6-49A6-B75D-309DB7AAF426}"/>
    <cellStyle name="Style 97 8 2 2 2" xfId="19547" xr:uid="{80D31D29-DC76-4AB9-B4F4-C0D2FC353536}"/>
    <cellStyle name="Style 97 8 2 2 2 2" xfId="19548" xr:uid="{3B8130AC-0E79-4DA8-89D8-363476CA3712}"/>
    <cellStyle name="Style 97 8 2 2 2 2 2" xfId="37986" xr:uid="{EE4FDDDF-DD43-401E-A643-F292DA289DC6}"/>
    <cellStyle name="Style 97 8 2 2 2 3" xfId="37985" xr:uid="{D391B428-9494-41C0-9030-C16F564C2AB8}"/>
    <cellStyle name="Style 97 8 2 2 3" xfId="19549" xr:uid="{C3E5037C-C20A-4578-99A3-78C27B68B0F1}"/>
    <cellStyle name="Style 97 8 2 2 3 2" xfId="19550" xr:uid="{9CF4B811-F991-4A93-B514-F7E4C515655E}"/>
    <cellStyle name="Style 97 8 2 2 3 2 2" xfId="37988" xr:uid="{CDF8B907-2FB9-483C-8DBF-97D637F5309A}"/>
    <cellStyle name="Style 97 8 2 2 3 3" xfId="37987" xr:uid="{72B2A837-5132-46E5-804E-55F4DB4AAEF4}"/>
    <cellStyle name="Style 97 8 2 2 4" xfId="19551" xr:uid="{FB7D92D6-735B-4746-8F2A-5982E8CD69E3}"/>
    <cellStyle name="Style 97 8 2 2 4 2" xfId="19552" xr:uid="{08C79681-592F-4CDB-AA3E-275C3816083A}"/>
    <cellStyle name="Style 97 8 2 2 4 2 2" xfId="37990" xr:uid="{52748E8F-B494-4183-8D57-AE36DD76476D}"/>
    <cellStyle name="Style 97 8 2 2 4 3" xfId="37989" xr:uid="{2FAFF4D3-1FD4-42EF-8B19-5717C235FD47}"/>
    <cellStyle name="Style 97 8 2 2 5" xfId="19553" xr:uid="{A3DF5241-1C49-46F0-ABBF-89D8EE43223D}"/>
    <cellStyle name="Style 97 8 2 2 5 2" xfId="19554" xr:uid="{E800B616-C121-4268-97DA-E3289E0B47D9}"/>
    <cellStyle name="Style 97 8 2 2 5 2 2" xfId="37992" xr:uid="{369726A1-DFC4-4B4F-8C5F-2850C672E82F}"/>
    <cellStyle name="Style 97 8 2 2 5 3" xfId="37991" xr:uid="{DAD9B0BE-48E8-4AAE-8EFC-8AFF05ECFC85}"/>
    <cellStyle name="Style 97 8 2 2 6" xfId="19555" xr:uid="{AE924C68-579F-4FDB-9204-3F847CA7EBDB}"/>
    <cellStyle name="Style 97 8 2 2 6 2" xfId="37993" xr:uid="{AF0EC746-F378-4596-A98A-B1DB5721EF12}"/>
    <cellStyle name="Style 97 8 2 2 7" xfId="19556" xr:uid="{53FE8148-93EF-4EC3-8A13-6E42A4EA45D2}"/>
    <cellStyle name="Style 97 8 2 2 7 2" xfId="37994" xr:uid="{473FF696-48A1-48E2-A9C8-F0D4304C88C7}"/>
    <cellStyle name="Style 97 8 2 3" xfId="7793" xr:uid="{3DCF5D3B-7DEE-44DE-8A11-EE3A6A1BAE07}"/>
    <cellStyle name="Style 97 8 2 3 2" xfId="19557" xr:uid="{F996C011-10CF-4857-830C-66FAEB337EF6}"/>
    <cellStyle name="Style 97 8 2 3 2 2" xfId="37995" xr:uid="{9534A92D-6AF6-4B17-8A2A-7D2C622EA048}"/>
    <cellStyle name="Style 97 8 2 3 3" xfId="19558" xr:uid="{59E19710-8EA2-4CDE-84C9-9F03B2193013}"/>
    <cellStyle name="Style 97 8 2 3 3 2" xfId="37996" xr:uid="{06A7B95E-764F-4209-8511-7B20A442AD4B}"/>
    <cellStyle name="Style 97 8 2 4" xfId="19559" xr:uid="{370385A5-2E9A-4564-8527-87C10F52C94B}"/>
    <cellStyle name="Style 97 8 2 4 2" xfId="19560" xr:uid="{1E1F7168-38E6-488C-8E2B-E296E1BF7837}"/>
    <cellStyle name="Style 97 8 2 4 2 2" xfId="37997" xr:uid="{77569CE5-86A3-4629-B98B-42A16D9BCB68}"/>
    <cellStyle name="Style 97 8 2 4 3" xfId="19561" xr:uid="{1551C679-6AB1-422D-B5D6-5B3829120EAA}"/>
    <cellStyle name="Style 97 8 2 4 3 2" xfId="37998" xr:uid="{4F592C66-FC64-4415-8619-B4E7CCB4FD41}"/>
    <cellStyle name="Style 97 8 2 4 4" xfId="28216" xr:uid="{D9325B0C-016A-4214-AD95-DDB51F50722A}"/>
    <cellStyle name="Style 97 8 2 5" xfId="19562" xr:uid="{39649E39-623E-4EF8-8922-0FBF0AF052DF}"/>
    <cellStyle name="Style 97 8 2 5 2" xfId="19563" xr:uid="{D145A795-A7A4-430E-90B5-CE4A286E3018}"/>
    <cellStyle name="Style 97 8 2 5 2 2" xfId="38000" xr:uid="{FDF59BFA-D29D-43CC-8933-25CBE27D97CF}"/>
    <cellStyle name="Style 97 8 2 5 3" xfId="37999" xr:uid="{BF7F3189-A2CB-4099-9822-98164A1F53D0}"/>
    <cellStyle name="Style 97 8 2 6" xfId="19564" xr:uid="{35A49F8F-5A80-4F2C-930B-C51B4DA7C288}"/>
    <cellStyle name="Style 97 8 2 6 2" xfId="19565" xr:uid="{344ED374-C4B3-4384-983E-A9693524FD10}"/>
    <cellStyle name="Style 97 8 2 6 2 2" xfId="38002" xr:uid="{F489183C-D5BA-4923-9E1F-76535E92BC0A}"/>
    <cellStyle name="Style 97 8 2 6 3" xfId="38001" xr:uid="{9E7F409E-FDD3-4B80-B5F5-28B032C49C54}"/>
    <cellStyle name="Style 97 8 2 7" xfId="19566" xr:uid="{A7E900D2-AB65-427A-A8B1-1261C2540140}"/>
    <cellStyle name="Style 97 8 2 7 2" xfId="19567" xr:uid="{7885F21D-2FFA-4CB7-83C4-04EF55A60883}"/>
    <cellStyle name="Style 97 8 2 7 2 2" xfId="38004" xr:uid="{8915D839-6319-4D33-B5FA-ED7F82F6027C}"/>
    <cellStyle name="Style 97 8 2 7 3" xfId="38003" xr:uid="{589670D3-5E54-4E4E-AA61-CDDCCF42809A}"/>
    <cellStyle name="Style 97 8 2 8" xfId="19568" xr:uid="{3D5A1C0C-46FD-41AA-86DD-BDACCBB20C54}"/>
    <cellStyle name="Style 97 8 2 8 2" xfId="19569" xr:uid="{AB557962-8E0E-4902-929D-DB84F020CE13}"/>
    <cellStyle name="Style 97 8 2 8 2 2" xfId="38006" xr:uid="{B2828954-1CD4-41BC-B13E-A39DBDF11271}"/>
    <cellStyle name="Style 97 8 2 8 3" xfId="38005" xr:uid="{4FCEC92E-FCFD-4B9F-A341-B767681B0DC3}"/>
    <cellStyle name="Style 97 8 2 9" xfId="19570" xr:uid="{49A9B3A9-20CA-4A37-BDCA-397AF9E0B6AB}"/>
    <cellStyle name="Style 97 8 2 9 2" xfId="38007" xr:uid="{9A6EB435-35BE-43A9-879A-CC2A9C740A59}"/>
    <cellStyle name="Style 97 8 3" xfId="7795" xr:uid="{A3D4B25C-699F-49F7-AD24-8A63D1B58EC3}"/>
    <cellStyle name="Style 97 8 3 2" xfId="7796" xr:uid="{904F3B18-34D9-4618-B231-F6C785989F4C}"/>
    <cellStyle name="Style 97 8 3 2 2" xfId="19571" xr:uid="{1C42A151-307D-4FE1-B702-0A54F81B9264}"/>
    <cellStyle name="Style 97 8 3 2 2 2" xfId="38008" xr:uid="{7BBC3E6B-5588-4250-A9BE-59A44D6CF6C0}"/>
    <cellStyle name="Style 97 8 3 2 3" xfId="19572" xr:uid="{7524D950-4970-43CC-B081-7EA13904258B}"/>
    <cellStyle name="Style 97 8 3 2 3 2" xfId="38009" xr:uid="{E496FD3D-7518-4BD2-B1D2-CB246E5CE176}"/>
    <cellStyle name="Style 97 8 3 3" xfId="19573" xr:uid="{8B7A6A10-5313-4849-88E0-590D2110197B}"/>
    <cellStyle name="Style 97 8 3 3 2" xfId="19574" xr:uid="{29F63754-C500-41A8-ACCC-42BE5751820E}"/>
    <cellStyle name="Style 97 8 3 3 2 2" xfId="38011" xr:uid="{9C08C116-1383-404C-B27A-58D719F6E142}"/>
    <cellStyle name="Style 97 8 3 3 3" xfId="38010" xr:uid="{17565F34-4EEE-447D-8054-F0DA624A57BA}"/>
    <cellStyle name="Style 97 8 3 4" xfId="19575" xr:uid="{1B058186-6614-41B4-ABED-D45E3EE67C8B}"/>
    <cellStyle name="Style 97 8 3 4 2" xfId="19576" xr:uid="{C62D18F4-AB8D-4695-964D-E84A6EBE2B31}"/>
    <cellStyle name="Style 97 8 3 4 2 2" xfId="38013" xr:uid="{CACC93D0-6EE9-4790-B9D8-F8CE7E36CDB0}"/>
    <cellStyle name="Style 97 8 3 4 3" xfId="38012" xr:uid="{45BA9880-6DDE-40F8-AA63-2C19FF3FA51E}"/>
    <cellStyle name="Style 97 8 3 5" xfId="19577" xr:uid="{A06F4D48-21D1-4058-A19C-DC82021F2A50}"/>
    <cellStyle name="Style 97 8 3 5 2" xfId="19578" xr:uid="{2737BCFA-B77F-467C-9E03-2BE9C35DEC68}"/>
    <cellStyle name="Style 97 8 3 5 2 2" xfId="38015" xr:uid="{7037E93B-4604-4F28-9043-F81E93B39ECF}"/>
    <cellStyle name="Style 97 8 3 5 3" xfId="38014" xr:uid="{FA7C8974-F1B7-4260-A91C-848132C439D7}"/>
    <cellStyle name="Style 97 8 3 6" xfId="19579" xr:uid="{5F524FB4-2729-46BF-B993-10D838D12044}"/>
    <cellStyle name="Style 97 8 3 6 2" xfId="38016" xr:uid="{B43DAEC6-3CF7-4ECA-A487-466275A5CE4B}"/>
    <cellStyle name="Style 97 8 3 7" xfId="19580" xr:uid="{84A88445-D2D7-4B9E-A33E-6968008CBC97}"/>
    <cellStyle name="Style 97 8 3 7 2" xfId="38017" xr:uid="{26DBF0CB-119C-462D-8A7C-42DB591D88FC}"/>
    <cellStyle name="Style 97 8 3 8" xfId="24296" xr:uid="{4B7DC9A7-01F2-4DED-B80F-F3887539AB55}"/>
    <cellStyle name="Style 97 8 4" xfId="7797" xr:uid="{0C5A6535-BBDE-4F6F-AE75-38926EF8F6C7}"/>
    <cellStyle name="Style 97 8 4 2" xfId="19581" xr:uid="{84F8F6E0-A895-4636-8A14-996D69D1EE35}"/>
    <cellStyle name="Style 97 8 4 2 2" xfId="38018" xr:uid="{785E6189-2919-42C0-B856-21AD7BE7C1D3}"/>
    <cellStyle name="Style 97 8 4 3" xfId="19582" xr:uid="{7455240A-23AE-484F-A070-655838138196}"/>
    <cellStyle name="Style 97 8 4 3 2" xfId="38019" xr:uid="{E9E2F5FF-8E52-4A52-BCCD-5F4CD9DE4E27}"/>
    <cellStyle name="Style 97 8 5" xfId="7798" xr:uid="{AE5505BD-6406-4BD8-A206-60324EDD6C80}"/>
    <cellStyle name="Style 97 8 5 2" xfId="19583" xr:uid="{06F30ADF-78C0-4FAC-849B-CB1C42E2DDC9}"/>
    <cellStyle name="Style 97 8 5 2 2" xfId="38020" xr:uid="{12DF1F11-444F-4DAE-BFB0-54ED5F407B9E}"/>
    <cellStyle name="Style 97 8 5 3" xfId="19584" xr:uid="{53B0F7B2-3739-4540-8350-B31574D00D6A}"/>
    <cellStyle name="Style 97 8 5 3 2" xfId="38021" xr:uid="{690ADA47-6D65-4DCC-B02C-88C16DB9A396}"/>
    <cellStyle name="Style 97 8 6" xfId="7792" xr:uid="{DC2CB28E-957B-4DE0-8335-ED6EFFA19244}"/>
    <cellStyle name="Style 97 8 6 2" xfId="19585" xr:uid="{2565637C-5AD1-4374-AC06-C03CFF46BD66}"/>
    <cellStyle name="Style 97 8 6 2 2" xfId="38022" xr:uid="{CB925525-A279-49C1-BF6A-C17103DC30D9}"/>
    <cellStyle name="Style 97 8 6 3" xfId="19586" xr:uid="{B130A73C-986D-4817-A947-298FFF4C18C1}"/>
    <cellStyle name="Style 97 8 6 3 2" xfId="38023" xr:uid="{E890B3D6-EFAE-4EE3-AEFF-BC0FA7FA7A41}"/>
    <cellStyle name="Style 97 8 7" xfId="19587" xr:uid="{4B023E03-B85E-4700-8FB1-5412323E08DF}"/>
    <cellStyle name="Style 97 8 7 2" xfId="19588" xr:uid="{90A9FF60-B611-41A7-907C-8C33A6F2C578}"/>
    <cellStyle name="Style 97 8 7 2 2" xfId="38024" xr:uid="{9695D22D-9671-4EDD-A5B2-4F34DA050604}"/>
    <cellStyle name="Style 97 8 7 3" xfId="19589" xr:uid="{C9DE88FC-9482-4B79-BBDE-8982A7D26C8E}"/>
    <cellStyle name="Style 97 8 7 3 2" xfId="38025" xr:uid="{3255B905-2A85-4EF9-9FB7-6EAF538991E7}"/>
    <cellStyle name="Style 97 8 7 4" xfId="28215" xr:uid="{DD75BF66-FFF3-43FF-80B2-A509D29D7EFF}"/>
    <cellStyle name="Style 97 8 8" xfId="19590" xr:uid="{E8E46FEB-0683-4D9A-AFE7-0681D8D0631F}"/>
    <cellStyle name="Style 97 8 8 2" xfId="19591" xr:uid="{D88C9E22-F467-4102-A562-D5D5668A55B0}"/>
    <cellStyle name="Style 97 8 8 2 2" xfId="38027" xr:uid="{40B6DAB6-1644-4461-B6F2-9ACCB620F9F4}"/>
    <cellStyle name="Style 97 8 8 3" xfId="38026" xr:uid="{23929B0C-2754-4C3E-ACC9-A55F8FD7B670}"/>
    <cellStyle name="Style 97 8 9" xfId="19592" xr:uid="{422FDAA1-8F9B-4902-935E-BCCE180758DB}"/>
    <cellStyle name="Style 97 8 9 2" xfId="19593" xr:uid="{DABF0D26-734B-4EF2-B65B-7C34B41206D5}"/>
    <cellStyle name="Style 97 8 9 2 2" xfId="38029" xr:uid="{4BA130E6-4B0F-444C-9A85-CCFFD7D2AF43}"/>
    <cellStyle name="Style 97 8 9 3" xfId="38028" xr:uid="{36C8A0AB-7EB0-4A52-BB16-42F481643783}"/>
    <cellStyle name="Style 97 9" xfId="3838" xr:uid="{019A20FA-95CD-4045-B928-E442486631AA}"/>
    <cellStyle name="Style 97 9 10" xfId="19594" xr:uid="{7430F6D9-3386-4978-83CA-DA6746A3DE47}"/>
    <cellStyle name="Style 97 9 10 2" xfId="38030" xr:uid="{97C522A2-CA61-4CE6-9F42-6C75EDADE859}"/>
    <cellStyle name="Style 97 9 11" xfId="19595" xr:uid="{B8D22656-FE5F-445F-A5DF-286CAB8D343A}"/>
    <cellStyle name="Style 97 9 11 2" xfId="38031" xr:uid="{2FEB556E-8AA6-4D93-86B8-17FC6FAC314F}"/>
    <cellStyle name="Style 97 9 12" xfId="24297" xr:uid="{367C714E-B736-4505-92D2-017D608AC3F2}"/>
    <cellStyle name="Style 97 9 2" xfId="3839" xr:uid="{2480E517-ABAD-4105-A685-7AC9EBB619DF}"/>
    <cellStyle name="Style 97 9 2 2" xfId="7800" xr:uid="{D503878B-9A8B-480C-B10F-37D65BEC2F7D}"/>
    <cellStyle name="Style 97 9 2 2 2" xfId="19596" xr:uid="{EE869138-6F0C-437B-AC92-D877619E625D}"/>
    <cellStyle name="Style 97 9 2 2 2 2" xfId="19597" xr:uid="{3D868159-44B7-4CF0-9478-2ED673E56FA2}"/>
    <cellStyle name="Style 97 9 2 2 2 2 2" xfId="38033" xr:uid="{6D2EB776-9B94-4552-975F-EAE84CED035E}"/>
    <cellStyle name="Style 97 9 2 2 2 3" xfId="38032" xr:uid="{1F3B0EA0-79D7-4857-914F-534C346F0D6E}"/>
    <cellStyle name="Style 97 9 2 2 3" xfId="19598" xr:uid="{72D0E913-170B-4E01-80F6-7022FD876E0A}"/>
    <cellStyle name="Style 97 9 2 2 3 2" xfId="19599" xr:uid="{5A816A39-CE3A-4B21-B278-2A55BDE35C56}"/>
    <cellStyle name="Style 97 9 2 2 3 2 2" xfId="38035" xr:uid="{318F4958-9603-473E-A44A-EF0D30E1E1B0}"/>
    <cellStyle name="Style 97 9 2 2 3 3" xfId="38034" xr:uid="{9CE09FF1-D73D-4F67-9A21-3BC5D236B6D1}"/>
    <cellStyle name="Style 97 9 2 2 4" xfId="19600" xr:uid="{B5661EA9-48B8-4BF0-8679-77DB346EDA5F}"/>
    <cellStyle name="Style 97 9 2 2 4 2" xfId="19601" xr:uid="{21BB4EC0-30C5-4A49-8D46-A2D6F214877B}"/>
    <cellStyle name="Style 97 9 2 2 4 2 2" xfId="38037" xr:uid="{5EC31D86-E090-4160-8B1F-E5F90808EDF5}"/>
    <cellStyle name="Style 97 9 2 2 4 3" xfId="38036" xr:uid="{43DFB96F-EBD2-49EC-8FF0-E130FDFB01F0}"/>
    <cellStyle name="Style 97 9 2 2 5" xfId="19602" xr:uid="{9177ACD4-6976-474F-B18A-9C2B756C5DAE}"/>
    <cellStyle name="Style 97 9 2 2 5 2" xfId="19603" xr:uid="{77EF3964-2E95-46C3-8F9B-ED61986A1B0C}"/>
    <cellStyle name="Style 97 9 2 2 5 2 2" xfId="38039" xr:uid="{A65B778E-14AE-4FFB-94F0-93767D644EB4}"/>
    <cellStyle name="Style 97 9 2 2 5 3" xfId="38038" xr:uid="{C0690D32-2F3A-478A-9B66-F604C8E12B45}"/>
    <cellStyle name="Style 97 9 2 2 6" xfId="19604" xr:uid="{911453D3-381E-44FC-AC0C-141B77F79570}"/>
    <cellStyle name="Style 97 9 2 2 6 2" xfId="38040" xr:uid="{D80AC82F-F2EE-4627-853A-C3DFC5328827}"/>
    <cellStyle name="Style 97 9 2 2 7" xfId="19605" xr:uid="{9D2F8CF3-DD19-446E-93DD-E4A2EDECAAE2}"/>
    <cellStyle name="Style 97 9 2 2 7 2" xfId="38041" xr:uid="{10D224CB-2618-4CEF-8973-69806968EBD0}"/>
    <cellStyle name="Style 97 9 2 3" xfId="19606" xr:uid="{12BE4506-74E2-40FC-9B92-5FA71542F569}"/>
    <cellStyle name="Style 97 9 2 3 2" xfId="19607" xr:uid="{2E444706-8EF7-456A-9253-8C250C14FAB2}"/>
    <cellStyle name="Style 97 9 2 3 2 2" xfId="38042" xr:uid="{446FE04C-CE40-470B-87E3-5080B86DDAAB}"/>
    <cellStyle name="Style 97 9 2 3 3" xfId="19608" xr:uid="{393A2171-9E3A-49D4-A53D-25857A746E44}"/>
    <cellStyle name="Style 97 9 2 3 3 2" xfId="38043" xr:uid="{FD08C8BE-790E-47A8-ADE8-61BDB1FE6F76}"/>
    <cellStyle name="Style 97 9 2 3 4" xfId="28218" xr:uid="{1CE91503-A45D-46E8-988B-826B3FFE549F}"/>
    <cellStyle name="Style 97 9 2 4" xfId="19609" xr:uid="{41A6943A-A334-4C41-B780-0F106AE9E8E5}"/>
    <cellStyle name="Style 97 9 2 4 2" xfId="19610" xr:uid="{662BEB54-A240-4D1B-9965-57A999840698}"/>
    <cellStyle name="Style 97 9 2 4 2 2" xfId="38045" xr:uid="{7AE14903-2066-4703-84C8-901469867F7A}"/>
    <cellStyle name="Style 97 9 2 4 3" xfId="38044" xr:uid="{77FCC8FD-2DC6-4F0B-996F-82CE3923E4B0}"/>
    <cellStyle name="Style 97 9 2 5" xfId="19611" xr:uid="{C64E9700-DD26-4DDE-922B-2AAF1EE35B12}"/>
    <cellStyle name="Style 97 9 2 5 2" xfId="19612" xr:uid="{597B10E5-82DC-4704-8F6D-84760FBE4FDF}"/>
    <cellStyle name="Style 97 9 2 5 2 2" xfId="38047" xr:uid="{C8553911-D871-4CC6-8969-48343C167391}"/>
    <cellStyle name="Style 97 9 2 5 3" xfId="38046" xr:uid="{47DB131B-B99A-42C8-B1AF-D7296A8EB86E}"/>
    <cellStyle name="Style 97 9 2 6" xfId="19613" xr:uid="{3997B82F-C522-4127-B573-CE80E0FD0A1F}"/>
    <cellStyle name="Style 97 9 2 6 2" xfId="19614" xr:uid="{FD216DCD-B03F-446C-835F-7A93B427B599}"/>
    <cellStyle name="Style 97 9 2 6 2 2" xfId="38049" xr:uid="{622746EF-E92D-41FE-9DDB-EFF2CF1B7145}"/>
    <cellStyle name="Style 97 9 2 6 3" xfId="38048" xr:uid="{76AA01A2-2A67-41E6-9C74-432C254B78C2}"/>
    <cellStyle name="Style 97 9 2 7" xfId="19615" xr:uid="{A718F49D-6880-44EB-BB03-A0EFA1A564E8}"/>
    <cellStyle name="Style 97 9 2 7 2" xfId="19616" xr:uid="{7B0CD87E-8CFC-4623-BAD1-07BD3FCD8162}"/>
    <cellStyle name="Style 97 9 2 7 2 2" xfId="38051" xr:uid="{097AA35B-60E7-42A5-9CAC-8EF2C0307D8B}"/>
    <cellStyle name="Style 97 9 2 7 3" xfId="38050" xr:uid="{2129805B-0C5F-4743-9EBD-560A610BCDA3}"/>
    <cellStyle name="Style 97 9 2 8" xfId="19617" xr:uid="{7A05A8E1-11CF-42A6-9074-B495AC5CD281}"/>
    <cellStyle name="Style 97 9 2 8 2" xfId="38052" xr:uid="{AAE6BC8F-3CA3-4C77-979B-D93014D366DB}"/>
    <cellStyle name="Style 97 9 2 9" xfId="19618" xr:uid="{9D58FEB7-BE25-4FC8-95ED-4A2AFF16C77D}"/>
    <cellStyle name="Style 97 9 2 9 2" xfId="38053" xr:uid="{D398296B-7D4E-404E-AF37-61CCD72409A7}"/>
    <cellStyle name="Style 97 9 3" xfId="4229" xr:uid="{E6FF5DEC-8921-49AE-830A-598605341681}"/>
    <cellStyle name="Style 97 9 3 2" xfId="7801" xr:uid="{77650B67-A805-455F-A0E6-DC57B1201CC4}"/>
    <cellStyle name="Style 97 9 3 2 2" xfId="19619" xr:uid="{FA614628-5AB6-4FFA-A445-D9A5540FD720}"/>
    <cellStyle name="Style 97 9 3 2 2 2" xfId="38054" xr:uid="{AEA34102-7427-415A-A2E3-B4585874EE8B}"/>
    <cellStyle name="Style 97 9 3 2 3" xfId="19620" xr:uid="{0D1F7332-CF5E-4BCD-9E58-C750056F335A}"/>
    <cellStyle name="Style 97 9 3 2 3 2" xfId="38055" xr:uid="{342D4C86-B9DD-42C9-B8F8-CBD53C9ABF1E}"/>
    <cellStyle name="Style 97 9 3 2 4" xfId="28362" xr:uid="{BA24E4AE-48D1-4C4A-A6D1-3A852FBFA207}"/>
    <cellStyle name="Style 97 9 3 3" xfId="19621" xr:uid="{91078A8C-38D9-4F3B-ABB7-B3B534038E48}"/>
    <cellStyle name="Style 97 9 3 3 2" xfId="19622" xr:uid="{FDE6573A-EE03-4F86-875F-7EFEE2961719}"/>
    <cellStyle name="Style 97 9 3 3 2 2" xfId="38057" xr:uid="{A3B2AA56-00F4-477C-8E42-21E0C840528D}"/>
    <cellStyle name="Style 97 9 3 3 3" xfId="38056" xr:uid="{96090ADD-C868-4DD8-B4C0-07EAF3ED8843}"/>
    <cellStyle name="Style 97 9 3 4" xfId="19623" xr:uid="{74E4A5AC-A02E-48DF-BEE5-CB1F62081425}"/>
    <cellStyle name="Style 97 9 3 4 2" xfId="19624" xr:uid="{93FAA078-BB10-4AF1-944F-154285A9F9E7}"/>
    <cellStyle name="Style 97 9 3 4 2 2" xfId="38059" xr:uid="{572FC925-1E08-4AD6-A855-440E0793A66B}"/>
    <cellStyle name="Style 97 9 3 4 3" xfId="38058" xr:uid="{9922B85E-AB7B-45ED-B366-12CB76AB4641}"/>
    <cellStyle name="Style 97 9 3 5" xfId="19625" xr:uid="{4CD65632-D8FD-4694-A32F-5FEF1E4DB82A}"/>
    <cellStyle name="Style 97 9 3 5 2" xfId="19626" xr:uid="{B46462E7-B651-44B1-84DA-1C55514628B6}"/>
    <cellStyle name="Style 97 9 3 5 2 2" xfId="38061" xr:uid="{0CF6EA7A-2EC9-4FF1-81B7-5D70B473A7C9}"/>
    <cellStyle name="Style 97 9 3 5 3" xfId="38060" xr:uid="{4BE0B707-0E72-4D2F-B068-90BDCEE40DE6}"/>
    <cellStyle name="Style 97 9 3 6" xfId="19627" xr:uid="{9AA112B4-F08A-4B07-9262-B770BEDA9E6F}"/>
    <cellStyle name="Style 97 9 3 6 2" xfId="38062" xr:uid="{081A14B9-A293-4EF5-A50C-803F99550BA1}"/>
    <cellStyle name="Style 97 9 3 7" xfId="19628" xr:uid="{960C91DE-073D-4734-9669-5624B7FFA20E}"/>
    <cellStyle name="Style 97 9 3 7 2" xfId="38063" xr:uid="{34C6E76B-F4D3-4E1B-B65B-417837A1999C}"/>
    <cellStyle name="Style 97 9 4" xfId="7799" xr:uid="{1355651A-5252-42D6-BA42-12491890F798}"/>
    <cellStyle name="Style 97 9 4 2" xfId="19629" xr:uid="{4940B274-8B05-4237-9942-4F5AFABB8976}"/>
    <cellStyle name="Style 97 9 4 2 2" xfId="38064" xr:uid="{C06A3309-ACB0-443E-999C-092C4978E8E0}"/>
    <cellStyle name="Style 97 9 4 3" xfId="19630" xr:uid="{271982E9-4AB2-44CF-8FE8-57A0A1108C30}"/>
    <cellStyle name="Style 97 9 4 3 2" xfId="38065" xr:uid="{956AD00A-D0A7-4ACB-9469-CA575C081D7B}"/>
    <cellStyle name="Style 97 9 5" xfId="19631" xr:uid="{F2AD5DD6-0722-4FAD-85DD-8DD041AA8647}"/>
    <cellStyle name="Style 97 9 5 2" xfId="19632" xr:uid="{F2FE23AB-AE97-435C-9C51-FE06C823167D}"/>
    <cellStyle name="Style 97 9 5 2 2" xfId="38066" xr:uid="{5269A65E-1F2E-4C9B-AB01-9D3A517889D3}"/>
    <cellStyle name="Style 97 9 5 3" xfId="19633" xr:uid="{0B74B6F3-6D56-49FA-929F-DC8B0D20188A}"/>
    <cellStyle name="Style 97 9 5 3 2" xfId="38067" xr:uid="{491A5997-18A2-417A-942C-3C35E0F58C6B}"/>
    <cellStyle name="Style 97 9 5 4" xfId="28217" xr:uid="{1AC0C85B-3CBA-4BB2-B3E7-431E26541858}"/>
    <cellStyle name="Style 97 9 6" xfId="19634" xr:uid="{7943754C-D68B-4FF7-8115-6671D9E2CE9F}"/>
    <cellStyle name="Style 97 9 6 2" xfId="19635" xr:uid="{DBDF9B74-E29F-48F9-976C-0C0064D0C3CD}"/>
    <cellStyle name="Style 97 9 6 2 2" xfId="38069" xr:uid="{C920AEF8-F431-4DCB-A1B1-50285E56151F}"/>
    <cellStyle name="Style 97 9 6 3" xfId="38068" xr:uid="{06BD0918-C36D-4805-9B10-977B564BFA2F}"/>
    <cellStyle name="Style 97 9 7" xfId="19636" xr:uid="{7C3C6DD9-1ACE-4023-8A9B-C4EF0D3A62EC}"/>
    <cellStyle name="Style 97 9 7 2" xfId="19637" xr:uid="{09CC6BD6-1ADA-4683-96D0-65432FEB5581}"/>
    <cellStyle name="Style 97 9 7 2 2" xfId="38071" xr:uid="{5EA035F4-E22F-4DE9-A002-78A70DBDFEC0}"/>
    <cellStyle name="Style 97 9 7 3" xfId="38070" xr:uid="{55C85F3C-6B62-495F-8E54-9E149251D06A}"/>
    <cellStyle name="Style 97 9 8" xfId="19638" xr:uid="{49F67CA0-55C8-4C54-93BA-2F36067FFDEC}"/>
    <cellStyle name="Style 97 9 8 2" xfId="19639" xr:uid="{A3E9AE3A-5B5E-427E-8F52-8C8C96B9A6B6}"/>
    <cellStyle name="Style 97 9 8 2 2" xfId="38073" xr:uid="{C40FEE38-851F-4A83-8471-0A20EC30E7FD}"/>
    <cellStyle name="Style 97 9 8 3" xfId="38072" xr:uid="{85632A75-B461-456C-A52C-FCF0C20998AF}"/>
    <cellStyle name="Style 97 9 9" xfId="19640" xr:uid="{9F61A8B3-6E14-460B-A82B-1569C5A7856F}"/>
    <cellStyle name="Style 97 9 9 2" xfId="19641" xr:uid="{C55D3E42-C47B-4F01-9FAD-D2EBCDCA7A22}"/>
    <cellStyle name="Style 97 9 9 2 2" xfId="38075" xr:uid="{E62AB56A-ED84-46C4-B638-2FF13DFB7620}"/>
    <cellStyle name="Style 97 9 9 3" xfId="38074" xr:uid="{EA1FFDC8-9B2E-4CD2-8BCE-D1A05F38FF8B}"/>
    <cellStyle name="Style 97_ADDON" xfId="25817" xr:uid="{A9D13B34-4D55-4AAC-98F6-64F149A8FC66}"/>
    <cellStyle name="Style 98" xfId="3840" xr:uid="{4A3F8EBA-40F6-4312-9C46-39C8562844E8}"/>
    <cellStyle name="Style 98 10" xfId="7802" xr:uid="{CA4A0AE7-8D38-41DE-84D8-038DD0DA82C8}"/>
    <cellStyle name="Style 98 10 2" xfId="19642" xr:uid="{9860412D-C654-442F-A553-BD278FF00604}"/>
    <cellStyle name="Style 98 10 2 2" xfId="38076" xr:uid="{ABE01779-F5E2-4AAD-A9A8-292BDA1CA8E2}"/>
    <cellStyle name="Style 98 10 3" xfId="19643" xr:uid="{FFA7F8BB-2EF3-4723-B73D-D064EBBD0E13}"/>
    <cellStyle name="Style 98 10 3 2" xfId="38077" xr:uid="{FE58A619-8A15-48FD-B0D5-0A4202E2E5E5}"/>
    <cellStyle name="Style 98 11" xfId="19644" xr:uid="{9688CB07-0540-4CA6-85BF-CA3D641DFCB4}"/>
    <cellStyle name="Style 98 11 2" xfId="19645" xr:uid="{084BCC79-0BC9-45A0-96EB-E0CD68A20C75}"/>
    <cellStyle name="Style 98 11 2 2" xfId="38078" xr:uid="{4D963365-6A95-4598-9FE1-405631894A48}"/>
    <cellStyle name="Style 98 11 3" xfId="19646" xr:uid="{E5592BE1-D3CD-4197-B57A-C936A93D6601}"/>
    <cellStyle name="Style 98 11 3 2" xfId="38079" xr:uid="{7CFE384B-9F63-4640-8A98-2C56CD4E1953}"/>
    <cellStyle name="Style 98 11 4" xfId="26733" xr:uid="{9141C501-4F29-4D36-B3CA-8F8C4B02301A}"/>
    <cellStyle name="Style 98 12" xfId="19647" xr:uid="{E23AE5E4-1514-4C0C-8CB8-DC5755C7FB64}"/>
    <cellStyle name="Style 98 12 2" xfId="19648" xr:uid="{EC19C575-245E-45E8-BD84-03F7F0776101}"/>
    <cellStyle name="Style 98 12 2 2" xfId="38081" xr:uid="{496424F3-0B6B-4E98-B1E5-7648BF9405A5}"/>
    <cellStyle name="Style 98 12 3" xfId="38080" xr:uid="{CF74F55B-C8D9-439E-B311-78FF93BA6EAA}"/>
    <cellStyle name="Style 98 13" xfId="19649" xr:uid="{DD058D86-2324-40CF-8B4E-07F6CA1884EF}"/>
    <cellStyle name="Style 98 13 2" xfId="19650" xr:uid="{AE995AB2-48C2-42A4-80CC-3E500816C0DC}"/>
    <cellStyle name="Style 98 13 2 2" xfId="38083" xr:uid="{2A5CB0D1-A00C-4020-B2D6-C5E8B3517FFD}"/>
    <cellStyle name="Style 98 13 3" xfId="38082" xr:uid="{93CD79B4-15A3-4AD1-AD17-15BAF009BD4A}"/>
    <cellStyle name="Style 98 14" xfId="19651" xr:uid="{17A99966-D409-4AE2-9AA1-E49409A3C8A7}"/>
    <cellStyle name="Style 98 14 2" xfId="38084" xr:uid="{0FDD866F-7988-4A1A-A692-D328F51C2F80}"/>
    <cellStyle name="Style 98 15" xfId="19652" xr:uid="{900AF8EA-096E-4E7E-885F-A266AD9D63BA}"/>
    <cellStyle name="Style 98 15 2" xfId="38085" xr:uid="{85492379-2C61-4205-BCBF-A0E42C4D4488}"/>
    <cellStyle name="Style 98 16" xfId="19653" xr:uid="{84EC6C89-3528-4184-934D-7FB86B16790C}"/>
    <cellStyle name="Style 98 16 2" xfId="38086" xr:uid="{6BBA587B-1111-4E2D-B7B1-42DA845F3246}"/>
    <cellStyle name="Style 98 2" xfId="3841" xr:uid="{DCC7341B-E9CB-45D3-AD4E-1355AE66F37B}"/>
    <cellStyle name="Style 98 2 10" xfId="19654" xr:uid="{BA9A818E-425D-4818-AF1F-DE1B162468A4}"/>
    <cellStyle name="Style 98 2 10 2" xfId="19655" xr:uid="{630BEE30-8057-4F2A-BA86-EB9365B50B9D}"/>
    <cellStyle name="Style 98 2 10 2 2" xfId="38088" xr:uid="{E735F6A5-0171-4789-8499-AD78F1B7652F}"/>
    <cellStyle name="Style 98 2 10 3" xfId="38087" xr:uid="{65CBD0BD-2809-4F09-8E64-9686790F91B1}"/>
    <cellStyle name="Style 98 2 11" xfId="19656" xr:uid="{91479FFB-5D41-44AE-A078-CAEADF4E14E1}"/>
    <cellStyle name="Style 98 2 11 2" xfId="19657" xr:uid="{432D368A-5368-43D8-B9E6-1F08411660A3}"/>
    <cellStyle name="Style 98 2 11 2 2" xfId="38090" xr:uid="{5ADA1C8D-93C2-4326-B0F8-F44300C5DB90}"/>
    <cellStyle name="Style 98 2 11 3" xfId="38089" xr:uid="{7B1262DF-6B0F-47C2-BE30-95EDC511EA9F}"/>
    <cellStyle name="Style 98 2 12" xfId="19658" xr:uid="{19CCC8A6-B70D-4F3F-B76C-36918431F439}"/>
    <cellStyle name="Style 98 2 12 2" xfId="19659" xr:uid="{0FBA7EBB-2B02-4CDF-9065-A663C5D09902}"/>
    <cellStyle name="Style 98 2 12 2 2" xfId="38092" xr:uid="{EB932343-1492-45C3-BC16-A5EA5649E690}"/>
    <cellStyle name="Style 98 2 12 3" xfId="38091" xr:uid="{E4179D1E-C716-4F1B-BD1E-30DA1EA72F0F}"/>
    <cellStyle name="Style 98 2 13" xfId="19660" xr:uid="{2068A67F-09DE-479D-A6AA-0EB3C43FD4F3}"/>
    <cellStyle name="Style 98 2 13 2" xfId="38093" xr:uid="{4487B6AA-2193-442C-A633-8C47E21849B1}"/>
    <cellStyle name="Style 98 2 14" xfId="19661" xr:uid="{15E7FD00-4C88-488F-AFA3-05ED8698DB04}"/>
    <cellStyle name="Style 98 2 14 2" xfId="38094" xr:uid="{F169CBD6-4392-4367-B4AD-85F787D6A834}"/>
    <cellStyle name="Style 98 2 15" xfId="19662" xr:uid="{8A97A22B-9D9A-4938-8D4F-EF492183E6E4}"/>
    <cellStyle name="Style 98 2 15 2" xfId="38095" xr:uid="{1380BF51-8AB1-47FC-AB54-DCD27BC75F92}"/>
    <cellStyle name="Style 98 2 2" xfId="3842" xr:uid="{FC1CA262-E34E-4BEF-9B06-3D284DC568C7}"/>
    <cellStyle name="Style 98 2 2 10" xfId="19663" xr:uid="{4C27D447-34ED-44D8-B4E9-720C07A4BF87}"/>
    <cellStyle name="Style 98 2 2 10 2" xfId="19664" xr:uid="{84C83C66-13EE-4195-BA19-7A9CCF6C6F6F}"/>
    <cellStyle name="Style 98 2 2 10 2 2" xfId="38097" xr:uid="{1E339054-34F3-4313-935A-40A0A344E204}"/>
    <cellStyle name="Style 98 2 2 10 3" xfId="38096" xr:uid="{FA266C9A-9EB4-480F-94D8-CCD6338F65BD}"/>
    <cellStyle name="Style 98 2 2 11" xfId="19665" xr:uid="{F8A3D743-30AA-417F-BEE7-4EDE03B1A136}"/>
    <cellStyle name="Style 98 2 2 11 2" xfId="19666" xr:uid="{451D696B-078A-4184-9895-5B68AE76FD7A}"/>
    <cellStyle name="Style 98 2 2 11 2 2" xfId="38099" xr:uid="{4C8A53B9-D270-4C5F-ADDF-6EF1CD413752}"/>
    <cellStyle name="Style 98 2 2 11 3" xfId="38098" xr:uid="{FF659A76-9AF5-41B8-BD34-335B92EC137F}"/>
    <cellStyle name="Style 98 2 2 12" xfId="19667" xr:uid="{C0EE1AC2-2476-4617-B8D1-AEB355632E73}"/>
    <cellStyle name="Style 98 2 2 12 2" xfId="38100" xr:uid="{F394B084-70EF-48FC-A279-030C047437BE}"/>
    <cellStyle name="Style 98 2 2 13" xfId="19668" xr:uid="{35A9A177-5723-4B94-8834-1CC729A4C529}"/>
    <cellStyle name="Style 98 2 2 13 2" xfId="38101" xr:uid="{740C6619-8832-4013-9917-1FFD745C2897}"/>
    <cellStyle name="Style 98 2 2 2" xfId="3843" xr:uid="{2CC5FB68-89A9-4852-A07F-DE17461E0E68}"/>
    <cellStyle name="Style 98 2 2 2 10" xfId="19669" xr:uid="{D867ACC4-B108-4E76-9A89-23372E55F4DB}"/>
    <cellStyle name="Style 98 2 2 2 10 2" xfId="19670" xr:uid="{42BB957A-A498-4629-9CE0-C9B5C1B871B0}"/>
    <cellStyle name="Style 98 2 2 2 10 2 2" xfId="38103" xr:uid="{BB6CF89A-2D3C-4048-A7EB-0ECF40393FC6}"/>
    <cellStyle name="Style 98 2 2 2 10 3" xfId="38102" xr:uid="{473F9805-2AE3-4D94-8E66-18AB02AA5B4D}"/>
    <cellStyle name="Style 98 2 2 2 11" xfId="19671" xr:uid="{1786ECF3-B9C9-47CD-8177-A6446EC23DD5}"/>
    <cellStyle name="Style 98 2 2 2 11 2" xfId="38104" xr:uid="{06EAFC56-60AF-477F-A42E-CD5981016F7B}"/>
    <cellStyle name="Style 98 2 2 2 12" xfId="19672" xr:uid="{B4230F63-0581-4A61-9381-BDD6DD532F47}"/>
    <cellStyle name="Style 98 2 2 2 12 2" xfId="38105" xr:uid="{04B4EF69-918C-4DE0-8C82-9A2917B5DD6E}"/>
    <cellStyle name="Style 98 2 2 2 2" xfId="3844" xr:uid="{AFCCFC49-C75B-464E-B925-10951BAE12A2}"/>
    <cellStyle name="Style 98 2 2 2 2 10" xfId="19673" xr:uid="{D9DB4658-FB9E-4A66-BCBE-EEFC219F6F82}"/>
    <cellStyle name="Style 98 2 2 2 2 10 2" xfId="38106" xr:uid="{D1188A28-C11F-4474-ACEC-FA5C61D692EA}"/>
    <cellStyle name="Style 98 2 2 2 2 11" xfId="19674" xr:uid="{45E0A099-6938-45AC-9DDC-1CED377B9FD4}"/>
    <cellStyle name="Style 98 2 2 2 2 11 2" xfId="38107" xr:uid="{B405FDED-FD54-4EB4-A859-7CBB79C6BE57}"/>
    <cellStyle name="Style 98 2 2 2 2 2" xfId="3845" xr:uid="{5B265198-1961-4541-9178-59AF25FF606D}"/>
    <cellStyle name="Style 98 2 2 2 2 2 2" xfId="7807" xr:uid="{AD41CDD7-FC6C-49C1-98CE-C5845E1923F0}"/>
    <cellStyle name="Style 98 2 2 2 2 2 2 2" xfId="19675" xr:uid="{8F01CF79-7C8E-4B92-AD78-9DA79A7A981F}"/>
    <cellStyle name="Style 98 2 2 2 2 2 2 2 2" xfId="19676" xr:uid="{28C0FD75-0A37-49AD-B728-633D16DA6BE4}"/>
    <cellStyle name="Style 98 2 2 2 2 2 2 2 2 2" xfId="38109" xr:uid="{52FFBF18-C05D-4E10-9F67-3497F36785DD}"/>
    <cellStyle name="Style 98 2 2 2 2 2 2 2 3" xfId="38108" xr:uid="{5CC725F7-D0A1-4C4F-86BE-A149724CACAF}"/>
    <cellStyle name="Style 98 2 2 2 2 2 2 3" xfId="19677" xr:uid="{BE499ABA-FAD9-46A0-8703-991DCA7DCDE1}"/>
    <cellStyle name="Style 98 2 2 2 2 2 2 3 2" xfId="19678" xr:uid="{3C995D23-E9E5-47B7-B285-7D704E5C03E5}"/>
    <cellStyle name="Style 98 2 2 2 2 2 2 3 2 2" xfId="38111" xr:uid="{16F7311E-8805-454E-8D10-3E9E10513AAF}"/>
    <cellStyle name="Style 98 2 2 2 2 2 2 3 3" xfId="38110" xr:uid="{1A5F4F18-1FA1-4F45-B6DE-32933983C6FD}"/>
    <cellStyle name="Style 98 2 2 2 2 2 2 4" xfId="19679" xr:uid="{0CD55CE0-2602-4FC8-95DE-B8CCC8C99094}"/>
    <cellStyle name="Style 98 2 2 2 2 2 2 4 2" xfId="19680" xr:uid="{0F2BECEB-B9CB-4D58-B6DD-EE1FFEAE9168}"/>
    <cellStyle name="Style 98 2 2 2 2 2 2 4 2 2" xfId="38113" xr:uid="{EE5E92AF-7D16-45CD-8FE3-6FAAF4CC4CD3}"/>
    <cellStyle name="Style 98 2 2 2 2 2 2 4 3" xfId="38112" xr:uid="{859910C1-8255-421B-8BCA-CA357A6034D2}"/>
    <cellStyle name="Style 98 2 2 2 2 2 2 5" xfId="19681" xr:uid="{6A7AA94C-CF92-4254-A361-55F724CD687B}"/>
    <cellStyle name="Style 98 2 2 2 2 2 2 5 2" xfId="19682" xr:uid="{F804DFA5-E6BB-4975-A012-F2BC77027485}"/>
    <cellStyle name="Style 98 2 2 2 2 2 2 5 2 2" xfId="38115" xr:uid="{3AFC3C9C-2AC3-4620-AAD9-A870E5673D71}"/>
    <cellStyle name="Style 98 2 2 2 2 2 2 5 3" xfId="38114" xr:uid="{27256960-F2E0-43B4-A5A2-CD13D63B8F01}"/>
    <cellStyle name="Style 98 2 2 2 2 2 2 6" xfId="19683" xr:uid="{EA0F1214-4B7C-4D5C-926A-27390EB87B2D}"/>
    <cellStyle name="Style 98 2 2 2 2 2 2 6 2" xfId="38116" xr:uid="{6BB2D5B1-EBFB-41F8-885D-C5CF1DE97C2A}"/>
    <cellStyle name="Style 98 2 2 2 2 2 2 7" xfId="19684" xr:uid="{E486533D-2578-4787-A542-E610062CB6B4}"/>
    <cellStyle name="Style 98 2 2 2 2 2 2 7 2" xfId="38117" xr:uid="{DEAC9BDA-CEF6-4029-BBF5-A37D92C6590B}"/>
    <cellStyle name="Style 98 2 2 2 2 2 3" xfId="19685" xr:uid="{EBD1B451-F463-495B-B694-1244ABC8E9DA}"/>
    <cellStyle name="Style 98 2 2 2 2 2 3 2" xfId="19686" xr:uid="{7C49E412-2FE5-4AC0-861F-D17573FB1925}"/>
    <cellStyle name="Style 98 2 2 2 2 2 3 2 2" xfId="38118" xr:uid="{5E359A93-A6AB-44D5-B123-AE1D99357190}"/>
    <cellStyle name="Style 98 2 2 2 2 2 3 3" xfId="19687" xr:uid="{F1AAA837-E161-4DA1-BEFE-8614AE6771E5}"/>
    <cellStyle name="Style 98 2 2 2 2 2 3 3 2" xfId="38119" xr:uid="{BB4137CC-D38C-4C6C-A56D-F21801ADF286}"/>
    <cellStyle name="Style 98 2 2 2 2 2 4" xfId="19688" xr:uid="{29E9D9C3-9762-426E-A5D0-1B63C1AD605F}"/>
    <cellStyle name="Style 98 2 2 2 2 2 4 2" xfId="19689" xr:uid="{4A9837BE-B2A6-4C56-817F-B93398CC438D}"/>
    <cellStyle name="Style 98 2 2 2 2 2 4 2 2" xfId="38121" xr:uid="{92450791-CA30-4A13-AB6B-5D5000CD8B92}"/>
    <cellStyle name="Style 98 2 2 2 2 2 4 3" xfId="38120" xr:uid="{C9F62DA9-4B43-401C-9840-BA15B0532DEF}"/>
    <cellStyle name="Style 98 2 2 2 2 2 5" xfId="19690" xr:uid="{300C65BF-369A-4796-8B94-1EC1EE258237}"/>
    <cellStyle name="Style 98 2 2 2 2 2 5 2" xfId="19691" xr:uid="{FE0C2C9B-ABB3-4DE0-86F8-8B3EF9D91098}"/>
    <cellStyle name="Style 98 2 2 2 2 2 5 2 2" xfId="38123" xr:uid="{4137CE8B-86DD-4460-B3AE-5CEDDC6747DF}"/>
    <cellStyle name="Style 98 2 2 2 2 2 5 3" xfId="38122" xr:uid="{931AF5CD-C99D-42DC-9996-E43EBBE455A6}"/>
    <cellStyle name="Style 98 2 2 2 2 2 6" xfId="19692" xr:uid="{90CE45EE-2E70-4DF6-8A89-4FB2B2556768}"/>
    <cellStyle name="Style 98 2 2 2 2 2 6 2" xfId="19693" xr:uid="{D8DDADBB-DF4F-4C99-A85C-60FC35B8FDFE}"/>
    <cellStyle name="Style 98 2 2 2 2 2 6 2 2" xfId="38125" xr:uid="{927CA558-A8E5-43FD-841F-BEF91201053F}"/>
    <cellStyle name="Style 98 2 2 2 2 2 6 3" xfId="38124" xr:uid="{DC4D60F0-21B4-4A96-B2A3-959C9D8D7190}"/>
    <cellStyle name="Style 98 2 2 2 2 2 7" xfId="19694" xr:uid="{BA8278AA-36E7-42C2-AA1B-D400D46D55C6}"/>
    <cellStyle name="Style 98 2 2 2 2 2 7 2" xfId="19695" xr:uid="{6F485FE6-B494-4739-AB00-E3161AF587CA}"/>
    <cellStyle name="Style 98 2 2 2 2 2 7 2 2" xfId="38127" xr:uid="{C396C445-02A7-4A72-8ACA-703F0DBF2185}"/>
    <cellStyle name="Style 98 2 2 2 2 2 7 3" xfId="38126" xr:uid="{07A3999E-F8E5-45D3-9508-78A9BD97C765}"/>
    <cellStyle name="Style 98 2 2 2 2 2 8" xfId="19696" xr:uid="{F072A8A1-76CD-4197-BB08-2D13331E87D0}"/>
    <cellStyle name="Style 98 2 2 2 2 2 8 2" xfId="38128" xr:uid="{C71A2476-44C9-45F9-98E8-4C14F6B331FA}"/>
    <cellStyle name="Style 98 2 2 2 2 2 9" xfId="19697" xr:uid="{9E9B9264-A13F-44A1-AE8D-3D0544FF0D24}"/>
    <cellStyle name="Style 98 2 2 2 2 2 9 2" xfId="38129" xr:uid="{81433B2C-EB83-4CAA-9209-DD29FE32482F}"/>
    <cellStyle name="Style 98 2 2 2 2 3" xfId="7806" xr:uid="{F595BC29-AF76-49D6-B8D2-0B3857B06E3F}"/>
    <cellStyle name="Style 98 2 2 2 2 3 2" xfId="19698" xr:uid="{01D2CE35-E256-497A-AAB0-BE72F33B1B52}"/>
    <cellStyle name="Style 98 2 2 2 2 3 2 2" xfId="19699" xr:uid="{EE94247C-4E8B-4F2A-AAA3-18F1284F1F00}"/>
    <cellStyle name="Style 98 2 2 2 2 3 2 2 2" xfId="38131" xr:uid="{615F7BAF-B0EE-41D9-B0EB-A4BB623A4DA9}"/>
    <cellStyle name="Style 98 2 2 2 2 3 2 3" xfId="38130" xr:uid="{DD15984C-0CC2-44E7-A0A7-BF2A5380BB76}"/>
    <cellStyle name="Style 98 2 2 2 2 3 3" xfId="19700" xr:uid="{D0CF0BBB-6773-45AA-B1CE-39768B05FBF0}"/>
    <cellStyle name="Style 98 2 2 2 2 3 3 2" xfId="19701" xr:uid="{B76F4383-D73C-4A59-B9AC-CDE5336723BB}"/>
    <cellStyle name="Style 98 2 2 2 2 3 3 2 2" xfId="38133" xr:uid="{B290EF42-F0A1-4404-A7AC-252E236B146A}"/>
    <cellStyle name="Style 98 2 2 2 2 3 3 3" xfId="38132" xr:uid="{F08DBA8B-AE99-455C-B897-307786D37F49}"/>
    <cellStyle name="Style 98 2 2 2 2 3 4" xfId="19702" xr:uid="{6CF69693-CEE4-4895-8320-36F71C937975}"/>
    <cellStyle name="Style 98 2 2 2 2 3 4 2" xfId="19703" xr:uid="{4B7805AF-0835-4073-A63B-2EF2A86FE8E4}"/>
    <cellStyle name="Style 98 2 2 2 2 3 4 2 2" xfId="38135" xr:uid="{DCBAF23D-E37E-4B46-B9F6-17BCF1701F74}"/>
    <cellStyle name="Style 98 2 2 2 2 3 4 3" xfId="38134" xr:uid="{F4149AF7-9524-4C75-BC7D-3B6379BFD754}"/>
    <cellStyle name="Style 98 2 2 2 2 3 5" xfId="19704" xr:uid="{72CDAD84-378A-4082-AF95-AB02E31F3FBF}"/>
    <cellStyle name="Style 98 2 2 2 2 3 5 2" xfId="19705" xr:uid="{3FAB68F5-DA31-477F-ABD1-391B6CF528B5}"/>
    <cellStyle name="Style 98 2 2 2 2 3 5 2 2" xfId="38137" xr:uid="{3FC01DCB-A8F0-4E8E-AEEE-9991A948914B}"/>
    <cellStyle name="Style 98 2 2 2 2 3 5 3" xfId="38136" xr:uid="{6F78F417-BD1B-4A79-A439-277A3FFD322A}"/>
    <cellStyle name="Style 98 2 2 2 2 3 6" xfId="19706" xr:uid="{7BE4280C-140F-4DB3-8331-0AB70DDAE00E}"/>
    <cellStyle name="Style 98 2 2 2 2 3 6 2" xfId="38138" xr:uid="{76AE0C51-5198-4E4C-9081-E4C6D65AEFA7}"/>
    <cellStyle name="Style 98 2 2 2 2 3 7" xfId="19707" xr:uid="{1E514CD8-ED80-4C14-84B7-0B8617E2CAE3}"/>
    <cellStyle name="Style 98 2 2 2 2 3 7 2" xfId="38139" xr:uid="{DA88CB20-5C5F-4672-87E8-4F66EAC64EC4}"/>
    <cellStyle name="Style 98 2 2 2 2 4" xfId="19708" xr:uid="{47DF799B-C782-4C6A-BD95-5E6690E63146}"/>
    <cellStyle name="Style 98 2 2 2 2 4 2" xfId="19709" xr:uid="{FBD80098-A3A3-446D-84F7-2A917EFFCB4D}"/>
    <cellStyle name="Style 98 2 2 2 2 4 2 2" xfId="38140" xr:uid="{9A1CAA0D-ACFB-4632-BC57-AC26E6E43893}"/>
    <cellStyle name="Style 98 2 2 2 2 4 3" xfId="19710" xr:uid="{6414EB9C-C6AF-41ED-BAB6-FAC3ABBC2BA7}"/>
    <cellStyle name="Style 98 2 2 2 2 4 3 2" xfId="38141" xr:uid="{40FB6109-E6CE-4634-B95A-8DE6446BE28C}"/>
    <cellStyle name="Style 98 2 2 2 2 5" xfId="19711" xr:uid="{12A94B43-6999-40B3-AF8D-A186852F2113}"/>
    <cellStyle name="Style 98 2 2 2 2 5 2" xfId="19712" xr:uid="{0CF7D1FA-0A1D-4432-B52A-B1EB584546BB}"/>
    <cellStyle name="Style 98 2 2 2 2 5 2 2" xfId="38143" xr:uid="{0D1B7665-38EF-4FFE-9209-85606D618105}"/>
    <cellStyle name="Style 98 2 2 2 2 5 3" xfId="38142" xr:uid="{3ECB9843-7783-40F8-B7D1-15449C7C10BB}"/>
    <cellStyle name="Style 98 2 2 2 2 6" xfId="19713" xr:uid="{EC2446CB-A3D7-4A52-AFEE-FA9EE4EB643F}"/>
    <cellStyle name="Style 98 2 2 2 2 6 2" xfId="19714" xr:uid="{5AD216E8-9B3A-4D6D-B9D6-D0B56A4ED4DA}"/>
    <cellStyle name="Style 98 2 2 2 2 6 2 2" xfId="38145" xr:uid="{199FFB06-F6ED-4764-B203-A50F3C3CC734}"/>
    <cellStyle name="Style 98 2 2 2 2 6 3" xfId="38144" xr:uid="{1EBFECFC-EA1A-4430-952E-30878C693292}"/>
    <cellStyle name="Style 98 2 2 2 2 7" xfId="19715" xr:uid="{BDC46B63-4002-4F98-A664-3DD312FD47B6}"/>
    <cellStyle name="Style 98 2 2 2 2 7 2" xfId="19716" xr:uid="{005E124E-2ECE-4FAE-8580-3DEFFA465FF2}"/>
    <cellStyle name="Style 98 2 2 2 2 7 2 2" xfId="38147" xr:uid="{82F24C0E-71B1-4F5C-BD17-64BA8CB6C6BF}"/>
    <cellStyle name="Style 98 2 2 2 2 7 3" xfId="38146" xr:uid="{16196ABD-0E0F-455F-A28D-5C3E3870E11A}"/>
    <cellStyle name="Style 98 2 2 2 2 8" xfId="19717" xr:uid="{BFE3026E-A1F7-4003-A803-0EA24240925F}"/>
    <cellStyle name="Style 98 2 2 2 2 8 2" xfId="19718" xr:uid="{61FD0130-104F-4A0E-B7B9-03D90B2E42BA}"/>
    <cellStyle name="Style 98 2 2 2 2 8 2 2" xfId="38149" xr:uid="{D82D4A75-8529-457E-A2A2-1703FCE8DA3B}"/>
    <cellStyle name="Style 98 2 2 2 2 8 3" xfId="38148" xr:uid="{000C5B3D-A564-4A97-90F3-0E39F3A4FD5A}"/>
    <cellStyle name="Style 98 2 2 2 2 9" xfId="19719" xr:uid="{AB128188-B1DD-4719-9027-4F7C3CFA20F1}"/>
    <cellStyle name="Style 98 2 2 2 2 9 2" xfId="19720" xr:uid="{B6F5D010-F6E5-4CD1-B140-CD512E353D6A}"/>
    <cellStyle name="Style 98 2 2 2 2 9 2 2" xfId="38151" xr:uid="{8E989F7B-3DC1-4862-B268-64E45141F05E}"/>
    <cellStyle name="Style 98 2 2 2 2 9 3" xfId="38150" xr:uid="{5A36A8EF-AF9D-4C29-A5FE-93499685287D}"/>
    <cellStyle name="Style 98 2 2 2 3" xfId="3846" xr:uid="{A3D0364B-EBDD-4291-A0C7-9E08232E5788}"/>
    <cellStyle name="Style 98 2 2 2 3 2" xfId="7808" xr:uid="{68D74947-1276-4E31-92ED-449F6A088733}"/>
    <cellStyle name="Style 98 2 2 2 3 2 2" xfId="19721" xr:uid="{BFF6609D-8E7B-4335-A935-5483A8010311}"/>
    <cellStyle name="Style 98 2 2 2 3 2 2 2" xfId="19722" xr:uid="{E25186D5-A5B6-483E-BEC4-8A8D10AB12F0}"/>
    <cellStyle name="Style 98 2 2 2 3 2 2 2 2" xfId="38153" xr:uid="{0FD9BBD2-B718-47BD-B2C4-1D5E5E220270}"/>
    <cellStyle name="Style 98 2 2 2 3 2 2 3" xfId="38152" xr:uid="{9BFE681D-C280-4FA3-AF9A-3C460AF4019B}"/>
    <cellStyle name="Style 98 2 2 2 3 2 3" xfId="19723" xr:uid="{16064415-EED0-4E9B-9E81-FF5BC25573D4}"/>
    <cellStyle name="Style 98 2 2 2 3 2 3 2" xfId="19724" xr:uid="{B202149E-2375-497F-85F1-AA326279FF75}"/>
    <cellStyle name="Style 98 2 2 2 3 2 3 2 2" xfId="38155" xr:uid="{9100C9F8-B8DC-4D8E-BBDF-4449DD9E0774}"/>
    <cellStyle name="Style 98 2 2 2 3 2 3 3" xfId="38154" xr:uid="{5DE019F1-0060-4274-AB37-2E187433C069}"/>
    <cellStyle name="Style 98 2 2 2 3 2 4" xfId="19725" xr:uid="{45578F18-DB06-4BA3-8245-0A1C5164C0A3}"/>
    <cellStyle name="Style 98 2 2 2 3 2 4 2" xfId="19726" xr:uid="{BEB07221-518F-4DF9-9452-9B597212C5E6}"/>
    <cellStyle name="Style 98 2 2 2 3 2 4 2 2" xfId="38157" xr:uid="{A958BDF5-0239-4BB2-9DB4-FFC4DEDAC3A8}"/>
    <cellStyle name="Style 98 2 2 2 3 2 4 3" xfId="38156" xr:uid="{367B9DE1-D4BB-40B3-BEF4-06A1871D7AF3}"/>
    <cellStyle name="Style 98 2 2 2 3 2 5" xfId="19727" xr:uid="{74434911-87A9-4372-87B1-BB87093C650E}"/>
    <cellStyle name="Style 98 2 2 2 3 2 5 2" xfId="19728" xr:uid="{DF66A18C-F9BD-4260-B135-A2A59678807E}"/>
    <cellStyle name="Style 98 2 2 2 3 2 5 2 2" xfId="38159" xr:uid="{6EFFF0B7-1C95-4613-8462-7DE67D5E038D}"/>
    <cellStyle name="Style 98 2 2 2 3 2 5 3" xfId="38158" xr:uid="{CFF6FC88-B207-49B8-9F7D-30CA97A42FC0}"/>
    <cellStyle name="Style 98 2 2 2 3 2 6" xfId="19729" xr:uid="{9AFCE462-90B4-40BF-A2B4-81A5F28B56FD}"/>
    <cellStyle name="Style 98 2 2 2 3 2 6 2" xfId="38160" xr:uid="{2E194814-8CFD-4916-8D62-F007BA1AABFE}"/>
    <cellStyle name="Style 98 2 2 2 3 2 7" xfId="19730" xr:uid="{F2095835-561E-4BC0-A762-FEF173857CDD}"/>
    <cellStyle name="Style 98 2 2 2 3 2 7 2" xfId="38161" xr:uid="{3C99EA19-15DA-4377-AA0D-47B3BF1F8D60}"/>
    <cellStyle name="Style 98 2 2 2 3 3" xfId="19731" xr:uid="{65F7EF65-2ED3-49DD-8DA3-F481C233A0D5}"/>
    <cellStyle name="Style 98 2 2 2 3 3 2" xfId="19732" xr:uid="{1355D84B-2FC8-4421-9B37-EDCD2BD8A867}"/>
    <cellStyle name="Style 98 2 2 2 3 3 2 2" xfId="38162" xr:uid="{4A49990D-C6B4-4B61-B5DD-43A22FE40744}"/>
    <cellStyle name="Style 98 2 2 2 3 3 3" xfId="19733" xr:uid="{50E08812-2FE5-41C2-8DFB-1780C35E050E}"/>
    <cellStyle name="Style 98 2 2 2 3 3 3 2" xfId="38163" xr:uid="{AC39DFAF-DC25-4893-A46A-3B6186E72361}"/>
    <cellStyle name="Style 98 2 2 2 3 4" xfId="19734" xr:uid="{60BDFE2E-DDF6-4DC4-8CD1-05EC46A34A53}"/>
    <cellStyle name="Style 98 2 2 2 3 4 2" xfId="19735" xr:uid="{396494EF-DD1E-4CF5-9CD4-85B427E9F3E8}"/>
    <cellStyle name="Style 98 2 2 2 3 4 2 2" xfId="38165" xr:uid="{9485CF65-8AC7-4DE6-BB3D-A181A0D49268}"/>
    <cellStyle name="Style 98 2 2 2 3 4 3" xfId="38164" xr:uid="{6EF602EE-74D5-4B8D-BF07-C8CDB1DD39A2}"/>
    <cellStyle name="Style 98 2 2 2 3 5" xfId="19736" xr:uid="{1DC1D41A-F00B-4A0C-944C-39D018870BC3}"/>
    <cellStyle name="Style 98 2 2 2 3 5 2" xfId="19737" xr:uid="{6EC74589-E111-4D9B-B222-753C07027029}"/>
    <cellStyle name="Style 98 2 2 2 3 5 2 2" xfId="38167" xr:uid="{A8BEFAE9-0685-451A-94D1-19EE4AEB3C64}"/>
    <cellStyle name="Style 98 2 2 2 3 5 3" xfId="38166" xr:uid="{A753B585-417B-4699-841B-706F9021DA39}"/>
    <cellStyle name="Style 98 2 2 2 3 6" xfId="19738" xr:uid="{D1E8216D-5049-464F-BB56-6B0C6FFF145E}"/>
    <cellStyle name="Style 98 2 2 2 3 6 2" xfId="19739" xr:uid="{A70A4E07-8D67-43E9-9331-2A465866998F}"/>
    <cellStyle name="Style 98 2 2 2 3 6 2 2" xfId="38169" xr:uid="{C3F65599-9910-43FD-A6DB-FB1B74E0C665}"/>
    <cellStyle name="Style 98 2 2 2 3 6 3" xfId="38168" xr:uid="{B5649B1D-59D9-4DC3-AEC3-F6AC5A5365BB}"/>
    <cellStyle name="Style 98 2 2 2 3 7" xfId="19740" xr:uid="{2848C21B-71AE-49E5-9C5D-BAFA401BFD84}"/>
    <cellStyle name="Style 98 2 2 2 3 7 2" xfId="19741" xr:uid="{807DF62C-291D-4B54-BF35-729AA7EAB222}"/>
    <cellStyle name="Style 98 2 2 2 3 7 2 2" xfId="38171" xr:uid="{F9DBF73A-F4EF-479C-8F88-A2CE5A8164CC}"/>
    <cellStyle name="Style 98 2 2 2 3 7 3" xfId="38170" xr:uid="{3776CD46-3ED2-4F50-9688-EFCD72582064}"/>
    <cellStyle name="Style 98 2 2 2 3 8" xfId="19742" xr:uid="{267A01E8-98FC-48D9-9097-BBF364A4A0E2}"/>
    <cellStyle name="Style 98 2 2 2 3 8 2" xfId="38172" xr:uid="{C7C91AD4-58A2-4B4B-BADD-B34C3FF463F0}"/>
    <cellStyle name="Style 98 2 2 2 3 9" xfId="19743" xr:uid="{58224554-8635-4296-AE39-990569A50FC4}"/>
    <cellStyle name="Style 98 2 2 2 3 9 2" xfId="38173" xr:uid="{9938F48A-B44D-4EF4-8C8F-3E3E3F803F48}"/>
    <cellStyle name="Style 98 2 2 2 4" xfId="7805" xr:uid="{D68C896E-AD91-421B-AA82-1E7D069EF667}"/>
    <cellStyle name="Style 98 2 2 2 4 2" xfId="19744" xr:uid="{B7B5CAA0-BBEC-44C7-ACA7-EC652BF430C2}"/>
    <cellStyle name="Style 98 2 2 2 4 2 2" xfId="19745" xr:uid="{12F15C01-B21A-47BC-B476-DA15C143A78D}"/>
    <cellStyle name="Style 98 2 2 2 4 2 2 2" xfId="38175" xr:uid="{930F2BC4-3C76-40D5-90EC-8985802D34CC}"/>
    <cellStyle name="Style 98 2 2 2 4 2 3" xfId="38174" xr:uid="{BB262446-1C6C-4544-A846-5DC984601451}"/>
    <cellStyle name="Style 98 2 2 2 4 3" xfId="19746" xr:uid="{55DD138B-54AE-47D7-B28E-C7D3A30B3E2B}"/>
    <cellStyle name="Style 98 2 2 2 4 3 2" xfId="19747" xr:uid="{FEF872F5-2FC7-471F-8F75-5B6EE31C81F6}"/>
    <cellStyle name="Style 98 2 2 2 4 3 2 2" xfId="38177" xr:uid="{46E74B71-46C1-43B1-A862-A916448A1136}"/>
    <cellStyle name="Style 98 2 2 2 4 3 3" xfId="38176" xr:uid="{0ADAF8AA-3EDC-4D13-8BF2-58B1A6D2EA74}"/>
    <cellStyle name="Style 98 2 2 2 4 4" xfId="19748" xr:uid="{CA93769D-E39F-4AD4-8047-08473E89846B}"/>
    <cellStyle name="Style 98 2 2 2 4 4 2" xfId="19749" xr:uid="{C7CD1DC9-5FE0-4F2E-B0B4-4D9039BC92A7}"/>
    <cellStyle name="Style 98 2 2 2 4 4 2 2" xfId="38179" xr:uid="{539CCC1C-3BD3-4705-89AB-62BFB974C26F}"/>
    <cellStyle name="Style 98 2 2 2 4 4 3" xfId="38178" xr:uid="{D42A2ABA-9A0C-436B-B19E-DBC9D6595577}"/>
    <cellStyle name="Style 98 2 2 2 4 5" xfId="19750" xr:uid="{AAC0D444-894D-427F-A8DF-62BE06FA3410}"/>
    <cellStyle name="Style 98 2 2 2 4 5 2" xfId="19751" xr:uid="{3CCF1D6A-A8B2-47F7-A17E-14920435E094}"/>
    <cellStyle name="Style 98 2 2 2 4 5 2 2" xfId="38181" xr:uid="{D752FB0A-F8D6-4CAA-9742-FAE9E667A0EB}"/>
    <cellStyle name="Style 98 2 2 2 4 5 3" xfId="38180" xr:uid="{06D71DAF-E586-476A-8B38-228687A35A25}"/>
    <cellStyle name="Style 98 2 2 2 4 6" xfId="19752" xr:uid="{3598A9A3-3FA5-4B90-A8F1-357837CFCCB3}"/>
    <cellStyle name="Style 98 2 2 2 4 6 2" xfId="38182" xr:uid="{9C8C074D-6C13-4A28-B8EF-17C644F60EC1}"/>
    <cellStyle name="Style 98 2 2 2 4 7" xfId="19753" xr:uid="{2A482CFB-5988-4030-A4B0-C79158BD34CB}"/>
    <cellStyle name="Style 98 2 2 2 4 7 2" xfId="38183" xr:uid="{55FC9DEA-9B5A-4F0D-8C3F-164B3A401022}"/>
    <cellStyle name="Style 98 2 2 2 5" xfId="19754" xr:uid="{A069FC3B-57EE-484A-BC63-77B3C60321AD}"/>
    <cellStyle name="Style 98 2 2 2 5 2" xfId="19755" xr:uid="{2781A2AB-ECE2-4D2E-A8AC-954E34F192BF}"/>
    <cellStyle name="Style 98 2 2 2 5 2 2" xfId="38184" xr:uid="{EE2030E8-6338-4037-A05F-3FB972174DB1}"/>
    <cellStyle name="Style 98 2 2 2 5 3" xfId="19756" xr:uid="{3E8B8C16-9284-4A15-93F9-C3B1AFBBD61B}"/>
    <cellStyle name="Style 98 2 2 2 5 3 2" xfId="38185" xr:uid="{223946CD-89C0-4432-98BA-8805B4EDBF99}"/>
    <cellStyle name="Style 98 2 2 2 6" xfId="19757" xr:uid="{7A975409-1478-484C-A1CD-26BDB0CC8B1A}"/>
    <cellStyle name="Style 98 2 2 2 6 2" xfId="19758" xr:uid="{17958454-DB0E-4618-BC1B-089E9B4C5B8F}"/>
    <cellStyle name="Style 98 2 2 2 6 2 2" xfId="38187" xr:uid="{577B9A8F-8004-4D05-A488-817D38E67120}"/>
    <cellStyle name="Style 98 2 2 2 6 3" xfId="38186" xr:uid="{AB827BB6-BD44-4E3F-A0F0-7296EA18A2D0}"/>
    <cellStyle name="Style 98 2 2 2 7" xfId="19759" xr:uid="{B2FF0C83-3630-4DDC-905A-48CC69381A47}"/>
    <cellStyle name="Style 98 2 2 2 7 2" xfId="19760" xr:uid="{C3B3713A-6635-47D8-95E6-3308CE6C23C3}"/>
    <cellStyle name="Style 98 2 2 2 7 2 2" xfId="38189" xr:uid="{B7639B3F-C56C-4A89-8F84-802D2381C3BD}"/>
    <cellStyle name="Style 98 2 2 2 7 3" xfId="38188" xr:uid="{BB01D6D4-1D59-4C47-95DC-9F78C5E87A8A}"/>
    <cellStyle name="Style 98 2 2 2 8" xfId="19761" xr:uid="{A69E2EDE-39A2-4F65-95FF-9D8401071DBB}"/>
    <cellStyle name="Style 98 2 2 2 8 2" xfId="19762" xr:uid="{0C695A94-5D01-4776-8B6F-D552D5BA0D76}"/>
    <cellStyle name="Style 98 2 2 2 8 2 2" xfId="38191" xr:uid="{27ADB40C-2F33-4176-8C97-000709656267}"/>
    <cellStyle name="Style 98 2 2 2 8 3" xfId="38190" xr:uid="{B438BC3D-5736-4777-ADEC-F0BE9F5240B6}"/>
    <cellStyle name="Style 98 2 2 2 9" xfId="19763" xr:uid="{EFA0D71E-3507-43BF-8989-020585472759}"/>
    <cellStyle name="Style 98 2 2 2 9 2" xfId="19764" xr:uid="{D4911BF4-95F3-482B-B0F8-4E2A33E55E5F}"/>
    <cellStyle name="Style 98 2 2 2 9 2 2" xfId="38193" xr:uid="{3CF6844B-EAC4-4E84-AA74-11BDE1577779}"/>
    <cellStyle name="Style 98 2 2 2 9 3" xfId="38192" xr:uid="{FE61FD6A-C95B-41ED-9400-5A1F6C37DFE8}"/>
    <cellStyle name="Style 98 2 2 3" xfId="3847" xr:uid="{C0057C85-24E9-450F-A0A0-EB7F66591BB2}"/>
    <cellStyle name="Style 98 2 2 3 10" xfId="19765" xr:uid="{AB47A842-F2C4-48EC-BA77-8A01F2D92BF0}"/>
    <cellStyle name="Style 98 2 2 3 10 2" xfId="38194" xr:uid="{37129440-75F9-4325-AEDA-717700D6012C}"/>
    <cellStyle name="Style 98 2 2 3 11" xfId="19766" xr:uid="{409353A1-AF10-4E34-8879-DCFE7B858344}"/>
    <cellStyle name="Style 98 2 2 3 11 2" xfId="38195" xr:uid="{5720226F-F652-419C-B2B3-CBE52FE2C75A}"/>
    <cellStyle name="Style 98 2 2 3 2" xfId="3848" xr:uid="{CE56F76F-789B-4ADD-9533-B0C5086AFC2C}"/>
    <cellStyle name="Style 98 2 2 3 2 2" xfId="7810" xr:uid="{71AE3FA5-32D9-462F-9553-FB8797D98B6F}"/>
    <cellStyle name="Style 98 2 2 3 2 2 2" xfId="19767" xr:uid="{C88E790C-B04E-424F-9431-518E2F9FC3AA}"/>
    <cellStyle name="Style 98 2 2 3 2 2 2 2" xfId="19768" xr:uid="{B29CA5EA-855B-4282-B328-8CDF1D5CBC56}"/>
    <cellStyle name="Style 98 2 2 3 2 2 2 2 2" xfId="38197" xr:uid="{84258C28-3D5E-4664-96AB-E5010D278788}"/>
    <cellStyle name="Style 98 2 2 3 2 2 2 3" xfId="38196" xr:uid="{F0D5BEC8-9CB6-41C9-B15E-074EE9EA5AD5}"/>
    <cellStyle name="Style 98 2 2 3 2 2 3" xfId="19769" xr:uid="{57D5BAA3-487E-401A-A2FF-1A31B31C87CC}"/>
    <cellStyle name="Style 98 2 2 3 2 2 3 2" xfId="19770" xr:uid="{C7AD0962-7CB1-4AF8-915E-9E61B2FC0EB2}"/>
    <cellStyle name="Style 98 2 2 3 2 2 3 2 2" xfId="38199" xr:uid="{CD5D03FC-832B-4111-9ACD-B3947B40AD1E}"/>
    <cellStyle name="Style 98 2 2 3 2 2 3 3" xfId="38198" xr:uid="{39453E44-3447-46EF-B19F-AD5F2BF5AE8A}"/>
    <cellStyle name="Style 98 2 2 3 2 2 4" xfId="19771" xr:uid="{64F7FC6D-C9A5-422B-9DC7-E3790EC35FE3}"/>
    <cellStyle name="Style 98 2 2 3 2 2 4 2" xfId="19772" xr:uid="{8025E63C-8ECF-4F3D-8F5E-1C4381D17085}"/>
    <cellStyle name="Style 98 2 2 3 2 2 4 2 2" xfId="38201" xr:uid="{13E0C47F-624C-4037-853C-209C70CC5390}"/>
    <cellStyle name="Style 98 2 2 3 2 2 4 3" xfId="38200" xr:uid="{013F10C3-F64C-49EC-A536-2A1CAECCCD45}"/>
    <cellStyle name="Style 98 2 2 3 2 2 5" xfId="19773" xr:uid="{C8D27092-E97B-4F1A-8DA6-C627EDEC1E7F}"/>
    <cellStyle name="Style 98 2 2 3 2 2 5 2" xfId="19774" xr:uid="{E9D1E358-A879-4D66-B27E-9ECA1EE401B4}"/>
    <cellStyle name="Style 98 2 2 3 2 2 5 2 2" xfId="38203" xr:uid="{09E5FD6E-1AEB-4509-B26D-5B6D80820D37}"/>
    <cellStyle name="Style 98 2 2 3 2 2 5 3" xfId="38202" xr:uid="{CF834025-ED5B-44F5-B254-4454FEE7F870}"/>
    <cellStyle name="Style 98 2 2 3 2 2 6" xfId="19775" xr:uid="{07B468C8-F011-4DA6-8AFA-5124153CF217}"/>
    <cellStyle name="Style 98 2 2 3 2 2 6 2" xfId="38204" xr:uid="{0CAABDB3-0A15-4F70-9C5E-6E29B072AAF4}"/>
    <cellStyle name="Style 98 2 2 3 2 2 7" xfId="19776" xr:uid="{3BF62F3C-FF58-484B-9211-742288EA8CD0}"/>
    <cellStyle name="Style 98 2 2 3 2 2 7 2" xfId="38205" xr:uid="{CB2ADDEE-F7CA-44DA-B494-D0CA2397B5FC}"/>
    <cellStyle name="Style 98 2 2 3 2 3" xfId="19777" xr:uid="{11649BAE-98D9-454B-8E18-18AD082D82CC}"/>
    <cellStyle name="Style 98 2 2 3 2 3 2" xfId="19778" xr:uid="{C7D51620-1BF1-438B-A172-994BDCE2532E}"/>
    <cellStyle name="Style 98 2 2 3 2 3 2 2" xfId="38206" xr:uid="{FCD2E1B1-0DD6-4525-8BFE-9B7967915986}"/>
    <cellStyle name="Style 98 2 2 3 2 3 3" xfId="19779" xr:uid="{AECDE94E-A4E4-4546-AC8F-D68EBAE6FB88}"/>
    <cellStyle name="Style 98 2 2 3 2 3 3 2" xfId="38207" xr:uid="{CF3F3DF4-7BBE-40E0-AE84-2C2088E3176D}"/>
    <cellStyle name="Style 98 2 2 3 2 4" xfId="19780" xr:uid="{CC46CE1C-9090-45BA-9A7F-4834871D8F08}"/>
    <cellStyle name="Style 98 2 2 3 2 4 2" xfId="19781" xr:uid="{0DB4EF91-CD78-4505-84EC-A071A5ACF82A}"/>
    <cellStyle name="Style 98 2 2 3 2 4 2 2" xfId="38209" xr:uid="{245BA40E-5A7E-4BE9-A8F0-EC090C84E1D7}"/>
    <cellStyle name="Style 98 2 2 3 2 4 3" xfId="38208" xr:uid="{68E6B8C1-157A-4EAB-B79A-1C3D50D547D6}"/>
    <cellStyle name="Style 98 2 2 3 2 5" xfId="19782" xr:uid="{AB82130D-757A-4200-81CF-E7DEB09F7EB3}"/>
    <cellStyle name="Style 98 2 2 3 2 5 2" xfId="19783" xr:uid="{C4EDBD43-6F4A-450F-BCBF-CA0039EC2253}"/>
    <cellStyle name="Style 98 2 2 3 2 5 2 2" xfId="38211" xr:uid="{2898250F-CD2C-453E-B710-B1A876FC6F5E}"/>
    <cellStyle name="Style 98 2 2 3 2 5 3" xfId="38210" xr:uid="{20A56E23-EC2E-400C-99CE-33B555323A74}"/>
    <cellStyle name="Style 98 2 2 3 2 6" xfId="19784" xr:uid="{9CEBE9F2-93E5-411E-A145-1BE23795E88E}"/>
    <cellStyle name="Style 98 2 2 3 2 6 2" xfId="19785" xr:uid="{14825DD6-6EB3-4FEC-A7B7-DF2C5E6AF428}"/>
    <cellStyle name="Style 98 2 2 3 2 6 2 2" xfId="38213" xr:uid="{2A8BB394-5435-48CB-BB0F-CA02D42D7E6B}"/>
    <cellStyle name="Style 98 2 2 3 2 6 3" xfId="38212" xr:uid="{C7D4A4DC-7F32-4440-8935-044CC9DBC274}"/>
    <cellStyle name="Style 98 2 2 3 2 7" xfId="19786" xr:uid="{E765A401-9225-46E6-ACDE-CC1F723FD114}"/>
    <cellStyle name="Style 98 2 2 3 2 7 2" xfId="19787" xr:uid="{37595D09-2970-499B-976E-D742AA5ADC18}"/>
    <cellStyle name="Style 98 2 2 3 2 7 2 2" xfId="38215" xr:uid="{DDDAD890-72CB-4870-AB6B-6FA25E08BDF9}"/>
    <cellStyle name="Style 98 2 2 3 2 7 3" xfId="38214" xr:uid="{6324C5E6-7473-49D2-8ACD-012B09BE6B62}"/>
    <cellStyle name="Style 98 2 2 3 2 8" xfId="19788" xr:uid="{D9EF2BC6-DD4B-4DAC-BA7C-1D2703C73409}"/>
    <cellStyle name="Style 98 2 2 3 2 8 2" xfId="38216" xr:uid="{61DB920F-FE03-4EB4-8142-04FBF6D601C2}"/>
    <cellStyle name="Style 98 2 2 3 2 9" xfId="19789" xr:uid="{A16F9F9D-68D2-4877-B856-14DCDA3AA258}"/>
    <cellStyle name="Style 98 2 2 3 2 9 2" xfId="38217" xr:uid="{21F70AB6-87FD-4C69-8152-38B9DF1F0A5E}"/>
    <cellStyle name="Style 98 2 2 3 3" xfId="7809" xr:uid="{292D1A79-A2D1-4E9E-A567-30E01C0EB52A}"/>
    <cellStyle name="Style 98 2 2 3 3 2" xfId="19790" xr:uid="{E2847CC8-49DF-48E0-A7CA-D7577DC6C3D0}"/>
    <cellStyle name="Style 98 2 2 3 3 2 2" xfId="19791" xr:uid="{E0947339-9B29-4872-A997-68E16173B45C}"/>
    <cellStyle name="Style 98 2 2 3 3 2 2 2" xfId="38219" xr:uid="{DB7BCC4A-9DD9-4416-8584-8526A7090CE2}"/>
    <cellStyle name="Style 98 2 2 3 3 2 3" xfId="38218" xr:uid="{F144F8E6-1445-40B8-82E5-6E2BC1FDBB39}"/>
    <cellStyle name="Style 98 2 2 3 3 3" xfId="19792" xr:uid="{5BBDC350-2053-4E5B-B517-E26707541BB1}"/>
    <cellStyle name="Style 98 2 2 3 3 3 2" xfId="19793" xr:uid="{D4ECB361-61C3-4C49-A282-9589CB2788A1}"/>
    <cellStyle name="Style 98 2 2 3 3 3 2 2" xfId="38221" xr:uid="{0FFF62EB-9F44-4B41-BB49-C64CBC2DB4AA}"/>
    <cellStyle name="Style 98 2 2 3 3 3 3" xfId="38220" xr:uid="{37279313-0107-4BE7-98B8-E7572E710074}"/>
    <cellStyle name="Style 98 2 2 3 3 4" xfId="19794" xr:uid="{670ABA82-A8BA-4039-8A06-92A94491449C}"/>
    <cellStyle name="Style 98 2 2 3 3 4 2" xfId="19795" xr:uid="{44A05CF7-F2A8-42FF-9FB3-B1A5F16A45F0}"/>
    <cellStyle name="Style 98 2 2 3 3 4 2 2" xfId="38223" xr:uid="{B4D21EC7-D7A3-45CF-AF97-093E1A96C76D}"/>
    <cellStyle name="Style 98 2 2 3 3 4 3" xfId="38222" xr:uid="{71048A35-EC55-475B-B4E9-671267045EAF}"/>
    <cellStyle name="Style 98 2 2 3 3 5" xfId="19796" xr:uid="{EF699A53-1857-4A4F-B665-5D3A5D1F45D5}"/>
    <cellStyle name="Style 98 2 2 3 3 5 2" xfId="19797" xr:uid="{701C1061-8060-438B-ACE1-7EC4A2200190}"/>
    <cellStyle name="Style 98 2 2 3 3 5 2 2" xfId="38225" xr:uid="{6B576EFD-6CBD-4328-BBE0-A406939B9822}"/>
    <cellStyle name="Style 98 2 2 3 3 5 3" xfId="38224" xr:uid="{77BDACA8-AF7D-43C7-855B-650FE400EFF2}"/>
    <cellStyle name="Style 98 2 2 3 3 6" xfId="19798" xr:uid="{E1BC2F78-A461-4490-86DD-5602602F48BC}"/>
    <cellStyle name="Style 98 2 2 3 3 6 2" xfId="38226" xr:uid="{FD64DFFE-BD38-4AF9-8B62-8537AE7D1097}"/>
    <cellStyle name="Style 98 2 2 3 3 7" xfId="19799" xr:uid="{EEC09045-E848-4766-B009-F52BDF1FCF97}"/>
    <cellStyle name="Style 98 2 2 3 3 7 2" xfId="38227" xr:uid="{C5E1870A-D86E-4771-A936-9C70C1589640}"/>
    <cellStyle name="Style 98 2 2 3 4" xfId="19800" xr:uid="{19B3B4D1-4F41-4A19-8AFF-1529582A031A}"/>
    <cellStyle name="Style 98 2 2 3 4 2" xfId="19801" xr:uid="{C99C70D2-02D2-425C-B184-B8CCE47DF507}"/>
    <cellStyle name="Style 98 2 2 3 4 2 2" xfId="38228" xr:uid="{894AF698-AE20-48D6-ADDE-DB2DABB63F80}"/>
    <cellStyle name="Style 98 2 2 3 4 3" xfId="19802" xr:uid="{FB1CE053-5AF0-4886-A28B-2A3A011B5B6A}"/>
    <cellStyle name="Style 98 2 2 3 4 3 2" xfId="38229" xr:uid="{B425BCA7-9086-4532-91D0-E87243AF32B6}"/>
    <cellStyle name="Style 98 2 2 3 5" xfId="19803" xr:uid="{3975B60E-AA3E-467E-AB14-656ACFE568D9}"/>
    <cellStyle name="Style 98 2 2 3 5 2" xfId="19804" xr:uid="{FB3A882D-F112-4BD4-919B-2818317C6D23}"/>
    <cellStyle name="Style 98 2 2 3 5 2 2" xfId="38231" xr:uid="{387F2E11-9A87-4BD3-98A4-5A5EA0A5E276}"/>
    <cellStyle name="Style 98 2 2 3 5 3" xfId="38230" xr:uid="{D0E80E41-9E35-471F-B5D7-6ADA21D88546}"/>
    <cellStyle name="Style 98 2 2 3 6" xfId="19805" xr:uid="{0C22A028-4518-40A2-8870-B400EB4D1907}"/>
    <cellStyle name="Style 98 2 2 3 6 2" xfId="19806" xr:uid="{CE2F5FD9-8A6F-46E2-A8E7-177F209802F8}"/>
    <cellStyle name="Style 98 2 2 3 6 2 2" xfId="38233" xr:uid="{094D65F0-84B6-414D-A257-93612E696C4E}"/>
    <cellStyle name="Style 98 2 2 3 6 3" xfId="38232" xr:uid="{BB371913-FD4F-492A-8DA8-A8385EB95F95}"/>
    <cellStyle name="Style 98 2 2 3 7" xfId="19807" xr:uid="{C26F1BF4-A37E-45C0-91D4-5C4845785971}"/>
    <cellStyle name="Style 98 2 2 3 7 2" xfId="19808" xr:uid="{24817E1C-30C7-405C-8539-2C82263E1E5C}"/>
    <cellStyle name="Style 98 2 2 3 7 2 2" xfId="38235" xr:uid="{5B7CC95C-7F9A-4A73-9B61-50A1C13E79F4}"/>
    <cellStyle name="Style 98 2 2 3 7 3" xfId="38234" xr:uid="{7E82521A-4F32-46B4-803B-A72885AC1518}"/>
    <cellStyle name="Style 98 2 2 3 8" xfId="19809" xr:uid="{A6DF3E3A-4383-42CC-B6DB-6A52B5FF1DE5}"/>
    <cellStyle name="Style 98 2 2 3 8 2" xfId="19810" xr:uid="{18D29A78-074A-4561-B325-7531D3674D58}"/>
    <cellStyle name="Style 98 2 2 3 8 2 2" xfId="38237" xr:uid="{C4324534-D4C5-4B0D-A31F-376D2BB168FB}"/>
    <cellStyle name="Style 98 2 2 3 8 3" xfId="38236" xr:uid="{EBE3B80D-289C-4361-81E7-179E68E0ECF8}"/>
    <cellStyle name="Style 98 2 2 3 9" xfId="19811" xr:uid="{8CDB7B78-2275-4A03-BC8D-7566D5BDE3E3}"/>
    <cellStyle name="Style 98 2 2 3 9 2" xfId="19812" xr:uid="{BFBEE8EC-010E-456A-95A9-C333D829347E}"/>
    <cellStyle name="Style 98 2 2 3 9 2 2" xfId="38239" xr:uid="{AD2B9DC8-6692-4C20-822E-7A6E1B5A3FD7}"/>
    <cellStyle name="Style 98 2 2 3 9 3" xfId="38238" xr:uid="{BB4D14C3-BB86-452C-BE0B-43069D29D3FD}"/>
    <cellStyle name="Style 98 2 2 4" xfId="3849" xr:uid="{77CD77FA-EB5A-4F34-8EF4-4B69FDB15161}"/>
    <cellStyle name="Style 98 2 2 4 2" xfId="7811" xr:uid="{DEAD3BD3-3159-48CF-A6D3-3C3E8A6F1C98}"/>
    <cellStyle name="Style 98 2 2 4 2 2" xfId="19813" xr:uid="{D67A146F-3E51-4566-9954-03FE4C01F03D}"/>
    <cellStyle name="Style 98 2 2 4 2 2 2" xfId="19814" xr:uid="{08D29779-DBD3-4752-9E91-2F85DF92A5A1}"/>
    <cellStyle name="Style 98 2 2 4 2 2 2 2" xfId="38241" xr:uid="{179EBC71-01B3-487F-9920-E31F5BB2313E}"/>
    <cellStyle name="Style 98 2 2 4 2 2 3" xfId="38240" xr:uid="{20E9CD24-2AF4-4BE2-A170-76E471969C77}"/>
    <cellStyle name="Style 98 2 2 4 2 3" xfId="19815" xr:uid="{033BD804-FC39-416F-B1A4-0EF2115060FC}"/>
    <cellStyle name="Style 98 2 2 4 2 3 2" xfId="19816" xr:uid="{1DED156A-36BF-45D1-9C34-3FCFF26EF57D}"/>
    <cellStyle name="Style 98 2 2 4 2 3 2 2" xfId="38243" xr:uid="{76C70E28-862C-40B9-8F45-D211E80CC412}"/>
    <cellStyle name="Style 98 2 2 4 2 3 3" xfId="38242" xr:uid="{5EA59B4C-6834-4EB8-9EAA-B8C73FCF1838}"/>
    <cellStyle name="Style 98 2 2 4 2 4" xfId="19817" xr:uid="{727514DA-0952-4066-9CC5-4B986BA8DCEC}"/>
    <cellStyle name="Style 98 2 2 4 2 4 2" xfId="19818" xr:uid="{F5AEE39C-C028-422F-BBD1-89D05A0B6CF9}"/>
    <cellStyle name="Style 98 2 2 4 2 4 2 2" xfId="38245" xr:uid="{41DB1AAB-C20C-419C-869F-A44BA0277448}"/>
    <cellStyle name="Style 98 2 2 4 2 4 3" xfId="38244" xr:uid="{A89120C3-C450-443F-A85F-B50D3C1FD7C0}"/>
    <cellStyle name="Style 98 2 2 4 2 5" xfId="19819" xr:uid="{F5C849FE-4A1A-4416-9612-BE65DB048049}"/>
    <cellStyle name="Style 98 2 2 4 2 5 2" xfId="19820" xr:uid="{39198046-9CF0-423D-8B3C-0ADF15B218F3}"/>
    <cellStyle name="Style 98 2 2 4 2 5 2 2" xfId="38247" xr:uid="{687F399F-8314-4187-A1CC-88055B0F2FF3}"/>
    <cellStyle name="Style 98 2 2 4 2 5 3" xfId="38246" xr:uid="{CCC85FD6-0F9E-482A-A44B-7139EE875971}"/>
    <cellStyle name="Style 98 2 2 4 2 6" xfId="19821" xr:uid="{3D703C2A-7B62-4AA7-898B-A17F73ED99F1}"/>
    <cellStyle name="Style 98 2 2 4 2 6 2" xfId="38248" xr:uid="{69531415-D8C8-46C5-B60C-B3264F344CBD}"/>
    <cellStyle name="Style 98 2 2 4 2 7" xfId="19822" xr:uid="{41549542-3F22-4EAF-A7BF-D246A9A074A2}"/>
    <cellStyle name="Style 98 2 2 4 2 7 2" xfId="38249" xr:uid="{9909EA64-8522-4FAE-BCD7-8A085AF2C46C}"/>
    <cellStyle name="Style 98 2 2 4 3" xfId="19823" xr:uid="{0C7991D1-19BF-46EB-9114-353DE7D9D38B}"/>
    <cellStyle name="Style 98 2 2 4 3 2" xfId="19824" xr:uid="{46FD3DDE-D944-44B5-BDD1-0EBD08745069}"/>
    <cellStyle name="Style 98 2 2 4 3 2 2" xfId="38250" xr:uid="{A342BD3F-CF4B-4EA7-8C66-EFC87EB6B22D}"/>
    <cellStyle name="Style 98 2 2 4 3 3" xfId="19825" xr:uid="{8E5D41EF-93C2-4029-ACC1-ECF5B11D914D}"/>
    <cellStyle name="Style 98 2 2 4 3 3 2" xfId="38251" xr:uid="{3C5396D5-2BFF-4C5C-A874-EDD31BA1F13A}"/>
    <cellStyle name="Style 98 2 2 4 4" xfId="19826" xr:uid="{3936CE9B-E4F9-4914-B2D7-421364B4AA97}"/>
    <cellStyle name="Style 98 2 2 4 4 2" xfId="19827" xr:uid="{9EB47EC3-0BD5-4523-A621-8F316125D525}"/>
    <cellStyle name="Style 98 2 2 4 4 2 2" xfId="38253" xr:uid="{03D205F9-B1CA-41A4-B667-971AC4BD1387}"/>
    <cellStyle name="Style 98 2 2 4 4 3" xfId="38252" xr:uid="{84122A96-85BA-49BE-B9C0-18647215E162}"/>
    <cellStyle name="Style 98 2 2 4 5" xfId="19828" xr:uid="{E1621F1F-2346-4F4C-9F58-F74A5D0C4287}"/>
    <cellStyle name="Style 98 2 2 4 5 2" xfId="19829" xr:uid="{0B824B1F-87A8-419A-BF89-02F744A86898}"/>
    <cellStyle name="Style 98 2 2 4 5 2 2" xfId="38255" xr:uid="{3E499E6A-EF3C-4284-B247-81DF58B96C04}"/>
    <cellStyle name="Style 98 2 2 4 5 3" xfId="38254" xr:uid="{17C37433-8D69-470A-9FB7-D80CA83EB865}"/>
    <cellStyle name="Style 98 2 2 4 6" xfId="19830" xr:uid="{1F6DE983-EB8A-43F1-BD52-A53662FB1BFA}"/>
    <cellStyle name="Style 98 2 2 4 6 2" xfId="19831" xr:uid="{2AF54451-74DE-4222-A6BF-75158F8C71F0}"/>
    <cellStyle name="Style 98 2 2 4 6 2 2" xfId="38257" xr:uid="{A64A986B-7EB1-499A-B63E-7FBE7EADEE83}"/>
    <cellStyle name="Style 98 2 2 4 6 3" xfId="38256" xr:uid="{93AAD1FE-B801-49B0-B9E1-9091196C5734}"/>
    <cellStyle name="Style 98 2 2 4 7" xfId="19832" xr:uid="{B7E937E6-615E-4400-9470-FBE6689E4BAD}"/>
    <cellStyle name="Style 98 2 2 4 7 2" xfId="19833" xr:uid="{4F6785AA-3090-492F-B1D4-DE19A5128B27}"/>
    <cellStyle name="Style 98 2 2 4 7 2 2" xfId="38259" xr:uid="{7F7B2870-A73E-434D-B6D1-04979601AACF}"/>
    <cellStyle name="Style 98 2 2 4 7 3" xfId="38258" xr:uid="{F4BA99D8-3177-4A87-BEC6-2B8D325F7B1A}"/>
    <cellStyle name="Style 98 2 2 4 8" xfId="19834" xr:uid="{C554CDE6-C893-43EE-A204-4F2668E7DFF4}"/>
    <cellStyle name="Style 98 2 2 4 8 2" xfId="38260" xr:uid="{9E3D2A6E-7CE6-406C-82DD-381A917D8E46}"/>
    <cellStyle name="Style 98 2 2 4 9" xfId="19835" xr:uid="{EBD2C35A-6E99-4A68-9D2C-6E90CD367324}"/>
    <cellStyle name="Style 98 2 2 4 9 2" xfId="38261" xr:uid="{11D18329-C251-4A93-80BC-F79C238A66AC}"/>
    <cellStyle name="Style 98 2 2 5" xfId="7804" xr:uid="{9550FAA3-A99F-4435-82B5-1B005EC93432}"/>
    <cellStyle name="Style 98 2 2 5 2" xfId="19836" xr:uid="{2E97AA5C-C2E9-4F9F-967A-0BD448ED7E8D}"/>
    <cellStyle name="Style 98 2 2 5 2 2" xfId="19837" xr:uid="{043C4FE0-2FD9-453C-A4CF-974CD0F84A45}"/>
    <cellStyle name="Style 98 2 2 5 2 2 2" xfId="38263" xr:uid="{01603242-D8BE-47E5-AF15-65EF0464FB21}"/>
    <cellStyle name="Style 98 2 2 5 2 3" xfId="38262" xr:uid="{9B5B132F-7A01-418E-A53F-84B0CCEDB618}"/>
    <cellStyle name="Style 98 2 2 5 3" xfId="19838" xr:uid="{9376C6E8-D93F-43C2-975D-22F6A1C144DB}"/>
    <cellStyle name="Style 98 2 2 5 3 2" xfId="19839" xr:uid="{F35FD766-6E83-48DE-BE64-FF9969F93EFD}"/>
    <cellStyle name="Style 98 2 2 5 3 2 2" xfId="38265" xr:uid="{464D2FF7-B322-4CCF-A1CB-BF8ECEFE5A1B}"/>
    <cellStyle name="Style 98 2 2 5 3 3" xfId="38264" xr:uid="{8AF6C732-DE5A-451B-AB56-D06F04E70C9B}"/>
    <cellStyle name="Style 98 2 2 5 4" xfId="19840" xr:uid="{27DF3945-399B-4823-9DE3-E20FB23E248C}"/>
    <cellStyle name="Style 98 2 2 5 4 2" xfId="19841" xr:uid="{FF60A968-7D0A-481D-B753-EDCCD1F960A2}"/>
    <cellStyle name="Style 98 2 2 5 4 2 2" xfId="38267" xr:uid="{9A55E683-8290-4972-8CF4-B5F0B6DFBBFE}"/>
    <cellStyle name="Style 98 2 2 5 4 3" xfId="38266" xr:uid="{64181A14-06DC-42DC-91BF-722A01CA9AA6}"/>
    <cellStyle name="Style 98 2 2 5 5" xfId="19842" xr:uid="{2781824B-A5F2-4B56-9F3D-9AF37572A4E9}"/>
    <cellStyle name="Style 98 2 2 5 5 2" xfId="19843" xr:uid="{B4434AC1-E5E6-4E21-93FA-6992FFEE93B7}"/>
    <cellStyle name="Style 98 2 2 5 5 2 2" xfId="38269" xr:uid="{B12E4F13-0FD8-41E9-A980-F43C2B15C5E2}"/>
    <cellStyle name="Style 98 2 2 5 5 3" xfId="38268" xr:uid="{0B928F5B-AA7A-47CC-8CBC-3047476EB774}"/>
    <cellStyle name="Style 98 2 2 5 6" xfId="19844" xr:uid="{E79DE2BE-FB80-41A9-B567-0386DC9D4A18}"/>
    <cellStyle name="Style 98 2 2 5 6 2" xfId="38270" xr:uid="{0797E9A7-60BA-4E34-A201-7C9E2EE96B6F}"/>
    <cellStyle name="Style 98 2 2 5 7" xfId="19845" xr:uid="{B9C8DC8F-2729-43E2-AB85-1B89FB0C1EFC}"/>
    <cellStyle name="Style 98 2 2 5 7 2" xfId="38271" xr:uid="{900CEB85-791A-4A12-9E04-634FCFAB694A}"/>
    <cellStyle name="Style 98 2 2 6" xfId="19846" xr:uid="{5B20FEB7-6D1E-4EAF-A883-6E0CFC107EFB}"/>
    <cellStyle name="Style 98 2 2 6 2" xfId="19847" xr:uid="{A1F77A52-F5E5-4E87-A45E-022A4E72571F}"/>
    <cellStyle name="Style 98 2 2 6 2 2" xfId="38272" xr:uid="{B379171C-6606-40DB-9AFB-33D7B65CC40A}"/>
    <cellStyle name="Style 98 2 2 6 3" xfId="19848" xr:uid="{57A05B24-C873-4C2C-B742-752FC7FB41F1}"/>
    <cellStyle name="Style 98 2 2 6 3 2" xfId="38273" xr:uid="{5C0CFAEA-5379-40EA-AED2-07A7705DCDE0}"/>
    <cellStyle name="Style 98 2 2 7" xfId="19849" xr:uid="{4E71C2BF-3556-4E8D-9741-1318BAC15381}"/>
    <cellStyle name="Style 98 2 2 7 2" xfId="19850" xr:uid="{439DD796-688E-4C18-9EEB-759A4F4BC00B}"/>
    <cellStyle name="Style 98 2 2 7 2 2" xfId="38275" xr:uid="{96635265-EE89-4762-B06F-7FA5A0BA4FB7}"/>
    <cellStyle name="Style 98 2 2 7 3" xfId="38274" xr:uid="{9956E638-DA9F-4E50-8B1D-C90C8F8B7ACD}"/>
    <cellStyle name="Style 98 2 2 8" xfId="19851" xr:uid="{D9E15520-5501-450E-9472-3B5411C82FDF}"/>
    <cellStyle name="Style 98 2 2 8 2" xfId="19852" xr:uid="{03271013-D46C-41F6-932E-D2407C4DE96A}"/>
    <cellStyle name="Style 98 2 2 8 2 2" xfId="38277" xr:uid="{E3220951-7C34-4CF4-857C-20CA45014C20}"/>
    <cellStyle name="Style 98 2 2 8 3" xfId="38276" xr:uid="{15D235FE-620A-4765-8686-EAEB55FEDED7}"/>
    <cellStyle name="Style 98 2 2 9" xfId="19853" xr:uid="{AE6B9493-5647-49A8-86CA-AF17C18109F9}"/>
    <cellStyle name="Style 98 2 2 9 2" xfId="19854" xr:uid="{1342D1A7-91DA-4C9E-8953-B37EC7D27F4D}"/>
    <cellStyle name="Style 98 2 2 9 2 2" xfId="38279" xr:uid="{508A1D8D-7DE9-450C-AE8F-D13A6A57FE3F}"/>
    <cellStyle name="Style 98 2 2 9 3" xfId="38278" xr:uid="{CBE80DB7-7503-49ED-966E-87701A91C146}"/>
    <cellStyle name="Style 98 2 3" xfId="3850" xr:uid="{B836D269-7BBC-4DEB-83CF-3E2C93531457}"/>
    <cellStyle name="Style 98 2 3 10" xfId="19855" xr:uid="{EAC6F5C4-7BAE-487F-9963-042942BDDAC2}"/>
    <cellStyle name="Style 98 2 3 10 2" xfId="19856" xr:uid="{0825155A-E131-4F76-9F18-2F5C9463A2E9}"/>
    <cellStyle name="Style 98 2 3 10 2 2" xfId="38281" xr:uid="{29061EB7-B5F4-4B21-BCC5-105472638121}"/>
    <cellStyle name="Style 98 2 3 10 3" xfId="38280" xr:uid="{E8B3907C-0D8A-4BC2-AFEC-0FC206681A97}"/>
    <cellStyle name="Style 98 2 3 11" xfId="19857" xr:uid="{7AEB4690-ACA0-44F3-9F3E-FFF0CF020696}"/>
    <cellStyle name="Style 98 2 3 11 2" xfId="38282" xr:uid="{D6E1D5F2-1633-489F-A833-5AC4C2A122C1}"/>
    <cellStyle name="Style 98 2 3 12" xfId="19858" xr:uid="{6293CBE0-5247-48BD-920E-7C3E1A25B803}"/>
    <cellStyle name="Style 98 2 3 12 2" xfId="38283" xr:uid="{C8B439AA-0A66-4508-B614-EC178F6D16DC}"/>
    <cellStyle name="Style 98 2 3 2" xfId="3851" xr:uid="{0122EFAA-34AE-4036-8F7D-EE3B56F340F4}"/>
    <cellStyle name="Style 98 2 3 2 10" xfId="19859" xr:uid="{562BD841-041F-4403-8DD0-6D04A7EF1804}"/>
    <cellStyle name="Style 98 2 3 2 10 2" xfId="38284" xr:uid="{812F1EEE-55A7-4F64-9F62-75F647FC3E08}"/>
    <cellStyle name="Style 98 2 3 2 11" xfId="19860" xr:uid="{7EDC6E83-1098-437F-85A5-ED750D68950C}"/>
    <cellStyle name="Style 98 2 3 2 11 2" xfId="38285" xr:uid="{C84ED9CD-2F85-4502-AD11-78F12D436335}"/>
    <cellStyle name="Style 98 2 3 2 2" xfId="3852" xr:uid="{A506587F-D385-462F-A678-94EA66AC9129}"/>
    <cellStyle name="Style 98 2 3 2 2 2" xfId="7814" xr:uid="{84956710-BF39-4C0D-B1FB-4CE2A2BEF50C}"/>
    <cellStyle name="Style 98 2 3 2 2 2 2" xfId="19861" xr:uid="{7DB83DFF-F712-445A-9B25-A83572E5ACAD}"/>
    <cellStyle name="Style 98 2 3 2 2 2 2 2" xfId="19862" xr:uid="{B87D3736-09A0-48D0-BAAD-7C58FB704815}"/>
    <cellStyle name="Style 98 2 3 2 2 2 2 2 2" xfId="38287" xr:uid="{A1E0A848-11B8-4F63-A847-31F6C3D762B6}"/>
    <cellStyle name="Style 98 2 3 2 2 2 2 3" xfId="38286" xr:uid="{8E871E7B-7B09-4CC6-BC3E-BDCE4249E25E}"/>
    <cellStyle name="Style 98 2 3 2 2 2 3" xfId="19863" xr:uid="{BD97ACE3-FBBC-44E1-B864-901F69C90068}"/>
    <cellStyle name="Style 98 2 3 2 2 2 3 2" xfId="19864" xr:uid="{EF50589F-C55F-453C-993E-D3200D1DFD1E}"/>
    <cellStyle name="Style 98 2 3 2 2 2 3 2 2" xfId="38289" xr:uid="{D73BB064-E53E-43A6-B3AD-76A5F7D3ACCA}"/>
    <cellStyle name="Style 98 2 3 2 2 2 3 3" xfId="38288" xr:uid="{26C67C3F-BB26-481F-B8D6-FCC6380DC595}"/>
    <cellStyle name="Style 98 2 3 2 2 2 4" xfId="19865" xr:uid="{12F3C58F-09D4-42A1-BD7D-A9A1EBFD727C}"/>
    <cellStyle name="Style 98 2 3 2 2 2 4 2" xfId="19866" xr:uid="{9D72967F-2C48-4601-83D1-63B2F8F746D6}"/>
    <cellStyle name="Style 98 2 3 2 2 2 4 2 2" xfId="38291" xr:uid="{DD69BB9A-1638-4DBD-BBA2-71C0C35555E2}"/>
    <cellStyle name="Style 98 2 3 2 2 2 4 3" xfId="38290" xr:uid="{684498D7-216B-457D-B32E-37ECF89BA290}"/>
    <cellStyle name="Style 98 2 3 2 2 2 5" xfId="19867" xr:uid="{84BCDE9D-3678-4045-9E61-1D82B99CF0C7}"/>
    <cellStyle name="Style 98 2 3 2 2 2 5 2" xfId="19868" xr:uid="{86F4FD25-046C-49E6-B42C-282433A4A4BD}"/>
    <cellStyle name="Style 98 2 3 2 2 2 5 2 2" xfId="38293" xr:uid="{CBCC406A-8A60-446D-ACAB-B5817F0FD895}"/>
    <cellStyle name="Style 98 2 3 2 2 2 5 3" xfId="38292" xr:uid="{4EBDE782-530F-43C9-8C56-EFA02B33B7D0}"/>
    <cellStyle name="Style 98 2 3 2 2 2 6" xfId="19869" xr:uid="{41FD7AEB-5D14-4E2B-8F1A-B7A15DBAF04D}"/>
    <cellStyle name="Style 98 2 3 2 2 2 6 2" xfId="38294" xr:uid="{D63C35FB-8B0F-4E6C-93A4-B377439522D2}"/>
    <cellStyle name="Style 98 2 3 2 2 2 7" xfId="19870" xr:uid="{F6C10409-DAE2-44B8-B2DA-4674A84F3FA2}"/>
    <cellStyle name="Style 98 2 3 2 2 2 7 2" xfId="38295" xr:uid="{528BD139-011F-4D5D-9614-CF3EA3EF5853}"/>
    <cellStyle name="Style 98 2 3 2 2 3" xfId="19871" xr:uid="{D59BD727-5F29-45C4-93D4-9286BCF8664A}"/>
    <cellStyle name="Style 98 2 3 2 2 3 2" xfId="19872" xr:uid="{2D41E958-831E-46E0-81B6-9CBB6AED9BD2}"/>
    <cellStyle name="Style 98 2 3 2 2 3 2 2" xfId="38296" xr:uid="{7B08CC61-0165-40A7-837C-CD68F8642DB7}"/>
    <cellStyle name="Style 98 2 3 2 2 3 3" xfId="19873" xr:uid="{CF3517B7-B8E9-4259-9E84-D2EB1D47D720}"/>
    <cellStyle name="Style 98 2 3 2 2 3 3 2" xfId="38297" xr:uid="{68E52ABC-238A-449B-998A-C10567526EB6}"/>
    <cellStyle name="Style 98 2 3 2 2 4" xfId="19874" xr:uid="{E3B8C435-07EC-41E6-98DF-BCA638DB1FD6}"/>
    <cellStyle name="Style 98 2 3 2 2 4 2" xfId="19875" xr:uid="{3B6031A6-38FB-4B6A-9A5C-B95891BA49D6}"/>
    <cellStyle name="Style 98 2 3 2 2 4 2 2" xfId="38299" xr:uid="{76873F8D-93F8-455E-85F2-EB62284C8F2F}"/>
    <cellStyle name="Style 98 2 3 2 2 4 3" xfId="38298" xr:uid="{7DAE739A-720E-4EDB-8F13-FB7E37AEA614}"/>
    <cellStyle name="Style 98 2 3 2 2 5" xfId="19876" xr:uid="{B78794D7-E746-4CC9-B62F-C1397A6554D2}"/>
    <cellStyle name="Style 98 2 3 2 2 5 2" xfId="19877" xr:uid="{42A384B7-5784-4300-B2A5-688D94CBD15F}"/>
    <cellStyle name="Style 98 2 3 2 2 5 2 2" xfId="38301" xr:uid="{4EB293D4-B1F4-49FB-BAAF-39675C10B040}"/>
    <cellStyle name="Style 98 2 3 2 2 5 3" xfId="38300" xr:uid="{D0CD887A-E7AF-4123-A552-B8F4E353311F}"/>
    <cellStyle name="Style 98 2 3 2 2 6" xfId="19878" xr:uid="{4816F9C4-5BE5-41C0-9C92-948C621BC6DD}"/>
    <cellStyle name="Style 98 2 3 2 2 6 2" xfId="19879" xr:uid="{9930E5A9-0327-41E4-9C31-D20867B7A372}"/>
    <cellStyle name="Style 98 2 3 2 2 6 2 2" xfId="38303" xr:uid="{F3846552-9D9B-45C4-B81B-7FDF6C8DAE45}"/>
    <cellStyle name="Style 98 2 3 2 2 6 3" xfId="38302" xr:uid="{82AF4D5B-49F1-4827-AD9B-0A48FB403384}"/>
    <cellStyle name="Style 98 2 3 2 2 7" xfId="19880" xr:uid="{425440EC-28E8-43E5-AA75-D626761A6439}"/>
    <cellStyle name="Style 98 2 3 2 2 7 2" xfId="19881" xr:uid="{6BCF2ACE-1659-46EC-9573-73EF3641FB3E}"/>
    <cellStyle name="Style 98 2 3 2 2 7 2 2" xfId="38305" xr:uid="{4C08D3BD-FB1C-488E-BD81-CE9620396728}"/>
    <cellStyle name="Style 98 2 3 2 2 7 3" xfId="38304" xr:uid="{7981473D-BD07-4712-8B31-7868B6449119}"/>
    <cellStyle name="Style 98 2 3 2 2 8" xfId="19882" xr:uid="{E67B2468-2D6B-4543-BA5C-02C7790A0697}"/>
    <cellStyle name="Style 98 2 3 2 2 8 2" xfId="38306" xr:uid="{31F1B3C5-3BDB-454C-B54B-0159AFF8EFA4}"/>
    <cellStyle name="Style 98 2 3 2 2 9" xfId="19883" xr:uid="{BAAD407F-0284-40B2-BA11-B6E0307CA312}"/>
    <cellStyle name="Style 98 2 3 2 2 9 2" xfId="38307" xr:uid="{54B22D50-DFBD-4061-9FA2-B967ADDF2667}"/>
    <cellStyle name="Style 98 2 3 2 3" xfId="7813" xr:uid="{44513785-9891-48EB-85CE-4D707F84AACE}"/>
    <cellStyle name="Style 98 2 3 2 3 2" xfId="19884" xr:uid="{42CAB635-4FE9-43F1-A2DB-2E7FF2015790}"/>
    <cellStyle name="Style 98 2 3 2 3 2 2" xfId="19885" xr:uid="{4C615832-1DD9-4BFD-A5FD-3B849F0A8D14}"/>
    <cellStyle name="Style 98 2 3 2 3 2 2 2" xfId="38309" xr:uid="{A06E6928-4335-4B74-93D5-B5A24172B731}"/>
    <cellStyle name="Style 98 2 3 2 3 2 3" xfId="38308" xr:uid="{91300337-D887-4C40-8095-297830A0D8AD}"/>
    <cellStyle name="Style 98 2 3 2 3 3" xfId="19886" xr:uid="{ECC4B32D-E424-49BC-894A-D98F7A380319}"/>
    <cellStyle name="Style 98 2 3 2 3 3 2" xfId="19887" xr:uid="{83DE90EB-204F-44B5-87B2-6C9C38D10C80}"/>
    <cellStyle name="Style 98 2 3 2 3 3 2 2" xfId="38311" xr:uid="{1F346CE8-470C-4884-9044-8A240D36FF5C}"/>
    <cellStyle name="Style 98 2 3 2 3 3 3" xfId="38310" xr:uid="{79C8C607-BFDA-4F01-82A9-6197AB695C83}"/>
    <cellStyle name="Style 98 2 3 2 3 4" xfId="19888" xr:uid="{872543CF-3F29-46C6-9128-3FDACCB95B41}"/>
    <cellStyle name="Style 98 2 3 2 3 4 2" xfId="19889" xr:uid="{9CF5D969-DC9E-43A2-990C-A3D8CAAAB22C}"/>
    <cellStyle name="Style 98 2 3 2 3 4 2 2" xfId="38313" xr:uid="{4925D974-D5D5-43BC-8616-0603EC1354E2}"/>
    <cellStyle name="Style 98 2 3 2 3 4 3" xfId="38312" xr:uid="{DA941515-1B91-4B42-8190-E8334ACEF4A7}"/>
    <cellStyle name="Style 98 2 3 2 3 5" xfId="19890" xr:uid="{1763EB98-001A-4C25-9D0E-A92C265D031E}"/>
    <cellStyle name="Style 98 2 3 2 3 5 2" xfId="19891" xr:uid="{8D873A89-73C0-4056-B3CE-D88380CF1487}"/>
    <cellStyle name="Style 98 2 3 2 3 5 2 2" xfId="38315" xr:uid="{EB649E66-9B94-47D2-9FCB-67A8FD9DA272}"/>
    <cellStyle name="Style 98 2 3 2 3 5 3" xfId="38314" xr:uid="{8BCF1BCA-C37F-4EFA-8778-2C7AA1E96261}"/>
    <cellStyle name="Style 98 2 3 2 3 6" xfId="19892" xr:uid="{58E7C0DF-85C8-4375-88A7-CF58DA186A4A}"/>
    <cellStyle name="Style 98 2 3 2 3 6 2" xfId="38316" xr:uid="{4CA6C3F8-776E-43C0-AFC7-E285A67D6182}"/>
    <cellStyle name="Style 98 2 3 2 3 7" xfId="19893" xr:uid="{19BB2822-1A36-4081-A694-048B75EB5783}"/>
    <cellStyle name="Style 98 2 3 2 3 7 2" xfId="38317" xr:uid="{D45804F0-753C-4E0E-B330-EA50C34AE1CD}"/>
    <cellStyle name="Style 98 2 3 2 4" xfId="19894" xr:uid="{ED827448-8514-4291-AD47-1661B3E4D306}"/>
    <cellStyle name="Style 98 2 3 2 4 2" xfId="19895" xr:uid="{58D3AE0D-D396-44A1-9065-23C3A82DE3A7}"/>
    <cellStyle name="Style 98 2 3 2 4 2 2" xfId="38318" xr:uid="{2450D8B0-BAF5-4DB2-9DAD-5B8D068C9AFC}"/>
    <cellStyle name="Style 98 2 3 2 4 3" xfId="19896" xr:uid="{D241914E-0A20-4042-A245-99722BE8E23B}"/>
    <cellStyle name="Style 98 2 3 2 4 3 2" xfId="38319" xr:uid="{52B61A8D-5BB9-4A65-8789-97A1F00641B0}"/>
    <cellStyle name="Style 98 2 3 2 5" xfId="19897" xr:uid="{BE1BB728-8CF3-4831-863A-03CFF3B6F319}"/>
    <cellStyle name="Style 98 2 3 2 5 2" xfId="19898" xr:uid="{D1E20104-31D9-4B2C-B3F1-553D83D20377}"/>
    <cellStyle name="Style 98 2 3 2 5 2 2" xfId="38321" xr:uid="{EF52067C-B373-49A7-8828-FAEF1AEB15CB}"/>
    <cellStyle name="Style 98 2 3 2 5 3" xfId="38320" xr:uid="{B91B756B-CC65-41E1-A0AC-E899E0E8EE36}"/>
    <cellStyle name="Style 98 2 3 2 6" xfId="19899" xr:uid="{3E2D78BE-1D64-4FAE-BF28-4C4CE291AB40}"/>
    <cellStyle name="Style 98 2 3 2 6 2" xfId="19900" xr:uid="{3EF75ED6-6461-455E-A882-E636A8A2D8E8}"/>
    <cellStyle name="Style 98 2 3 2 6 2 2" xfId="38323" xr:uid="{0022A19D-1FCC-4787-8C8D-F529E627B3FA}"/>
    <cellStyle name="Style 98 2 3 2 6 3" xfId="38322" xr:uid="{499149A3-E35E-4A72-AF1B-45E4909149FA}"/>
    <cellStyle name="Style 98 2 3 2 7" xfId="19901" xr:uid="{640F2B42-7FAC-4CF3-BFF5-B158260AD6A4}"/>
    <cellStyle name="Style 98 2 3 2 7 2" xfId="19902" xr:uid="{D1C5E771-7872-44EB-B958-FC274269FD42}"/>
    <cellStyle name="Style 98 2 3 2 7 2 2" xfId="38325" xr:uid="{30C1AFC1-A1E7-4965-B6F2-2BE6E4F92EDC}"/>
    <cellStyle name="Style 98 2 3 2 7 3" xfId="38324" xr:uid="{CE215A9D-0427-4BCE-AAE5-DCD1D5C33886}"/>
    <cellStyle name="Style 98 2 3 2 8" xfId="19903" xr:uid="{B42FE2B9-18EE-48F3-9EA9-37906ED38428}"/>
    <cellStyle name="Style 98 2 3 2 8 2" xfId="19904" xr:uid="{1C3D6155-6BAC-4C25-9293-13C17DE89D23}"/>
    <cellStyle name="Style 98 2 3 2 8 2 2" xfId="38327" xr:uid="{7AB87714-4D51-43C3-98C5-1C7D9B8806AE}"/>
    <cellStyle name="Style 98 2 3 2 8 3" xfId="38326" xr:uid="{37984D2D-F2A6-4FDB-88A1-79029171F67D}"/>
    <cellStyle name="Style 98 2 3 2 9" xfId="19905" xr:uid="{7B285B73-23D0-4A5A-A405-AC7C833FB882}"/>
    <cellStyle name="Style 98 2 3 2 9 2" xfId="19906" xr:uid="{ADFC3032-5250-4D00-856C-F40B7776593C}"/>
    <cellStyle name="Style 98 2 3 2 9 2 2" xfId="38329" xr:uid="{62832CAA-7484-464D-B528-41C9A58856F7}"/>
    <cellStyle name="Style 98 2 3 2 9 3" xfId="38328" xr:uid="{BCFEF153-6ED8-41FF-9964-171FA10AB426}"/>
    <cellStyle name="Style 98 2 3 3" xfId="3853" xr:uid="{E579AE8E-C509-4FCA-BFA7-09F646D697FC}"/>
    <cellStyle name="Style 98 2 3 3 2" xfId="7815" xr:uid="{9F6DE3C8-314C-4003-9C92-58BC04B07A8A}"/>
    <cellStyle name="Style 98 2 3 3 2 2" xfId="19907" xr:uid="{1E93FC7C-617C-4799-B6C0-6564DFB8645B}"/>
    <cellStyle name="Style 98 2 3 3 2 2 2" xfId="19908" xr:uid="{DCAD3133-72B6-4575-A524-65DCCE50EB74}"/>
    <cellStyle name="Style 98 2 3 3 2 2 2 2" xfId="38331" xr:uid="{86B33C44-29AF-495A-AD76-E9FEE3D027E7}"/>
    <cellStyle name="Style 98 2 3 3 2 2 3" xfId="38330" xr:uid="{E5D0D25A-A60C-45E1-A8B7-56D4C00D88C8}"/>
    <cellStyle name="Style 98 2 3 3 2 3" xfId="19909" xr:uid="{4E5E5E39-77AF-4306-881E-92B0972004C5}"/>
    <cellStyle name="Style 98 2 3 3 2 3 2" xfId="19910" xr:uid="{9983A40D-BB6A-4AF4-AAFD-80D61AC0C840}"/>
    <cellStyle name="Style 98 2 3 3 2 3 2 2" xfId="38333" xr:uid="{B3AF1857-FFC3-4FC9-9B81-B5EC75409D98}"/>
    <cellStyle name="Style 98 2 3 3 2 3 3" xfId="38332" xr:uid="{060751D0-F878-426D-8F22-805159C60860}"/>
    <cellStyle name="Style 98 2 3 3 2 4" xfId="19911" xr:uid="{198A05D5-CE56-407D-B74F-8F694A616BB4}"/>
    <cellStyle name="Style 98 2 3 3 2 4 2" xfId="19912" xr:uid="{A8AC8C8E-7C74-4109-A787-98F27B5180F5}"/>
    <cellStyle name="Style 98 2 3 3 2 4 2 2" xfId="38335" xr:uid="{34F634AA-85B1-410E-A188-F824335F382C}"/>
    <cellStyle name="Style 98 2 3 3 2 4 3" xfId="38334" xr:uid="{605874DF-3AB7-4AC6-90FD-CC57B2520E98}"/>
    <cellStyle name="Style 98 2 3 3 2 5" xfId="19913" xr:uid="{CC23BAE3-D904-4E9D-A51D-62F964D033E6}"/>
    <cellStyle name="Style 98 2 3 3 2 5 2" xfId="19914" xr:uid="{37F3FFF1-0D04-475C-8CC5-65FFD5BDD6F4}"/>
    <cellStyle name="Style 98 2 3 3 2 5 2 2" xfId="38337" xr:uid="{D87CD558-46B6-4D02-B769-506762F08E74}"/>
    <cellStyle name="Style 98 2 3 3 2 5 3" xfId="38336" xr:uid="{7119627D-1455-4E32-A7CA-DE641AFE9E2D}"/>
    <cellStyle name="Style 98 2 3 3 2 6" xfId="19915" xr:uid="{5B702002-F5DD-47C3-BC68-78F84A901264}"/>
    <cellStyle name="Style 98 2 3 3 2 6 2" xfId="38338" xr:uid="{90B9D018-1D78-417C-8AC1-7FBFF70B231F}"/>
    <cellStyle name="Style 98 2 3 3 2 7" xfId="19916" xr:uid="{185D099E-5BB5-4611-877A-1EFDEB35251D}"/>
    <cellStyle name="Style 98 2 3 3 2 7 2" xfId="38339" xr:uid="{9F352695-6D66-48F5-9145-14E1F67CF297}"/>
    <cellStyle name="Style 98 2 3 3 3" xfId="19917" xr:uid="{A761B6E3-233E-4962-8D47-84E9032D9A80}"/>
    <cellStyle name="Style 98 2 3 3 3 2" xfId="19918" xr:uid="{45687BA1-88E2-4434-9875-CF3451E63168}"/>
    <cellStyle name="Style 98 2 3 3 3 2 2" xfId="38340" xr:uid="{63313496-011E-497A-8C5C-30D0ADF9408B}"/>
    <cellStyle name="Style 98 2 3 3 3 3" xfId="19919" xr:uid="{DBF76D64-132C-47B6-9F6B-5759EC223C54}"/>
    <cellStyle name="Style 98 2 3 3 3 3 2" xfId="38341" xr:uid="{87F25640-67BD-4CA2-91C3-AFB55ECC8A75}"/>
    <cellStyle name="Style 98 2 3 3 4" xfId="19920" xr:uid="{1E06FEB1-305D-490F-81B5-2C4C1D1368C9}"/>
    <cellStyle name="Style 98 2 3 3 4 2" xfId="19921" xr:uid="{4DD1751F-6895-4172-9A22-7807184625A0}"/>
    <cellStyle name="Style 98 2 3 3 4 2 2" xfId="38343" xr:uid="{26AF80EA-50D3-4739-A6BB-5A1DC60FF291}"/>
    <cellStyle name="Style 98 2 3 3 4 3" xfId="38342" xr:uid="{5F26516E-669B-4BD5-9FE9-1DB802E940EB}"/>
    <cellStyle name="Style 98 2 3 3 5" xfId="19922" xr:uid="{9AD7242D-A824-4F69-B329-B48AD4D7D3A7}"/>
    <cellStyle name="Style 98 2 3 3 5 2" xfId="19923" xr:uid="{DACCA339-1FD6-4AE1-8D4D-0EAB62D06B6D}"/>
    <cellStyle name="Style 98 2 3 3 5 2 2" xfId="38345" xr:uid="{27F5F6E6-3744-4CE3-BD6F-C68F252BB874}"/>
    <cellStyle name="Style 98 2 3 3 5 3" xfId="38344" xr:uid="{CC7FC061-4FF6-4D76-9C42-B789ADFC0B89}"/>
    <cellStyle name="Style 98 2 3 3 6" xfId="19924" xr:uid="{7ADE3430-E347-4724-814B-F08AAFA1A600}"/>
    <cellStyle name="Style 98 2 3 3 6 2" xfId="19925" xr:uid="{83B9DCDF-6B07-4B68-92DE-90DBC77411CF}"/>
    <cellStyle name="Style 98 2 3 3 6 2 2" xfId="38347" xr:uid="{B56A436C-E74F-4A47-A43E-39BC3B8768B9}"/>
    <cellStyle name="Style 98 2 3 3 6 3" xfId="38346" xr:uid="{A5857002-46DC-44B1-9671-5961E11FAA38}"/>
    <cellStyle name="Style 98 2 3 3 7" xfId="19926" xr:uid="{D25A3F0F-B758-414F-A342-7A026DFB48B3}"/>
    <cellStyle name="Style 98 2 3 3 7 2" xfId="19927" xr:uid="{6E4BAA6D-CCF1-4823-AA9C-B270CAE83DDD}"/>
    <cellStyle name="Style 98 2 3 3 7 2 2" xfId="38349" xr:uid="{9BD8DBEF-92BB-4C91-B9F7-78951049A6A5}"/>
    <cellStyle name="Style 98 2 3 3 7 3" xfId="38348" xr:uid="{1BBCF659-B1E7-4AED-BAE5-4EEB50BE4986}"/>
    <cellStyle name="Style 98 2 3 3 8" xfId="19928" xr:uid="{A76CE15F-86DC-4D7E-B299-DAF7447AA8A2}"/>
    <cellStyle name="Style 98 2 3 3 8 2" xfId="38350" xr:uid="{2AA15D3C-A162-409A-A4AE-A60B0525B087}"/>
    <cellStyle name="Style 98 2 3 3 9" xfId="19929" xr:uid="{EADE2624-402A-4A8D-8F55-691489B1E875}"/>
    <cellStyle name="Style 98 2 3 3 9 2" xfId="38351" xr:uid="{C690D5B9-8753-4450-8551-BB9D8FE9BA43}"/>
    <cellStyle name="Style 98 2 3 4" xfId="7812" xr:uid="{7C7DB7D5-631F-4FD5-9F75-FF00D6CDF5BF}"/>
    <cellStyle name="Style 98 2 3 4 2" xfId="19930" xr:uid="{C24BB4AB-06B6-43A6-ABEA-7A1E6B99D4A0}"/>
    <cellStyle name="Style 98 2 3 4 2 2" xfId="19931" xr:uid="{28934160-3D91-4421-A432-E4B3CB8FDF6B}"/>
    <cellStyle name="Style 98 2 3 4 2 2 2" xfId="38353" xr:uid="{10E6F4C6-6249-4B1C-B89E-4A78606639A0}"/>
    <cellStyle name="Style 98 2 3 4 2 3" xfId="38352" xr:uid="{93508C37-5F9B-4A35-A945-3C4918912A29}"/>
    <cellStyle name="Style 98 2 3 4 3" xfId="19932" xr:uid="{E77A5683-C0F0-4EC6-9924-CA4E6933C3E3}"/>
    <cellStyle name="Style 98 2 3 4 3 2" xfId="19933" xr:uid="{0CAC44CA-E367-495E-AD44-5E2BAE1823EE}"/>
    <cellStyle name="Style 98 2 3 4 3 2 2" xfId="38355" xr:uid="{1102D7F6-95BD-4FD1-A44D-281E478209AB}"/>
    <cellStyle name="Style 98 2 3 4 3 3" xfId="38354" xr:uid="{22236F11-14BA-4E2C-A287-74C624611DC2}"/>
    <cellStyle name="Style 98 2 3 4 4" xfId="19934" xr:uid="{FB7F858D-3F1F-4DD9-8399-D7FE06FAF7C7}"/>
    <cellStyle name="Style 98 2 3 4 4 2" xfId="19935" xr:uid="{4407759C-B1BF-4C6F-AD62-6D0AA73643D6}"/>
    <cellStyle name="Style 98 2 3 4 4 2 2" xfId="38357" xr:uid="{1B81FD06-9BDB-4B94-9752-988FA06C7E84}"/>
    <cellStyle name="Style 98 2 3 4 4 3" xfId="38356" xr:uid="{85AC0682-E17D-4F80-8377-5205D8166A95}"/>
    <cellStyle name="Style 98 2 3 4 5" xfId="19936" xr:uid="{A182FFC2-93E4-457A-9AF4-6FF6DD04D8B1}"/>
    <cellStyle name="Style 98 2 3 4 5 2" xfId="19937" xr:uid="{7186A4D4-AC5D-44D2-80EE-6F72B31FE799}"/>
    <cellStyle name="Style 98 2 3 4 5 2 2" xfId="38359" xr:uid="{EBEB1CBF-2A2B-43D9-8265-E08D445FD292}"/>
    <cellStyle name="Style 98 2 3 4 5 3" xfId="38358" xr:uid="{5A1029A3-82BA-4C97-838E-5F4070D201B1}"/>
    <cellStyle name="Style 98 2 3 4 6" xfId="19938" xr:uid="{C3763009-D1D4-4E2A-B255-9144871EDB1F}"/>
    <cellStyle name="Style 98 2 3 4 6 2" xfId="38360" xr:uid="{E951465B-0794-45C2-A572-E3F31F26FFA9}"/>
    <cellStyle name="Style 98 2 3 4 7" xfId="19939" xr:uid="{8AE8A727-AD07-4692-ACCB-D2B7D8D4545B}"/>
    <cellStyle name="Style 98 2 3 4 7 2" xfId="38361" xr:uid="{9D4559DD-CC50-4BA9-B651-52C23936DC36}"/>
    <cellStyle name="Style 98 2 3 5" xfId="19940" xr:uid="{4EEEC561-81AF-469C-AB49-B1AB6EE2AACC}"/>
    <cellStyle name="Style 98 2 3 5 2" xfId="19941" xr:uid="{FA058818-1EC2-4F75-AEDC-30A385F0207F}"/>
    <cellStyle name="Style 98 2 3 5 2 2" xfId="38362" xr:uid="{8A94EF87-AAC3-4B22-B379-216D58CF156D}"/>
    <cellStyle name="Style 98 2 3 5 3" xfId="19942" xr:uid="{995D0D06-903C-49BA-ADA9-849A85C5E623}"/>
    <cellStyle name="Style 98 2 3 5 3 2" xfId="38363" xr:uid="{DDDF8093-83DD-4963-B6F3-2C3F05298151}"/>
    <cellStyle name="Style 98 2 3 6" xfId="19943" xr:uid="{A1B3D59C-95F3-428E-83CC-1B7F3F2601FC}"/>
    <cellStyle name="Style 98 2 3 6 2" xfId="19944" xr:uid="{F324465C-66F8-458F-9065-460D1C333CBF}"/>
    <cellStyle name="Style 98 2 3 6 2 2" xfId="38365" xr:uid="{56FDC8A1-C3E7-4DA8-9CC8-FC48452DC0F4}"/>
    <cellStyle name="Style 98 2 3 6 3" xfId="38364" xr:uid="{BCF347E5-8828-40DB-969D-11D02C87C984}"/>
    <cellStyle name="Style 98 2 3 7" xfId="19945" xr:uid="{97E3F525-D22E-4E45-A546-C42859B17C58}"/>
    <cellStyle name="Style 98 2 3 7 2" xfId="19946" xr:uid="{B7BB31A9-D93B-4D50-A5CB-F539F53B864F}"/>
    <cellStyle name="Style 98 2 3 7 2 2" xfId="38367" xr:uid="{64DA62F9-876A-4BDA-87F3-DE3D52F60B1C}"/>
    <cellStyle name="Style 98 2 3 7 3" xfId="38366" xr:uid="{DE227A19-DF1B-4CF6-A910-F814FEDFA69B}"/>
    <cellStyle name="Style 98 2 3 8" xfId="19947" xr:uid="{2B6E97AA-8B48-4D95-AF0A-F12F9E6F360D}"/>
    <cellStyle name="Style 98 2 3 8 2" xfId="19948" xr:uid="{E0BF9CF1-C562-4A22-A102-B8F0AA28FC09}"/>
    <cellStyle name="Style 98 2 3 8 2 2" xfId="38369" xr:uid="{26AF41AA-0FE9-4C14-856B-155FF8CAF8C1}"/>
    <cellStyle name="Style 98 2 3 8 3" xfId="38368" xr:uid="{713DF464-32DC-4716-B90F-464A110A3893}"/>
    <cellStyle name="Style 98 2 3 9" xfId="19949" xr:uid="{596C6C32-CF31-4B16-A83F-05E36E59FE7C}"/>
    <cellStyle name="Style 98 2 3 9 2" xfId="19950" xr:uid="{01DDD0BA-11BF-4A83-8B32-73F955CE3F3F}"/>
    <cellStyle name="Style 98 2 3 9 2 2" xfId="38371" xr:uid="{5CA9BA66-CECF-4729-97F4-ADCBD63C43A3}"/>
    <cellStyle name="Style 98 2 3 9 3" xfId="38370" xr:uid="{B044EDA0-18DA-4566-9DC9-0F5DD6DBBCCF}"/>
    <cellStyle name="Style 98 2 4" xfId="3854" xr:uid="{8E4C22EB-4378-4299-BC7B-59FB1C0AEFA4}"/>
    <cellStyle name="Style 98 2 4 10" xfId="19951" xr:uid="{61781521-745F-432E-817A-1CBAFF2F2D7A}"/>
    <cellStyle name="Style 98 2 4 10 2" xfId="38372" xr:uid="{6FFBF2C8-42EE-4592-A897-574176DD18C1}"/>
    <cellStyle name="Style 98 2 4 11" xfId="19952" xr:uid="{13B22BEA-BB41-4A40-9244-3351BB0661CF}"/>
    <cellStyle name="Style 98 2 4 11 2" xfId="38373" xr:uid="{61C8E3DD-83C1-4EF9-81E5-85A73D658812}"/>
    <cellStyle name="Style 98 2 4 2" xfId="3855" xr:uid="{4CD5C876-E8DB-4ED3-881B-B08328230EFE}"/>
    <cellStyle name="Style 98 2 4 2 2" xfId="7817" xr:uid="{8DC21557-C770-4DCC-B42A-AECFFF4D1F1A}"/>
    <cellStyle name="Style 98 2 4 2 2 2" xfId="19953" xr:uid="{AFCF2F1B-60A5-4D74-A890-FBC18E9DE7D2}"/>
    <cellStyle name="Style 98 2 4 2 2 2 2" xfId="19954" xr:uid="{4D44D2A3-F4D9-44DC-A058-FC7AB15A08D0}"/>
    <cellStyle name="Style 98 2 4 2 2 2 2 2" xfId="38375" xr:uid="{372A53CA-95E5-4B68-A5F5-DF0B21E6144E}"/>
    <cellStyle name="Style 98 2 4 2 2 2 3" xfId="38374" xr:uid="{DF5C9523-3679-4565-A229-91125ED0606C}"/>
    <cellStyle name="Style 98 2 4 2 2 3" xfId="19955" xr:uid="{120E6C70-B15F-4296-B9D5-C014061001F8}"/>
    <cellStyle name="Style 98 2 4 2 2 3 2" xfId="19956" xr:uid="{7AE4B7D3-1064-4F90-A4F1-5A0EF1DDF553}"/>
    <cellStyle name="Style 98 2 4 2 2 3 2 2" xfId="38377" xr:uid="{F655EA80-6187-45E2-9AE1-E6B149A1AE30}"/>
    <cellStyle name="Style 98 2 4 2 2 3 3" xfId="38376" xr:uid="{15955087-1A0F-4C18-961E-59A373ECAC1D}"/>
    <cellStyle name="Style 98 2 4 2 2 4" xfId="19957" xr:uid="{6A25FABA-4327-44B9-8EAE-6B4190F4A89A}"/>
    <cellStyle name="Style 98 2 4 2 2 4 2" xfId="19958" xr:uid="{21E685E9-71E1-4A05-B0D4-483DC8721735}"/>
    <cellStyle name="Style 98 2 4 2 2 4 2 2" xfId="38379" xr:uid="{F0E15C6F-9A8F-436B-B6A2-049E9F20E709}"/>
    <cellStyle name="Style 98 2 4 2 2 4 3" xfId="38378" xr:uid="{D59ED52F-E97E-4991-8170-6994E06D0BBA}"/>
    <cellStyle name="Style 98 2 4 2 2 5" xfId="19959" xr:uid="{27BA3341-1A78-49D2-A8A4-7C2DFD790B04}"/>
    <cellStyle name="Style 98 2 4 2 2 5 2" xfId="19960" xr:uid="{8A294C50-6E94-4006-80FB-27CE66BC2A0D}"/>
    <cellStyle name="Style 98 2 4 2 2 5 2 2" xfId="38381" xr:uid="{85785E05-400A-443A-BBAE-00036D91C97A}"/>
    <cellStyle name="Style 98 2 4 2 2 5 3" xfId="38380" xr:uid="{086AD711-3104-4F7C-9E2F-80C6B8F63913}"/>
    <cellStyle name="Style 98 2 4 2 2 6" xfId="19961" xr:uid="{DEAD40C3-DA25-4295-8224-42203BFA584F}"/>
    <cellStyle name="Style 98 2 4 2 2 6 2" xfId="38382" xr:uid="{634E7E4F-5366-44BD-B885-E8F5AE722624}"/>
    <cellStyle name="Style 98 2 4 2 2 7" xfId="19962" xr:uid="{E4E00DB5-4E7D-4930-A413-D9AD3502B5E5}"/>
    <cellStyle name="Style 98 2 4 2 2 7 2" xfId="38383" xr:uid="{84C81F2E-849A-4D51-87AF-0F6F60344239}"/>
    <cellStyle name="Style 98 2 4 2 3" xfId="19963" xr:uid="{83114C0F-B701-4133-83AB-5C358DF339C4}"/>
    <cellStyle name="Style 98 2 4 2 3 2" xfId="19964" xr:uid="{54489012-D33C-4789-8F0C-B925B6A6CC86}"/>
    <cellStyle name="Style 98 2 4 2 3 2 2" xfId="38384" xr:uid="{E4E4D4ED-1FF3-4219-9CED-57A0A75A3815}"/>
    <cellStyle name="Style 98 2 4 2 3 3" xfId="19965" xr:uid="{93BD2845-CEE5-47CE-8063-952ED7F1130B}"/>
    <cellStyle name="Style 98 2 4 2 3 3 2" xfId="38385" xr:uid="{040594FF-26FF-4427-9840-E68A83EEB9EF}"/>
    <cellStyle name="Style 98 2 4 2 4" xfId="19966" xr:uid="{DCE2B028-7F4B-4415-A8E5-3E85F5215E37}"/>
    <cellStyle name="Style 98 2 4 2 4 2" xfId="19967" xr:uid="{90DABA4D-1398-4D59-9A2F-03854F5B1668}"/>
    <cellStyle name="Style 98 2 4 2 4 2 2" xfId="38387" xr:uid="{4D2044D9-6F4F-4829-9AB9-8F2F470D4B54}"/>
    <cellStyle name="Style 98 2 4 2 4 3" xfId="38386" xr:uid="{C99F5883-011F-4A56-BC51-93A4D2CDB4C7}"/>
    <cellStyle name="Style 98 2 4 2 5" xfId="19968" xr:uid="{A56DDD22-49F6-44B2-A46E-8A3BB9831587}"/>
    <cellStyle name="Style 98 2 4 2 5 2" xfId="19969" xr:uid="{FE0F62B5-5AB2-403F-A519-F69370546337}"/>
    <cellStyle name="Style 98 2 4 2 5 2 2" xfId="38389" xr:uid="{8267A25A-77C1-4854-A6CD-C039E0D7D1B3}"/>
    <cellStyle name="Style 98 2 4 2 5 3" xfId="38388" xr:uid="{99EF0D29-8848-4232-BDA1-AF7D30143C59}"/>
    <cellStyle name="Style 98 2 4 2 6" xfId="19970" xr:uid="{6B00FEA6-9BA6-4076-A01C-AC31998D2E5A}"/>
    <cellStyle name="Style 98 2 4 2 6 2" xfId="19971" xr:uid="{BCFE65C9-5CEC-4C90-884D-1B2F2603EC7E}"/>
    <cellStyle name="Style 98 2 4 2 6 2 2" xfId="38391" xr:uid="{AFCC1013-B26C-4C4C-8BA4-A5C8574A5AFE}"/>
    <cellStyle name="Style 98 2 4 2 6 3" xfId="38390" xr:uid="{80BD1E3C-F631-4453-8FDE-52CBFE954C5A}"/>
    <cellStyle name="Style 98 2 4 2 7" xfId="19972" xr:uid="{6FC2A42A-7530-4853-88C2-02505B3CBF0E}"/>
    <cellStyle name="Style 98 2 4 2 7 2" xfId="19973" xr:uid="{AC283722-C26B-4489-A6B2-A83AF2E80974}"/>
    <cellStyle name="Style 98 2 4 2 7 2 2" xfId="38393" xr:uid="{079EDAD2-C6EF-456E-A9A6-5FA60DE0FDCF}"/>
    <cellStyle name="Style 98 2 4 2 7 3" xfId="38392" xr:uid="{C871E53D-E78C-4AD3-963A-FE6EA5DD5327}"/>
    <cellStyle name="Style 98 2 4 2 8" xfId="19974" xr:uid="{45E2D984-0EBB-408F-A8A4-1BA75344D15C}"/>
    <cellStyle name="Style 98 2 4 2 8 2" xfId="38394" xr:uid="{BDB52D77-3188-4A4C-B189-CA309F8EA888}"/>
    <cellStyle name="Style 98 2 4 2 9" xfId="19975" xr:uid="{A01AE20B-1307-4B39-BBA5-3A8BBC725599}"/>
    <cellStyle name="Style 98 2 4 2 9 2" xfId="38395" xr:uid="{97C97D67-B575-4348-B8F3-BB8872007203}"/>
    <cellStyle name="Style 98 2 4 3" xfId="7816" xr:uid="{60CA7E6B-6024-414F-AB63-9B402A96F183}"/>
    <cellStyle name="Style 98 2 4 3 2" xfId="19976" xr:uid="{60EBF228-7B32-404E-A9FC-A5C58A44F187}"/>
    <cellStyle name="Style 98 2 4 3 2 2" xfId="19977" xr:uid="{EEF24601-FF8A-42B6-878E-81EC2B5A5520}"/>
    <cellStyle name="Style 98 2 4 3 2 2 2" xfId="38397" xr:uid="{B6FD60AF-E80B-44AB-929D-0A1B4EBEDE94}"/>
    <cellStyle name="Style 98 2 4 3 2 3" xfId="38396" xr:uid="{6ABE50AD-4158-49BA-BC7F-E4BCE55550E1}"/>
    <cellStyle name="Style 98 2 4 3 3" xfId="19978" xr:uid="{82E3E22F-FC9B-4B9A-AC33-7BB0CC8AF704}"/>
    <cellStyle name="Style 98 2 4 3 3 2" xfId="19979" xr:uid="{80E6EB71-E85C-40DE-8785-C6BDBAFC8706}"/>
    <cellStyle name="Style 98 2 4 3 3 2 2" xfId="38399" xr:uid="{E40B4408-A7F4-4D23-A85C-0F2141CA1CA0}"/>
    <cellStyle name="Style 98 2 4 3 3 3" xfId="38398" xr:uid="{98DD6F4D-7142-4EC0-BDDF-C3237A16EAD7}"/>
    <cellStyle name="Style 98 2 4 3 4" xfId="19980" xr:uid="{C79979E4-D7A1-4A9A-9258-E79C7BFA80B1}"/>
    <cellStyle name="Style 98 2 4 3 4 2" xfId="19981" xr:uid="{35338165-33E6-4948-8783-15E5371B5339}"/>
    <cellStyle name="Style 98 2 4 3 4 2 2" xfId="38401" xr:uid="{593A028D-91C9-48D8-B59A-F6D62D1F2675}"/>
    <cellStyle name="Style 98 2 4 3 4 3" xfId="38400" xr:uid="{86A8DA55-9E43-489F-AF3C-F9AD7840EBD3}"/>
    <cellStyle name="Style 98 2 4 3 5" xfId="19982" xr:uid="{543D71EE-6FB8-4035-8F3E-EFC39C1BD85A}"/>
    <cellStyle name="Style 98 2 4 3 5 2" xfId="19983" xr:uid="{7FC34CEA-BA34-4F66-9BF6-6EC521FD1A46}"/>
    <cellStyle name="Style 98 2 4 3 5 2 2" xfId="38403" xr:uid="{C59DBC09-98FF-4B43-9B12-5BE0ED454FEA}"/>
    <cellStyle name="Style 98 2 4 3 5 3" xfId="38402" xr:uid="{0DF49BF7-3F19-4F4B-A2D1-BBA00651AF5D}"/>
    <cellStyle name="Style 98 2 4 3 6" xfId="19984" xr:uid="{AD75FEBA-5A81-4B24-B6C5-5A92BDFB0C54}"/>
    <cellStyle name="Style 98 2 4 3 6 2" xfId="38404" xr:uid="{A56B4E26-0EAF-44E3-8A20-3E2A1B4DB970}"/>
    <cellStyle name="Style 98 2 4 3 7" xfId="19985" xr:uid="{2AA1477F-1883-4987-A2A4-0ADC0C22EA27}"/>
    <cellStyle name="Style 98 2 4 3 7 2" xfId="38405" xr:uid="{ABC96324-02E3-40D3-9034-1479FB8B5B4F}"/>
    <cellStyle name="Style 98 2 4 4" xfId="19986" xr:uid="{8AF84501-F2AD-4E26-80B6-5C9AB82B34F9}"/>
    <cellStyle name="Style 98 2 4 4 2" xfId="19987" xr:uid="{AEE6F638-213E-49AD-8907-C5BB44529F1A}"/>
    <cellStyle name="Style 98 2 4 4 2 2" xfId="38406" xr:uid="{721E36B4-90C4-48E1-8757-46B22DC8F7FE}"/>
    <cellStyle name="Style 98 2 4 4 3" xfId="19988" xr:uid="{128DA244-96CE-49F1-93A6-1E694661C61A}"/>
    <cellStyle name="Style 98 2 4 4 3 2" xfId="38407" xr:uid="{3567D098-4A1C-4716-95A6-D2BF8D32DADA}"/>
    <cellStyle name="Style 98 2 4 5" xfId="19989" xr:uid="{9B0C6D9A-0565-46EF-8870-99B8EEC5DB8B}"/>
    <cellStyle name="Style 98 2 4 5 2" xfId="19990" xr:uid="{33FA3D71-F633-4069-88BD-4828B3C0BC71}"/>
    <cellStyle name="Style 98 2 4 5 2 2" xfId="38409" xr:uid="{C9A73979-33FA-4F51-8D18-3EA19B19E8B4}"/>
    <cellStyle name="Style 98 2 4 5 3" xfId="38408" xr:uid="{6F7F6B77-7FE8-4FEF-A941-D32507FE9EC0}"/>
    <cellStyle name="Style 98 2 4 6" xfId="19991" xr:uid="{B1862EEA-6D4C-4D84-83A6-F84A33AB3144}"/>
    <cellStyle name="Style 98 2 4 6 2" xfId="19992" xr:uid="{222E6256-FFFE-4588-B67A-7AA1B5C51AB4}"/>
    <cellStyle name="Style 98 2 4 6 2 2" xfId="38411" xr:uid="{9C17F882-BD18-4BF1-BF42-60CBE8A4B6D0}"/>
    <cellStyle name="Style 98 2 4 6 3" xfId="38410" xr:uid="{50E931E0-70F3-486F-A554-821BD81BE00D}"/>
    <cellStyle name="Style 98 2 4 7" xfId="19993" xr:uid="{20706B9E-D923-4225-8D18-0BBD4BE2C19B}"/>
    <cellStyle name="Style 98 2 4 7 2" xfId="19994" xr:uid="{16E357A8-99F1-4AD7-AF9B-922D655B58A1}"/>
    <cellStyle name="Style 98 2 4 7 2 2" xfId="38413" xr:uid="{86DA9201-5874-40F3-BABA-3357EC09AA16}"/>
    <cellStyle name="Style 98 2 4 7 3" xfId="38412" xr:uid="{BD12C6FB-96F2-4797-9DAF-22C1274C495E}"/>
    <cellStyle name="Style 98 2 4 8" xfId="19995" xr:uid="{60A87DB0-732B-4049-BCF5-341033D5ABA2}"/>
    <cellStyle name="Style 98 2 4 8 2" xfId="19996" xr:uid="{7B53F42A-409D-4BDC-86A4-E79E2076088C}"/>
    <cellStyle name="Style 98 2 4 8 2 2" xfId="38415" xr:uid="{D39E443B-5023-4DC3-B631-40A922376871}"/>
    <cellStyle name="Style 98 2 4 8 3" xfId="38414" xr:uid="{51FB93AE-C3FB-4221-B5C4-8A0A25AE7F63}"/>
    <cellStyle name="Style 98 2 4 9" xfId="19997" xr:uid="{581216CC-A796-4840-A7EE-270C8A25C1D1}"/>
    <cellStyle name="Style 98 2 4 9 2" xfId="19998" xr:uid="{6BAB4067-FD18-47D3-AEE6-71AA7B84EFB7}"/>
    <cellStyle name="Style 98 2 4 9 2 2" xfId="38417" xr:uid="{F495190A-DF43-4E4E-8508-F9D24C4C2212}"/>
    <cellStyle name="Style 98 2 4 9 3" xfId="38416" xr:uid="{BB17F4A2-52F2-45A5-AD69-B8BB6C43664E}"/>
    <cellStyle name="Style 98 2 5" xfId="3856" xr:uid="{A184F389-D61C-4EED-8993-2D50386A3D96}"/>
    <cellStyle name="Style 98 2 5 2" xfId="7819" xr:uid="{F59EF710-C5B3-4B6C-A59A-521E2F3DD237}"/>
    <cellStyle name="Style 98 2 5 2 2" xfId="19999" xr:uid="{168EE2FE-4000-4B29-8DF1-1026DE404802}"/>
    <cellStyle name="Style 98 2 5 2 2 2" xfId="20000" xr:uid="{42A3AAA7-AF50-422D-A55E-8DBD16FBD449}"/>
    <cellStyle name="Style 98 2 5 2 2 2 2" xfId="38419" xr:uid="{D61944B4-ED3B-4170-9C6E-BEC957E1BEAC}"/>
    <cellStyle name="Style 98 2 5 2 2 3" xfId="38418" xr:uid="{D8D80DE5-B8C5-456A-861A-DF9BFEF7C2B6}"/>
    <cellStyle name="Style 98 2 5 2 3" xfId="20001" xr:uid="{DEE35839-F289-42A9-B446-8BB8BD9CE876}"/>
    <cellStyle name="Style 98 2 5 2 3 2" xfId="20002" xr:uid="{1DD7FDC3-2AC9-4770-84E4-9E30E3E45251}"/>
    <cellStyle name="Style 98 2 5 2 3 2 2" xfId="38421" xr:uid="{F0CDA4D6-F258-4251-82E4-CDBF0D7BC99B}"/>
    <cellStyle name="Style 98 2 5 2 3 3" xfId="38420" xr:uid="{2853C896-C18C-4EF2-A7BC-D8B125D71614}"/>
    <cellStyle name="Style 98 2 5 2 4" xfId="20003" xr:uid="{24BCF0C4-41D4-426D-8D44-8029F37866DE}"/>
    <cellStyle name="Style 98 2 5 2 4 2" xfId="20004" xr:uid="{9191E315-60CA-45FB-B82B-A4A648A09E0C}"/>
    <cellStyle name="Style 98 2 5 2 4 2 2" xfId="38423" xr:uid="{BD2AF7EF-629D-4113-B758-4497742F0D29}"/>
    <cellStyle name="Style 98 2 5 2 4 3" xfId="38422" xr:uid="{81405D16-E9A4-4308-889C-1BC32A391187}"/>
    <cellStyle name="Style 98 2 5 2 5" xfId="20005" xr:uid="{14B69E4E-3791-4B3F-8F75-F5201B5C0C76}"/>
    <cellStyle name="Style 98 2 5 2 5 2" xfId="20006" xr:uid="{23BB90B2-2165-4CD6-86FD-4CE97D510590}"/>
    <cellStyle name="Style 98 2 5 2 5 2 2" xfId="38425" xr:uid="{E8269680-8DB8-47CA-A11C-C24D3BE1E208}"/>
    <cellStyle name="Style 98 2 5 2 5 3" xfId="38424" xr:uid="{F4692560-B1C9-4806-BDA2-54852C0D0E7D}"/>
    <cellStyle name="Style 98 2 5 2 6" xfId="20007" xr:uid="{EEB4D219-E947-47DF-AC6E-BB7E9F2E9B65}"/>
    <cellStyle name="Style 98 2 5 2 6 2" xfId="38426" xr:uid="{BD65FE27-82CE-4C10-9987-3B8A831379EE}"/>
    <cellStyle name="Style 98 2 5 2 7" xfId="20008" xr:uid="{410914E1-4B05-4F1D-8CA3-9050DF8A82E5}"/>
    <cellStyle name="Style 98 2 5 2 7 2" xfId="38427" xr:uid="{FA4668BA-5A8C-4E64-8E65-D69CD469CFDD}"/>
    <cellStyle name="Style 98 2 5 3" xfId="7818" xr:uid="{01B41ED8-4ECD-4BE1-9760-4D473D115FD7}"/>
    <cellStyle name="Style 98 2 5 3 2" xfId="20009" xr:uid="{0D3DF15F-CDB5-4F66-AC43-6A46D3CF6444}"/>
    <cellStyle name="Style 98 2 5 3 2 2" xfId="38428" xr:uid="{D0A5C89C-74B8-4789-AC45-2FFF66078BBC}"/>
    <cellStyle name="Style 98 2 5 3 3" xfId="20010" xr:uid="{D0350D34-B133-4D52-A616-F36602AC3B23}"/>
    <cellStyle name="Style 98 2 5 3 3 2" xfId="38429" xr:uid="{E931BA67-6EE0-40E6-A72F-F9C4D980DFA1}"/>
    <cellStyle name="Style 98 2 5 4" xfId="20011" xr:uid="{7967827F-718C-402F-83D2-882EC2CA3DD5}"/>
    <cellStyle name="Style 98 2 5 4 2" xfId="20012" xr:uid="{026A0A00-39DB-4DB3-A817-83DF191F875F}"/>
    <cellStyle name="Style 98 2 5 4 2 2" xfId="38430" xr:uid="{FDC098AF-A7BC-4A6F-9F46-E998F521E8C9}"/>
    <cellStyle name="Style 98 2 5 4 3" xfId="20013" xr:uid="{682C616C-6BF7-4376-92B3-E2E60E32E6C7}"/>
    <cellStyle name="Style 98 2 5 4 3 2" xfId="38431" xr:uid="{E20311A9-2A0E-4B6B-96EA-DD9A371A22AB}"/>
    <cellStyle name="Style 98 2 5 5" xfId="20014" xr:uid="{A4B99F8C-ABA5-45CC-A0EE-2C02CC2C4F36}"/>
    <cellStyle name="Style 98 2 5 5 2" xfId="20015" xr:uid="{16A171C3-4C24-4EDF-AE33-2F0A3AED7BCE}"/>
    <cellStyle name="Style 98 2 5 5 2 2" xfId="38433" xr:uid="{AFCDD63F-9D61-4A69-9DC1-C86669E0B3DD}"/>
    <cellStyle name="Style 98 2 5 5 3" xfId="38432" xr:uid="{F8A50910-A7F2-4D91-97F6-970CA90D63EA}"/>
    <cellStyle name="Style 98 2 5 6" xfId="20016" xr:uid="{C40E2046-C79D-4CF6-95BD-DDC612E5A1EE}"/>
    <cellStyle name="Style 98 2 5 6 2" xfId="20017" xr:uid="{90F007FE-95B4-4B60-A518-8A019F25897A}"/>
    <cellStyle name="Style 98 2 5 6 2 2" xfId="38435" xr:uid="{48AE02D4-4849-4DAD-B0C7-FBFB26E123EF}"/>
    <cellStyle name="Style 98 2 5 6 3" xfId="38434" xr:uid="{B4AC0C10-9D34-4C57-88F7-DA8A830DD3A2}"/>
    <cellStyle name="Style 98 2 5 7" xfId="20018" xr:uid="{245AD8B2-9C9E-4D99-B232-55A51E1EBB15}"/>
    <cellStyle name="Style 98 2 5 7 2" xfId="20019" xr:uid="{DD71F71B-E36D-4124-8533-C3B689B1A58C}"/>
    <cellStyle name="Style 98 2 5 7 2 2" xfId="38437" xr:uid="{89313C65-BD32-44B2-BB79-7D275D5904B5}"/>
    <cellStyle name="Style 98 2 5 7 3" xfId="38436" xr:uid="{21DDA6E3-FF30-462D-9F04-DC3E435609C8}"/>
    <cellStyle name="Style 98 2 5 8" xfId="20020" xr:uid="{5784308D-8092-4904-B98B-9461459BFE56}"/>
    <cellStyle name="Style 98 2 5 8 2" xfId="38438" xr:uid="{9D1C2E92-6278-4F53-A953-EE02C727159C}"/>
    <cellStyle name="Style 98 2 5 9" xfId="20021" xr:uid="{0E543513-3C5B-4D1B-B5B4-4FB1D7C07B0A}"/>
    <cellStyle name="Style 98 2 5 9 2" xfId="38439" xr:uid="{E5C6C882-56CF-4BF2-B3D8-CA2089D58114}"/>
    <cellStyle name="Style 98 2 6" xfId="7820" xr:uid="{CAAD34F4-27D2-4EDE-B5A1-34D309FB8065}"/>
    <cellStyle name="Style 98 2 6 2" xfId="20022" xr:uid="{60E6E8B8-A609-4C2A-9CC2-16444C6D9C5C}"/>
    <cellStyle name="Style 98 2 6 2 2" xfId="20023" xr:uid="{35B85DCA-205E-4A90-8AFE-B5E31291F781}"/>
    <cellStyle name="Style 98 2 6 2 2 2" xfId="38441" xr:uid="{DB5ECECE-B33D-45ED-BA8C-9BF3D489653F}"/>
    <cellStyle name="Style 98 2 6 2 3" xfId="38440" xr:uid="{D5A7C9E5-E257-4CA8-BB87-31499366FFED}"/>
    <cellStyle name="Style 98 2 6 3" xfId="20024" xr:uid="{61A24D04-4450-4438-9A2C-65D0EBEA55C2}"/>
    <cellStyle name="Style 98 2 6 3 2" xfId="20025" xr:uid="{A0B56D77-AA3E-44B6-AC96-7324D7A32B48}"/>
    <cellStyle name="Style 98 2 6 3 2 2" xfId="38443" xr:uid="{434A4247-AA9B-422B-B561-7D91250A3C87}"/>
    <cellStyle name="Style 98 2 6 3 3" xfId="38442" xr:uid="{3D774D6C-606D-4F0E-9B1E-9A3EE3165C1E}"/>
    <cellStyle name="Style 98 2 6 4" xfId="20026" xr:uid="{FB2CFA96-0DFC-4D84-BB3C-46E6662E9F75}"/>
    <cellStyle name="Style 98 2 6 4 2" xfId="20027" xr:uid="{235A5C53-9FA3-4E9C-A25D-4A11FD35EA9F}"/>
    <cellStyle name="Style 98 2 6 4 2 2" xfId="38445" xr:uid="{02992BA0-0054-42FC-AB6D-D1A74E74722D}"/>
    <cellStyle name="Style 98 2 6 4 3" xfId="38444" xr:uid="{988797AF-088B-4821-B34B-ABAED61348DE}"/>
    <cellStyle name="Style 98 2 6 5" xfId="20028" xr:uid="{6EE0FFC6-F30A-4292-BF36-2FE06667BFD1}"/>
    <cellStyle name="Style 98 2 6 5 2" xfId="20029" xr:uid="{A683AD4D-F37E-4C91-B6CB-A5739C59215A}"/>
    <cellStyle name="Style 98 2 6 5 2 2" xfId="38447" xr:uid="{9213423B-4180-4478-B452-DC5EE9AB005A}"/>
    <cellStyle name="Style 98 2 6 5 3" xfId="38446" xr:uid="{E4FDED0E-48E0-4CEE-BA02-CF1EC62F3E15}"/>
    <cellStyle name="Style 98 2 6 6" xfId="20030" xr:uid="{977A9C13-721C-4F12-AC2A-DAF1F4A6E1FA}"/>
    <cellStyle name="Style 98 2 6 6 2" xfId="38448" xr:uid="{B6288907-6AB3-45B1-B360-D54B176B85DB}"/>
    <cellStyle name="Style 98 2 6 7" xfId="20031" xr:uid="{CE8D1BA0-E080-4348-B033-10FE3CA97C2D}"/>
    <cellStyle name="Style 98 2 6 7 2" xfId="38449" xr:uid="{4A54AC26-3379-4E71-9FD5-7749795EB2CC}"/>
    <cellStyle name="Style 98 2 7" xfId="7803" xr:uid="{29C20746-04A9-4838-A195-402662F6A73F}"/>
    <cellStyle name="Style 98 2 7 2" xfId="20032" xr:uid="{4CDD35E4-8F03-4DA5-8B6D-2038DB457546}"/>
    <cellStyle name="Style 98 2 7 2 2" xfId="38450" xr:uid="{808E37D3-509C-4D05-BC83-E80A15090285}"/>
    <cellStyle name="Style 98 2 7 3" xfId="20033" xr:uid="{5B373A6F-8601-47DA-BAEC-397D43B911FB}"/>
    <cellStyle name="Style 98 2 7 3 2" xfId="38451" xr:uid="{F8775AFA-85CA-40B3-A69B-B819C79FFD34}"/>
    <cellStyle name="Style 98 2 8" xfId="20034" xr:uid="{381AC079-DD50-4741-8AD1-1690F2CB336F}"/>
    <cellStyle name="Style 98 2 8 2" xfId="20035" xr:uid="{79678193-E7C8-4C20-BC0E-171742192D9A}"/>
    <cellStyle name="Style 98 2 8 2 2" xfId="38452" xr:uid="{5B02143F-30B6-43EC-B3E3-81FD1550EE96}"/>
    <cellStyle name="Style 98 2 8 3" xfId="20036" xr:uid="{4734308B-5B27-4F1C-8182-48844CCD59A5}"/>
    <cellStyle name="Style 98 2 8 3 2" xfId="38453" xr:uid="{28E9FE54-E20A-4749-ACFC-4A76DD84DAC4}"/>
    <cellStyle name="Style 98 2 9" xfId="20037" xr:uid="{436B8A91-6877-4008-9463-7E4DDC429933}"/>
    <cellStyle name="Style 98 2 9 2" xfId="20038" xr:uid="{A2AF6624-CCA9-4B14-9EE2-5A2BCDC8F3F1}"/>
    <cellStyle name="Style 98 2 9 2 2" xfId="38455" xr:uid="{637CD2F2-71DD-425D-8242-51ACCA799C0D}"/>
    <cellStyle name="Style 98 2 9 3" xfId="38454" xr:uid="{E485A7A1-EA0F-428C-94CE-C63AC495D567}"/>
    <cellStyle name="Style 98 3" xfId="3857" xr:uid="{C9441447-4A25-478B-A404-04EC8EC1FD01}"/>
    <cellStyle name="Style 98 3 10" xfId="20039" xr:uid="{071D4118-1563-4888-B4A9-BAC29CF2770C}"/>
    <cellStyle name="Style 98 3 10 2" xfId="20040" xr:uid="{BBFA8D2B-C173-4A16-A437-9714BDC23461}"/>
    <cellStyle name="Style 98 3 10 2 2" xfId="38457" xr:uid="{AA60B043-EF3F-416A-A483-143D35C92C78}"/>
    <cellStyle name="Style 98 3 10 3" xfId="38456" xr:uid="{B7337EF1-5A51-47AD-826E-B3BB8D4AA29C}"/>
    <cellStyle name="Style 98 3 11" xfId="20041" xr:uid="{E9B9E72B-1B91-4BA2-9B42-9DD985A9B3CE}"/>
    <cellStyle name="Style 98 3 11 2" xfId="20042" xr:uid="{ACFB6218-31F8-4CB5-A00C-16037D9D001C}"/>
    <cellStyle name="Style 98 3 11 2 2" xfId="38459" xr:uid="{22D97C72-E25F-42A3-B7E0-221A0B57D1A4}"/>
    <cellStyle name="Style 98 3 11 3" xfId="38458" xr:uid="{13CC6B04-1B5F-44B7-B386-BDF9CA53C12D}"/>
    <cellStyle name="Style 98 3 12" xfId="20043" xr:uid="{33CED6D2-9002-4208-97BA-AB21AFA03BCB}"/>
    <cellStyle name="Style 98 3 12 2" xfId="20044" xr:uid="{E0EE2F91-C6ED-4A9C-B66E-469ACF1E9C85}"/>
    <cellStyle name="Style 98 3 12 2 2" xfId="38461" xr:uid="{6567FDBC-AD42-4CAA-887A-CC143804D4D7}"/>
    <cellStyle name="Style 98 3 12 3" xfId="38460" xr:uid="{1DC5BC2A-A46E-42CC-8EFA-E8BBB2B71A5C}"/>
    <cellStyle name="Style 98 3 13" xfId="20045" xr:uid="{78B5B14F-D554-48AF-9F0F-11A36A4CF2E6}"/>
    <cellStyle name="Style 98 3 13 2" xfId="38462" xr:uid="{78673C4A-65DA-4A03-815F-7EC924810F4E}"/>
    <cellStyle name="Style 98 3 14" xfId="20046" xr:uid="{BD891136-6A6D-48C3-BBF2-7D933C264647}"/>
    <cellStyle name="Style 98 3 14 2" xfId="38463" xr:uid="{7B44FA6D-383A-45DE-9DE6-23E57F9F812A}"/>
    <cellStyle name="Style 98 3 2" xfId="3858" xr:uid="{B6DFE76B-EB9A-4B64-A7BB-4EA4A0CA3519}"/>
    <cellStyle name="Style 98 3 2 10" xfId="20047" xr:uid="{25C8AB1D-32CD-46A4-B55E-9BBE80554CA3}"/>
    <cellStyle name="Style 98 3 2 10 2" xfId="20048" xr:uid="{46F89C00-1D11-4460-BEC7-4BA3C6FEC299}"/>
    <cellStyle name="Style 98 3 2 10 2 2" xfId="38465" xr:uid="{EA7918EE-13C7-4073-AAB4-767D3873BA8C}"/>
    <cellStyle name="Style 98 3 2 10 3" xfId="38464" xr:uid="{6B2CAD0C-A15D-4C49-9705-8F5766494624}"/>
    <cellStyle name="Style 98 3 2 11" xfId="20049" xr:uid="{F003972B-811C-4B83-A3D3-E16CD07D5C2E}"/>
    <cellStyle name="Style 98 3 2 11 2" xfId="20050" xr:uid="{CF55EEFD-FF0A-4F0E-9A37-80824CF08886}"/>
    <cellStyle name="Style 98 3 2 11 2 2" xfId="38467" xr:uid="{138AB316-6FEA-48D9-B186-C05821ED29C2}"/>
    <cellStyle name="Style 98 3 2 11 3" xfId="38466" xr:uid="{A1852B8F-9F35-4E62-A625-45A8D9BBD385}"/>
    <cellStyle name="Style 98 3 2 12" xfId="20051" xr:uid="{872AD8AA-D650-47AF-A050-BE15EB8250EF}"/>
    <cellStyle name="Style 98 3 2 12 2" xfId="38468" xr:uid="{C38697BB-11AE-4784-A383-39C8B3F928BA}"/>
    <cellStyle name="Style 98 3 2 13" xfId="20052" xr:uid="{05F4215A-35B8-4002-85D1-925470C997C8}"/>
    <cellStyle name="Style 98 3 2 13 2" xfId="38469" xr:uid="{45A472C7-DCB3-4166-984C-8DAE9979D9A1}"/>
    <cellStyle name="Style 98 3 2 2" xfId="3859" xr:uid="{CA56BD16-4872-4B48-A7CF-8CE2B18C67A6}"/>
    <cellStyle name="Style 98 3 2 2 10" xfId="20053" xr:uid="{877451C0-7C3C-49F6-BDA7-1F768AF96FE6}"/>
    <cellStyle name="Style 98 3 2 2 10 2" xfId="20054" xr:uid="{38550C82-A255-46CC-A3F8-AF6FBE49988A}"/>
    <cellStyle name="Style 98 3 2 2 10 2 2" xfId="38471" xr:uid="{16ADAB86-C15C-426C-A770-8B37D02E78EF}"/>
    <cellStyle name="Style 98 3 2 2 10 3" xfId="38470" xr:uid="{BB093C5B-CC88-4B8C-99B1-85FA1E67C237}"/>
    <cellStyle name="Style 98 3 2 2 11" xfId="20055" xr:uid="{36F9BC42-DFDD-41BD-9AA0-5410138AD31C}"/>
    <cellStyle name="Style 98 3 2 2 11 2" xfId="38472" xr:uid="{7296EE02-0F71-4F7D-8BF3-05E85D0EFC02}"/>
    <cellStyle name="Style 98 3 2 2 12" xfId="20056" xr:uid="{A28A0723-7A65-4BFA-8A66-2F72C261C302}"/>
    <cellStyle name="Style 98 3 2 2 12 2" xfId="38473" xr:uid="{29E21929-332D-4B67-8838-A162DBC84EAB}"/>
    <cellStyle name="Style 98 3 2 2 2" xfId="3860" xr:uid="{151AF456-4677-4A13-B7E0-46A71011D663}"/>
    <cellStyle name="Style 98 3 2 2 2 10" xfId="20057" xr:uid="{D13FB783-3DF3-494B-A01D-C32C06D91806}"/>
    <cellStyle name="Style 98 3 2 2 2 10 2" xfId="38474" xr:uid="{5FD34925-9CFC-4A1A-92D8-5BF5F312082D}"/>
    <cellStyle name="Style 98 3 2 2 2 11" xfId="20058" xr:uid="{3191A49A-EBBC-4541-89A6-E60F14479D29}"/>
    <cellStyle name="Style 98 3 2 2 2 11 2" xfId="38475" xr:uid="{69614317-7F39-4107-956C-AB24317DE89C}"/>
    <cellStyle name="Style 98 3 2 2 2 2" xfId="3861" xr:uid="{1AE82F2F-2CE8-4B1B-93DF-B973771E9BCF}"/>
    <cellStyle name="Style 98 3 2 2 2 2 2" xfId="7825" xr:uid="{F48C881B-407E-42C3-B307-F0BDBDC8E815}"/>
    <cellStyle name="Style 98 3 2 2 2 2 2 2" xfId="20059" xr:uid="{4E5C8641-F1EE-457E-9F09-AC93B42FB4F9}"/>
    <cellStyle name="Style 98 3 2 2 2 2 2 2 2" xfId="20060" xr:uid="{3BB971ED-D80A-4FB9-B0BB-4C05A7783224}"/>
    <cellStyle name="Style 98 3 2 2 2 2 2 2 2 2" xfId="38477" xr:uid="{739031F2-00DC-4956-A04D-98F295556681}"/>
    <cellStyle name="Style 98 3 2 2 2 2 2 2 3" xfId="38476" xr:uid="{F9AFDF67-FF44-47C7-84F8-C07D67F18E33}"/>
    <cellStyle name="Style 98 3 2 2 2 2 2 3" xfId="20061" xr:uid="{1B823682-DEC9-4B50-8AAF-B8679B75C684}"/>
    <cellStyle name="Style 98 3 2 2 2 2 2 3 2" xfId="20062" xr:uid="{A2DCC4AF-B8B1-49DB-A1C3-F4B29920291B}"/>
    <cellStyle name="Style 98 3 2 2 2 2 2 3 2 2" xfId="38479" xr:uid="{A4527087-18F1-4204-9D08-E2547264A37C}"/>
    <cellStyle name="Style 98 3 2 2 2 2 2 3 3" xfId="38478" xr:uid="{E4C8CF8B-EEFE-48E6-B894-0FDFDC8E2971}"/>
    <cellStyle name="Style 98 3 2 2 2 2 2 4" xfId="20063" xr:uid="{5B3EFE58-3F79-4A56-9C70-9FBDB87A48BA}"/>
    <cellStyle name="Style 98 3 2 2 2 2 2 4 2" xfId="20064" xr:uid="{8CBB3965-2ADD-4F96-95E8-24773AC8588E}"/>
    <cellStyle name="Style 98 3 2 2 2 2 2 4 2 2" xfId="38481" xr:uid="{ED44948C-F02B-4F57-AECB-CB8282CE41BE}"/>
    <cellStyle name="Style 98 3 2 2 2 2 2 4 3" xfId="38480" xr:uid="{CE10BEA8-5FB1-45EB-83D0-DC340434CFF3}"/>
    <cellStyle name="Style 98 3 2 2 2 2 2 5" xfId="20065" xr:uid="{B50F05EF-0103-4DBF-84F7-12353048A788}"/>
    <cellStyle name="Style 98 3 2 2 2 2 2 5 2" xfId="20066" xr:uid="{FFEBE060-82BF-4107-A9F6-E7CDACFD648F}"/>
    <cellStyle name="Style 98 3 2 2 2 2 2 5 2 2" xfId="38483" xr:uid="{31AA9D31-DC4F-46CA-9423-F5E9A9C8FD6C}"/>
    <cellStyle name="Style 98 3 2 2 2 2 2 5 3" xfId="38482" xr:uid="{23D5F45C-C1EA-4254-8117-8AF7EDBCFF0A}"/>
    <cellStyle name="Style 98 3 2 2 2 2 2 6" xfId="20067" xr:uid="{B52A93A8-D9DA-4B4C-A6C0-FD3FC8068A9D}"/>
    <cellStyle name="Style 98 3 2 2 2 2 2 6 2" xfId="38484" xr:uid="{EEC0B6D8-DBBD-445E-85CF-D2F6032AC3E9}"/>
    <cellStyle name="Style 98 3 2 2 2 2 2 7" xfId="20068" xr:uid="{54C84609-B345-4EDB-8E78-891F0E357CCF}"/>
    <cellStyle name="Style 98 3 2 2 2 2 2 7 2" xfId="38485" xr:uid="{FB2CF3EF-973E-49F1-8BEE-12DEA1B64A1E}"/>
    <cellStyle name="Style 98 3 2 2 2 2 3" xfId="20069" xr:uid="{96466BE6-C62F-4AEA-B59E-6546594BA337}"/>
    <cellStyle name="Style 98 3 2 2 2 2 3 2" xfId="20070" xr:uid="{5AF5FF3C-6142-4FC5-B86D-97A4BB1CB4BB}"/>
    <cellStyle name="Style 98 3 2 2 2 2 3 2 2" xfId="38486" xr:uid="{943BF2CE-17D5-461F-BE06-36539A364B28}"/>
    <cellStyle name="Style 98 3 2 2 2 2 3 3" xfId="20071" xr:uid="{CEE37AD8-63D0-491B-B0A0-A1234B00D3E9}"/>
    <cellStyle name="Style 98 3 2 2 2 2 3 3 2" xfId="38487" xr:uid="{B764CF6C-324F-4953-9C43-CDFEDEEE9165}"/>
    <cellStyle name="Style 98 3 2 2 2 2 4" xfId="20072" xr:uid="{A9279D91-8160-4F23-9407-B90149193E7B}"/>
    <cellStyle name="Style 98 3 2 2 2 2 4 2" xfId="20073" xr:uid="{32FDC18E-B56E-4720-AA09-AE9A9E95F5E6}"/>
    <cellStyle name="Style 98 3 2 2 2 2 4 2 2" xfId="38489" xr:uid="{EFC1F66D-7811-42DC-B656-4899E79FE7B3}"/>
    <cellStyle name="Style 98 3 2 2 2 2 4 3" xfId="38488" xr:uid="{431C544F-AC83-4E0F-BC05-3D9AF7F2E8AC}"/>
    <cellStyle name="Style 98 3 2 2 2 2 5" xfId="20074" xr:uid="{8042B732-037A-4EEA-B02C-4B9106A42EF5}"/>
    <cellStyle name="Style 98 3 2 2 2 2 5 2" xfId="20075" xr:uid="{F73EE2C5-AC94-488F-AE18-ED4112B3EE6D}"/>
    <cellStyle name="Style 98 3 2 2 2 2 5 2 2" xfId="38491" xr:uid="{245EEB4C-1676-4392-958D-A3DA3C3C9F30}"/>
    <cellStyle name="Style 98 3 2 2 2 2 5 3" xfId="38490" xr:uid="{215816A3-2353-4F39-8FB8-6EF0AC44FD3B}"/>
    <cellStyle name="Style 98 3 2 2 2 2 6" xfId="20076" xr:uid="{9A275C41-AFB6-4AA6-BDDF-6AEB47354C5C}"/>
    <cellStyle name="Style 98 3 2 2 2 2 6 2" xfId="20077" xr:uid="{A51810D7-3463-4AEE-A85F-87C94DD4BEE6}"/>
    <cellStyle name="Style 98 3 2 2 2 2 6 2 2" xfId="38493" xr:uid="{63EA0F65-83D9-4F84-B668-2B150CACACA2}"/>
    <cellStyle name="Style 98 3 2 2 2 2 6 3" xfId="38492" xr:uid="{23E241C4-764D-4DFA-A0BA-7AD3E59293A4}"/>
    <cellStyle name="Style 98 3 2 2 2 2 7" xfId="20078" xr:uid="{84017DB8-E323-49C8-892C-CA97C612F0FA}"/>
    <cellStyle name="Style 98 3 2 2 2 2 7 2" xfId="20079" xr:uid="{06EAD14F-AD50-47A5-8E2C-D0292964FAC0}"/>
    <cellStyle name="Style 98 3 2 2 2 2 7 2 2" xfId="38495" xr:uid="{5E3DA4A1-63D9-40EC-8987-A93B70D1F453}"/>
    <cellStyle name="Style 98 3 2 2 2 2 7 3" xfId="38494" xr:uid="{E2FF4C70-4FB3-4D7D-9A9A-727920E84463}"/>
    <cellStyle name="Style 98 3 2 2 2 2 8" xfId="20080" xr:uid="{E1BCBB80-CA9D-425C-A82B-443DEDBA5FE9}"/>
    <cellStyle name="Style 98 3 2 2 2 2 8 2" xfId="38496" xr:uid="{4250319E-6C48-4F9F-9B45-AF3EEF7854EB}"/>
    <cellStyle name="Style 98 3 2 2 2 2 9" xfId="20081" xr:uid="{DC847F56-E9FB-4C35-BFC9-4DD768C80DB0}"/>
    <cellStyle name="Style 98 3 2 2 2 2 9 2" xfId="38497" xr:uid="{4923CC43-1503-4167-8334-05E07BE8F5B9}"/>
    <cellStyle name="Style 98 3 2 2 2 3" xfId="7824" xr:uid="{C759D984-938C-482A-BE3D-76490E053F61}"/>
    <cellStyle name="Style 98 3 2 2 2 3 2" xfId="20082" xr:uid="{37D00C04-9BAD-42C9-9AB8-EADF57935C6A}"/>
    <cellStyle name="Style 98 3 2 2 2 3 2 2" xfId="20083" xr:uid="{C5A816C8-40F6-4C0F-81DF-2DD4FDF61EA7}"/>
    <cellStyle name="Style 98 3 2 2 2 3 2 2 2" xfId="38499" xr:uid="{7E4211AC-EA8E-47A5-9FAA-53FE54B84DC4}"/>
    <cellStyle name="Style 98 3 2 2 2 3 2 3" xfId="38498" xr:uid="{B995AC66-8BD7-4999-9033-A09F096F5736}"/>
    <cellStyle name="Style 98 3 2 2 2 3 3" xfId="20084" xr:uid="{2B1EE64A-DB04-41C2-9985-27A6D0B071FB}"/>
    <cellStyle name="Style 98 3 2 2 2 3 3 2" xfId="20085" xr:uid="{32895402-74A7-4713-A6C8-7314F294D3CF}"/>
    <cellStyle name="Style 98 3 2 2 2 3 3 2 2" xfId="38501" xr:uid="{57C0AD86-8F38-46F3-B573-582FE5A9ABFB}"/>
    <cellStyle name="Style 98 3 2 2 2 3 3 3" xfId="38500" xr:uid="{28C67639-FE3A-49CC-9E03-46315BE820D1}"/>
    <cellStyle name="Style 98 3 2 2 2 3 4" xfId="20086" xr:uid="{8F6427EE-ACA9-40B0-8FCD-1B909544E26B}"/>
    <cellStyle name="Style 98 3 2 2 2 3 4 2" xfId="20087" xr:uid="{21F5A93B-92A6-4689-B90B-94BAA04BA987}"/>
    <cellStyle name="Style 98 3 2 2 2 3 4 2 2" xfId="38503" xr:uid="{25D14020-FD7D-4361-B11E-89CAB31FA37B}"/>
    <cellStyle name="Style 98 3 2 2 2 3 4 3" xfId="38502" xr:uid="{759DA10D-D860-46F1-8171-DFE9BDD3892C}"/>
    <cellStyle name="Style 98 3 2 2 2 3 5" xfId="20088" xr:uid="{509D42DB-023E-4D42-899C-D9B4911B1483}"/>
    <cellStyle name="Style 98 3 2 2 2 3 5 2" xfId="20089" xr:uid="{36F81E36-86CF-41AD-9551-0511C75A2BA5}"/>
    <cellStyle name="Style 98 3 2 2 2 3 5 2 2" xfId="38505" xr:uid="{3F9F975D-3914-470D-AE8B-46535C4BCC2E}"/>
    <cellStyle name="Style 98 3 2 2 2 3 5 3" xfId="38504" xr:uid="{D6DF1760-E464-40CE-B408-29A9BBBF5622}"/>
    <cellStyle name="Style 98 3 2 2 2 3 6" xfId="20090" xr:uid="{E73C6215-3897-43B2-9FDC-88D391C1A298}"/>
    <cellStyle name="Style 98 3 2 2 2 3 6 2" xfId="38506" xr:uid="{ED77547C-C3AC-4987-8563-63F9ED965088}"/>
    <cellStyle name="Style 98 3 2 2 2 3 7" xfId="20091" xr:uid="{B4AF55E5-FCBF-4760-865B-14814EDBFE43}"/>
    <cellStyle name="Style 98 3 2 2 2 3 7 2" xfId="38507" xr:uid="{4DE38A55-5BB3-4534-933F-6F6D04BA814E}"/>
    <cellStyle name="Style 98 3 2 2 2 4" xfId="20092" xr:uid="{ADB522F2-B97D-4CAB-972B-1DE588E35514}"/>
    <cellStyle name="Style 98 3 2 2 2 4 2" xfId="20093" xr:uid="{2F05AEFE-5F13-4A0E-A19D-7404493528CA}"/>
    <cellStyle name="Style 98 3 2 2 2 4 2 2" xfId="38508" xr:uid="{AB14F653-FD7B-4ECD-805F-1F08126361E1}"/>
    <cellStyle name="Style 98 3 2 2 2 4 3" xfId="20094" xr:uid="{59930F30-6DF9-412A-AEEC-8D0A8264820B}"/>
    <cellStyle name="Style 98 3 2 2 2 4 3 2" xfId="38509" xr:uid="{18343B0F-F10B-466A-A301-AF9FAD9FE8E2}"/>
    <cellStyle name="Style 98 3 2 2 2 5" xfId="20095" xr:uid="{E93CB7D0-A1C8-4E73-8709-CAC3D9B87919}"/>
    <cellStyle name="Style 98 3 2 2 2 5 2" xfId="20096" xr:uid="{B39A6CC7-B0B8-45E8-9828-DAE28FF43429}"/>
    <cellStyle name="Style 98 3 2 2 2 5 2 2" xfId="38511" xr:uid="{D5167011-F6CF-47EC-B8D6-CC782FCBE913}"/>
    <cellStyle name="Style 98 3 2 2 2 5 3" xfId="38510" xr:uid="{9B1EF376-2EA6-4A23-87A1-A8DCFDBDB7CF}"/>
    <cellStyle name="Style 98 3 2 2 2 6" xfId="20097" xr:uid="{7AFD75D9-DEFB-4B24-BD64-C90B5F0C7995}"/>
    <cellStyle name="Style 98 3 2 2 2 6 2" xfId="20098" xr:uid="{05CD9549-989C-4F7D-8C56-0E9A2B892274}"/>
    <cellStyle name="Style 98 3 2 2 2 6 2 2" xfId="38513" xr:uid="{D7CF1740-D299-48F0-A847-82AA3139D1CE}"/>
    <cellStyle name="Style 98 3 2 2 2 6 3" xfId="38512" xr:uid="{0BFFF3AF-8AF6-43CC-A76F-7AD30728AA46}"/>
    <cellStyle name="Style 98 3 2 2 2 7" xfId="20099" xr:uid="{BEDCF0CD-58BB-40F3-9E4A-05124CDA7103}"/>
    <cellStyle name="Style 98 3 2 2 2 7 2" xfId="20100" xr:uid="{A97752D9-1053-4878-BF4B-04508FDF7042}"/>
    <cellStyle name="Style 98 3 2 2 2 7 2 2" xfId="38515" xr:uid="{FE40A291-3596-4B82-A56F-CE93FD808546}"/>
    <cellStyle name="Style 98 3 2 2 2 7 3" xfId="38514" xr:uid="{83E4E5E0-62B7-46F3-BC31-50EFD5B2D2C7}"/>
    <cellStyle name="Style 98 3 2 2 2 8" xfId="20101" xr:uid="{8539C137-3E1B-4213-9C9F-2FD57DC143BB}"/>
    <cellStyle name="Style 98 3 2 2 2 8 2" xfId="20102" xr:uid="{804C526D-79EE-40C5-B997-D36B4216770C}"/>
    <cellStyle name="Style 98 3 2 2 2 8 2 2" xfId="38517" xr:uid="{5204C756-6B4D-4B2D-A8C7-5AC3A3C2A3AB}"/>
    <cellStyle name="Style 98 3 2 2 2 8 3" xfId="38516" xr:uid="{786DD555-0CCE-4EEB-8654-46F0EF2C2ABB}"/>
    <cellStyle name="Style 98 3 2 2 2 9" xfId="20103" xr:uid="{714C0B17-35F7-45F7-97BE-96330E49E3E2}"/>
    <cellStyle name="Style 98 3 2 2 2 9 2" xfId="20104" xr:uid="{239464DE-1914-4E8E-A43A-46315030892F}"/>
    <cellStyle name="Style 98 3 2 2 2 9 2 2" xfId="38519" xr:uid="{7F4F1D65-57A0-402F-90A9-9CBA4E382FCF}"/>
    <cellStyle name="Style 98 3 2 2 2 9 3" xfId="38518" xr:uid="{F9A5F6DF-67C2-4E86-B263-CD2592A8743F}"/>
    <cellStyle name="Style 98 3 2 2 3" xfId="3862" xr:uid="{96BAC616-0696-457D-97B4-B5D0CB60917B}"/>
    <cellStyle name="Style 98 3 2 2 3 2" xfId="7826" xr:uid="{E32235D6-33F9-4382-B421-A1B010101820}"/>
    <cellStyle name="Style 98 3 2 2 3 2 2" xfId="20105" xr:uid="{13FD18B3-3B14-4A96-9A30-C0A6CC7B962B}"/>
    <cellStyle name="Style 98 3 2 2 3 2 2 2" xfId="20106" xr:uid="{F729A4C7-7E1C-4A0A-BD86-4D812789A418}"/>
    <cellStyle name="Style 98 3 2 2 3 2 2 2 2" xfId="38521" xr:uid="{FEE68FB5-638B-42BF-BA96-29BA25E68FE7}"/>
    <cellStyle name="Style 98 3 2 2 3 2 2 3" xfId="38520" xr:uid="{39500115-A99F-4499-8EF9-C169F561B0F5}"/>
    <cellStyle name="Style 98 3 2 2 3 2 3" xfId="20107" xr:uid="{D544B265-6A67-4D20-BAA4-9BF037A1771B}"/>
    <cellStyle name="Style 98 3 2 2 3 2 3 2" xfId="20108" xr:uid="{D015D18E-A3E8-44E5-A467-53A66EC5C7BC}"/>
    <cellStyle name="Style 98 3 2 2 3 2 3 2 2" xfId="38523" xr:uid="{6524089A-DD05-4040-A7FB-9D5D09F80EE3}"/>
    <cellStyle name="Style 98 3 2 2 3 2 3 3" xfId="38522" xr:uid="{7E6DA9F1-165E-43A7-A151-10FDFDB04107}"/>
    <cellStyle name="Style 98 3 2 2 3 2 4" xfId="20109" xr:uid="{143A8A8A-2FA9-4529-A476-D4EF1B562813}"/>
    <cellStyle name="Style 98 3 2 2 3 2 4 2" xfId="20110" xr:uid="{BF829305-F266-433A-B5CC-DBA1B8BAB545}"/>
    <cellStyle name="Style 98 3 2 2 3 2 4 2 2" xfId="38525" xr:uid="{96EA0901-2DE3-4C6C-ACCE-8D3E74DFAC0B}"/>
    <cellStyle name="Style 98 3 2 2 3 2 4 3" xfId="38524" xr:uid="{335185BF-0949-4811-92A0-B43A485459E4}"/>
    <cellStyle name="Style 98 3 2 2 3 2 5" xfId="20111" xr:uid="{4F40EC93-1C49-4A5A-8E24-E7764724EA03}"/>
    <cellStyle name="Style 98 3 2 2 3 2 5 2" xfId="20112" xr:uid="{EAC788AE-0E1E-4A91-8E2F-018116486F48}"/>
    <cellStyle name="Style 98 3 2 2 3 2 5 2 2" xfId="38527" xr:uid="{1832D0FA-C21A-4F08-AADF-928D06E996DB}"/>
    <cellStyle name="Style 98 3 2 2 3 2 5 3" xfId="38526" xr:uid="{1764FDB7-2312-4ED8-B0FA-9440FAD2D713}"/>
    <cellStyle name="Style 98 3 2 2 3 2 6" xfId="20113" xr:uid="{94FA7BD5-DD55-435F-B6B2-38DA2631AE23}"/>
    <cellStyle name="Style 98 3 2 2 3 2 6 2" xfId="38528" xr:uid="{80F805E3-DFF2-4CDB-AA50-13B254C12796}"/>
    <cellStyle name="Style 98 3 2 2 3 2 7" xfId="20114" xr:uid="{45A7189A-22FD-46D5-BFE6-0371FE64B791}"/>
    <cellStyle name="Style 98 3 2 2 3 2 7 2" xfId="38529" xr:uid="{C5789AE5-9193-409E-8C4A-A871BE301516}"/>
    <cellStyle name="Style 98 3 2 2 3 3" xfId="20115" xr:uid="{61B9589F-6C56-4249-920F-31B693B48705}"/>
    <cellStyle name="Style 98 3 2 2 3 3 2" xfId="20116" xr:uid="{4E4E1664-96FF-467D-897C-713E99BDB392}"/>
    <cellStyle name="Style 98 3 2 2 3 3 2 2" xfId="38530" xr:uid="{0E02E01E-62F9-4942-BA6C-2DB612FB4D73}"/>
    <cellStyle name="Style 98 3 2 2 3 3 3" xfId="20117" xr:uid="{72F7E85F-F755-4906-B750-64F0DECBA2CE}"/>
    <cellStyle name="Style 98 3 2 2 3 3 3 2" xfId="38531" xr:uid="{DC83A768-21D7-485E-9DE4-C04468DB0F1E}"/>
    <cellStyle name="Style 98 3 2 2 3 4" xfId="20118" xr:uid="{60018053-5674-4471-86A1-1EF43431548F}"/>
    <cellStyle name="Style 98 3 2 2 3 4 2" xfId="20119" xr:uid="{D51F4707-F674-49DA-9528-26087605A19E}"/>
    <cellStyle name="Style 98 3 2 2 3 4 2 2" xfId="38533" xr:uid="{F36344FE-2EA3-4A7D-AB03-51FD92397E15}"/>
    <cellStyle name="Style 98 3 2 2 3 4 3" xfId="38532" xr:uid="{C0B7D7A9-DDE0-47CA-9442-6998C9A8B99E}"/>
    <cellStyle name="Style 98 3 2 2 3 5" xfId="20120" xr:uid="{DEC08FC2-5B28-48BD-B02F-C5E4F54D2622}"/>
    <cellStyle name="Style 98 3 2 2 3 5 2" xfId="20121" xr:uid="{E72D8D20-3030-4D32-BEEF-548EECA6AF9B}"/>
    <cellStyle name="Style 98 3 2 2 3 5 2 2" xfId="38535" xr:uid="{54D141AA-09E3-4D30-9922-E827386DB132}"/>
    <cellStyle name="Style 98 3 2 2 3 5 3" xfId="38534" xr:uid="{04B07BEC-455C-4188-A193-52BAAFCF2603}"/>
    <cellStyle name="Style 98 3 2 2 3 6" xfId="20122" xr:uid="{9F1B5500-B4DD-4DCB-A054-DF750CA16315}"/>
    <cellStyle name="Style 98 3 2 2 3 6 2" xfId="20123" xr:uid="{6224EDF0-9D04-4CE1-9BEA-8F58EDC4EE03}"/>
    <cellStyle name="Style 98 3 2 2 3 6 2 2" xfId="38537" xr:uid="{E299BCD1-BE69-4A53-9B28-F492FBBA9DAD}"/>
    <cellStyle name="Style 98 3 2 2 3 6 3" xfId="38536" xr:uid="{8343F4D9-ED19-48DC-9EFF-D97C38F3430C}"/>
    <cellStyle name="Style 98 3 2 2 3 7" xfId="20124" xr:uid="{BB97DDA7-5523-4507-AFA0-B37187856A9E}"/>
    <cellStyle name="Style 98 3 2 2 3 7 2" xfId="20125" xr:uid="{D0998551-AB66-4449-889C-3AB0318D7FB6}"/>
    <cellStyle name="Style 98 3 2 2 3 7 2 2" xfId="38539" xr:uid="{71254135-AE1C-40C0-A26C-6DE094FC1194}"/>
    <cellStyle name="Style 98 3 2 2 3 7 3" xfId="38538" xr:uid="{3C6DFA06-6F70-4FDB-9F00-99A656AA6399}"/>
    <cellStyle name="Style 98 3 2 2 3 8" xfId="20126" xr:uid="{1E7CFC06-E424-40CB-B71D-14A54DDB2E6B}"/>
    <cellStyle name="Style 98 3 2 2 3 8 2" xfId="38540" xr:uid="{D564080D-44C3-4780-8B88-4D932D7C93A5}"/>
    <cellStyle name="Style 98 3 2 2 3 9" xfId="20127" xr:uid="{1FB47A26-31C6-475E-9E5B-820CC58BA8BA}"/>
    <cellStyle name="Style 98 3 2 2 3 9 2" xfId="38541" xr:uid="{F2805C4B-2B07-43F8-A0E2-B2B1EB4C8F92}"/>
    <cellStyle name="Style 98 3 2 2 4" xfId="7823" xr:uid="{6B09EE90-7CAC-4ADC-85C0-3112F722D90B}"/>
    <cellStyle name="Style 98 3 2 2 4 2" xfId="20128" xr:uid="{A373EF96-2B62-4B5F-A2F4-D0ACB225855E}"/>
    <cellStyle name="Style 98 3 2 2 4 2 2" xfId="20129" xr:uid="{24E0C432-6CD8-4695-AA3E-EE7E717CA1CE}"/>
    <cellStyle name="Style 98 3 2 2 4 2 2 2" xfId="38543" xr:uid="{06BE50E1-3D77-4D28-8B84-AA8B4E7E14F3}"/>
    <cellStyle name="Style 98 3 2 2 4 2 3" xfId="38542" xr:uid="{BAA6A0A3-D99F-4C93-8AA3-472724FEDF66}"/>
    <cellStyle name="Style 98 3 2 2 4 3" xfId="20130" xr:uid="{E71541A5-865C-4994-8F20-2E22B7B08B5E}"/>
    <cellStyle name="Style 98 3 2 2 4 3 2" xfId="20131" xr:uid="{F4D946D8-77CE-4477-8C1A-FDBD99D70816}"/>
    <cellStyle name="Style 98 3 2 2 4 3 2 2" xfId="38545" xr:uid="{5E71F8DF-FA8D-4128-AD12-FD0CDFE7E6DE}"/>
    <cellStyle name="Style 98 3 2 2 4 3 3" xfId="38544" xr:uid="{C32147C6-A562-450D-868D-16114ED3F21B}"/>
    <cellStyle name="Style 98 3 2 2 4 4" xfId="20132" xr:uid="{BAE9BCBB-503A-4E2A-B2C2-E310EB0B68C3}"/>
    <cellStyle name="Style 98 3 2 2 4 4 2" xfId="20133" xr:uid="{65572087-9083-4FC4-AECE-7BE475B82F45}"/>
    <cellStyle name="Style 98 3 2 2 4 4 2 2" xfId="38547" xr:uid="{158FCD2D-7EC4-4575-800C-DB8FC322957D}"/>
    <cellStyle name="Style 98 3 2 2 4 4 3" xfId="38546" xr:uid="{259C49E3-77F8-4412-BAEE-FA99D1858066}"/>
    <cellStyle name="Style 98 3 2 2 4 5" xfId="20134" xr:uid="{FFF5AD5E-E1DA-4EF1-8355-ED4CBEE3AC8B}"/>
    <cellStyle name="Style 98 3 2 2 4 5 2" xfId="20135" xr:uid="{22BC36F2-7B6B-428F-8C6C-E463A7075914}"/>
    <cellStyle name="Style 98 3 2 2 4 5 2 2" xfId="38549" xr:uid="{88147017-D66B-42BB-9BDD-CF40FB4553EF}"/>
    <cellStyle name="Style 98 3 2 2 4 5 3" xfId="38548" xr:uid="{099CBA8C-F949-48B5-BEE2-BF52E829B1EE}"/>
    <cellStyle name="Style 98 3 2 2 4 6" xfId="20136" xr:uid="{0D1222FC-7287-48EC-ACDD-66C6D3E47C44}"/>
    <cellStyle name="Style 98 3 2 2 4 6 2" xfId="38550" xr:uid="{25BDAC48-7C6B-457F-B09B-419639357118}"/>
    <cellStyle name="Style 98 3 2 2 4 7" xfId="20137" xr:uid="{3A8E1319-1BE3-45AF-A0EC-2268015FB60D}"/>
    <cellStyle name="Style 98 3 2 2 4 7 2" xfId="38551" xr:uid="{2C30650B-24E2-47C8-9355-C2E0A3826280}"/>
    <cellStyle name="Style 98 3 2 2 5" xfId="20138" xr:uid="{CFD420CE-AD06-4224-A164-4EDDE1EEC157}"/>
    <cellStyle name="Style 98 3 2 2 5 2" xfId="20139" xr:uid="{2C602918-EA8F-4C57-B9BC-FC2B71F13CE6}"/>
    <cellStyle name="Style 98 3 2 2 5 2 2" xfId="38552" xr:uid="{59D98EAB-A87B-4FDC-9E82-18F8632AFD2C}"/>
    <cellStyle name="Style 98 3 2 2 5 3" xfId="20140" xr:uid="{0342D0E0-B30B-4525-829B-2E8815CC9823}"/>
    <cellStyle name="Style 98 3 2 2 5 3 2" xfId="38553" xr:uid="{1320C41B-CB83-4EC5-9473-86B86ECCC4D7}"/>
    <cellStyle name="Style 98 3 2 2 6" xfId="20141" xr:uid="{5144F78B-052D-4C67-83EF-0C6BA62205D7}"/>
    <cellStyle name="Style 98 3 2 2 6 2" xfId="20142" xr:uid="{49613F49-D12D-4327-A520-5F71FBF199A8}"/>
    <cellStyle name="Style 98 3 2 2 6 2 2" xfId="38555" xr:uid="{73AFDD8A-9EF5-4BC6-9B98-6DCA92707B48}"/>
    <cellStyle name="Style 98 3 2 2 6 3" xfId="38554" xr:uid="{0E138B74-065F-4523-8B9D-206533213EFF}"/>
    <cellStyle name="Style 98 3 2 2 7" xfId="20143" xr:uid="{9CCE6D8A-7B24-40ED-8FF1-58DDE18781C2}"/>
    <cellStyle name="Style 98 3 2 2 7 2" xfId="20144" xr:uid="{32E34853-1484-42A4-BBF0-F00F37095F71}"/>
    <cellStyle name="Style 98 3 2 2 7 2 2" xfId="38557" xr:uid="{13BB80B0-6098-44D9-9570-D2B6B7FB6DB0}"/>
    <cellStyle name="Style 98 3 2 2 7 3" xfId="38556" xr:uid="{27907B32-5CCB-44BE-BD62-93A6B1D5F22B}"/>
    <cellStyle name="Style 98 3 2 2 8" xfId="20145" xr:uid="{81B71990-12B1-46D1-AE87-71C36C2DC2C1}"/>
    <cellStyle name="Style 98 3 2 2 8 2" xfId="20146" xr:uid="{ED751570-01C6-4AF8-B1CA-5F231338B8D3}"/>
    <cellStyle name="Style 98 3 2 2 8 2 2" xfId="38559" xr:uid="{2149B8DF-C118-465C-9BF6-66D1B028ABB4}"/>
    <cellStyle name="Style 98 3 2 2 8 3" xfId="38558" xr:uid="{D9BA4FC9-775E-48D0-9DA4-47A0C7354947}"/>
    <cellStyle name="Style 98 3 2 2 9" xfId="20147" xr:uid="{1A81C0F3-2CF5-4143-9238-0C1F76BA37FE}"/>
    <cellStyle name="Style 98 3 2 2 9 2" xfId="20148" xr:uid="{DEE9B26C-1FF6-40BB-89ED-E88F0631BA39}"/>
    <cellStyle name="Style 98 3 2 2 9 2 2" xfId="38561" xr:uid="{A774266F-62A0-444A-A833-D48D6EE98008}"/>
    <cellStyle name="Style 98 3 2 2 9 3" xfId="38560" xr:uid="{FAC46E42-8151-4A43-8C51-187B6C6FEE37}"/>
    <cellStyle name="Style 98 3 2 3" xfId="3863" xr:uid="{8AD2114C-B121-49BB-8498-11FD1FCAD956}"/>
    <cellStyle name="Style 98 3 2 3 10" xfId="20149" xr:uid="{19B2D081-368E-4E80-B4A5-FF78F5BD6C7A}"/>
    <cellStyle name="Style 98 3 2 3 10 2" xfId="38562" xr:uid="{CFDB568C-FC3D-4378-AAB9-4BDDD1C8FC7A}"/>
    <cellStyle name="Style 98 3 2 3 11" xfId="20150" xr:uid="{278981FD-6B96-4B17-BE95-544096437B4A}"/>
    <cellStyle name="Style 98 3 2 3 11 2" xfId="38563" xr:uid="{B28BCF08-BBEF-402D-A5EB-B488F07C0166}"/>
    <cellStyle name="Style 98 3 2 3 2" xfId="3864" xr:uid="{33CAEBFF-9886-452C-9D2E-953E91E085A9}"/>
    <cellStyle name="Style 98 3 2 3 2 2" xfId="7828" xr:uid="{14210FC9-01D4-4060-8A79-CF077F5F709B}"/>
    <cellStyle name="Style 98 3 2 3 2 2 2" xfId="20151" xr:uid="{9701B6E4-FA96-40AB-A29C-EBFEC1E83EF9}"/>
    <cellStyle name="Style 98 3 2 3 2 2 2 2" xfId="20152" xr:uid="{EA809FB8-22D6-4972-90EB-FFC286A232CB}"/>
    <cellStyle name="Style 98 3 2 3 2 2 2 2 2" xfId="38565" xr:uid="{D7BD1984-28BA-481B-BF6A-24CA801928D6}"/>
    <cellStyle name="Style 98 3 2 3 2 2 2 3" xfId="38564" xr:uid="{B817A291-5ADB-44C7-93E9-06C9993AD641}"/>
    <cellStyle name="Style 98 3 2 3 2 2 3" xfId="20153" xr:uid="{D2C5F5ED-197B-4DEE-BCB9-514DC0A62FEB}"/>
    <cellStyle name="Style 98 3 2 3 2 2 3 2" xfId="20154" xr:uid="{E5D948AB-0F5D-4679-8D36-52FAE7941E53}"/>
    <cellStyle name="Style 98 3 2 3 2 2 3 2 2" xfId="38567" xr:uid="{92559637-66CD-4DFA-94A8-66E53BA4B28A}"/>
    <cellStyle name="Style 98 3 2 3 2 2 3 3" xfId="38566" xr:uid="{D17ABAD5-8E5B-4449-A256-BCBD40443E09}"/>
    <cellStyle name="Style 98 3 2 3 2 2 4" xfId="20155" xr:uid="{6BD389CA-7397-40BA-A366-8CD15217D460}"/>
    <cellStyle name="Style 98 3 2 3 2 2 4 2" xfId="20156" xr:uid="{7B13700C-5D4B-40D6-BF03-2A70E5E46E02}"/>
    <cellStyle name="Style 98 3 2 3 2 2 4 2 2" xfId="38569" xr:uid="{158EDBB4-E739-46F9-8071-8934E2565699}"/>
    <cellStyle name="Style 98 3 2 3 2 2 4 3" xfId="38568" xr:uid="{0FE94083-EADA-4BBB-BA33-544091617BD6}"/>
    <cellStyle name="Style 98 3 2 3 2 2 5" xfId="20157" xr:uid="{88D51F5C-8F45-46CE-AE9A-27C19C6BE0BD}"/>
    <cellStyle name="Style 98 3 2 3 2 2 5 2" xfId="20158" xr:uid="{C0391002-82B8-4FDB-B246-24CB58807B5F}"/>
    <cellStyle name="Style 98 3 2 3 2 2 5 2 2" xfId="38571" xr:uid="{1E0D8DE9-A691-43AB-99D3-C63E5E3B88DA}"/>
    <cellStyle name="Style 98 3 2 3 2 2 5 3" xfId="38570" xr:uid="{D024D7E1-73DA-4C28-8F1C-CADE6C6814DE}"/>
    <cellStyle name="Style 98 3 2 3 2 2 6" xfId="20159" xr:uid="{F89B2B16-F1D2-45DC-8BC6-8C050297B2AD}"/>
    <cellStyle name="Style 98 3 2 3 2 2 6 2" xfId="38572" xr:uid="{57FCE226-C9ED-4DB3-953B-4815222DD0DA}"/>
    <cellStyle name="Style 98 3 2 3 2 2 7" xfId="20160" xr:uid="{89937F90-915D-4CBF-9970-24DC4474191E}"/>
    <cellStyle name="Style 98 3 2 3 2 2 7 2" xfId="38573" xr:uid="{62A6E241-49C5-4349-A392-447BBB09AAC7}"/>
    <cellStyle name="Style 98 3 2 3 2 3" xfId="20161" xr:uid="{F2D8093D-B672-4883-B61A-35008CAEB4DA}"/>
    <cellStyle name="Style 98 3 2 3 2 3 2" xfId="20162" xr:uid="{860162E1-157C-4D47-8483-E19D35745AC7}"/>
    <cellStyle name="Style 98 3 2 3 2 3 2 2" xfId="38574" xr:uid="{1DDC7A3F-B3DE-48EF-A8B9-0F67481F59CB}"/>
    <cellStyle name="Style 98 3 2 3 2 3 3" xfId="20163" xr:uid="{F0EFECC6-20B5-4E48-AD0C-69ADB1B9ED07}"/>
    <cellStyle name="Style 98 3 2 3 2 3 3 2" xfId="38575" xr:uid="{91B0BD29-CBF0-4C5A-9FEF-2B8143C11965}"/>
    <cellStyle name="Style 98 3 2 3 2 4" xfId="20164" xr:uid="{0D2F93E5-D513-498E-8E0A-40281854F28B}"/>
    <cellStyle name="Style 98 3 2 3 2 4 2" xfId="20165" xr:uid="{E1136C83-77D3-4ECA-9F14-AC37149F8081}"/>
    <cellStyle name="Style 98 3 2 3 2 4 2 2" xfId="38577" xr:uid="{D6B72BB2-EFB0-4252-BBDF-345A1E74AE04}"/>
    <cellStyle name="Style 98 3 2 3 2 4 3" xfId="38576" xr:uid="{7D3723B4-F674-4FD8-96D2-B065D5FEB9A2}"/>
    <cellStyle name="Style 98 3 2 3 2 5" xfId="20166" xr:uid="{1D587129-FE25-49B0-ADB8-386C90661FD9}"/>
    <cellStyle name="Style 98 3 2 3 2 5 2" xfId="20167" xr:uid="{5CA51BFA-E1DC-4F74-A9E9-A63D811A2502}"/>
    <cellStyle name="Style 98 3 2 3 2 5 2 2" xfId="38579" xr:uid="{18431126-2C04-43F6-86CC-63B2A6FC648E}"/>
    <cellStyle name="Style 98 3 2 3 2 5 3" xfId="38578" xr:uid="{2AB3E8C9-A781-410C-B9E5-5A2D39758BF8}"/>
    <cellStyle name="Style 98 3 2 3 2 6" xfId="20168" xr:uid="{219026BA-15AD-411C-B7AC-37E277AECDB5}"/>
    <cellStyle name="Style 98 3 2 3 2 6 2" xfId="20169" xr:uid="{E793E02F-AE73-48DA-9444-146C47410727}"/>
    <cellStyle name="Style 98 3 2 3 2 6 2 2" xfId="38581" xr:uid="{21DBE28B-3EE3-4B5C-8843-683F5CDCD114}"/>
    <cellStyle name="Style 98 3 2 3 2 6 3" xfId="38580" xr:uid="{33D55BAD-AE8A-46AA-B5CF-96AD42CA71D9}"/>
    <cellStyle name="Style 98 3 2 3 2 7" xfId="20170" xr:uid="{2D3067DD-8235-4541-B40C-D928F702AE77}"/>
    <cellStyle name="Style 98 3 2 3 2 7 2" xfId="20171" xr:uid="{486E98CA-2794-4BA9-863F-F388942EE5A0}"/>
    <cellStyle name="Style 98 3 2 3 2 7 2 2" xfId="38583" xr:uid="{D5663F2B-F008-429D-A141-E8277CFCC38A}"/>
    <cellStyle name="Style 98 3 2 3 2 7 3" xfId="38582" xr:uid="{80DB1AA2-1652-4C60-B72B-1520FE74F671}"/>
    <cellStyle name="Style 98 3 2 3 2 8" xfId="20172" xr:uid="{C5401DA7-1F42-44DE-AE0F-947D4D17FD59}"/>
    <cellStyle name="Style 98 3 2 3 2 8 2" xfId="38584" xr:uid="{0B08A49C-A9DB-406F-A0EC-55A7A11D5B55}"/>
    <cellStyle name="Style 98 3 2 3 2 9" xfId="20173" xr:uid="{7BFEA376-55B8-4C81-AF28-881A34B431B1}"/>
    <cellStyle name="Style 98 3 2 3 2 9 2" xfId="38585" xr:uid="{F7B9DC4A-1BF0-42B1-A5B8-2AC12639EF6B}"/>
    <cellStyle name="Style 98 3 2 3 3" xfId="7827" xr:uid="{9A5CEB2A-2954-400C-BFEF-65AD1A0780DA}"/>
    <cellStyle name="Style 98 3 2 3 3 2" xfId="20174" xr:uid="{2A20475C-33D1-475E-9A80-3486C31710A4}"/>
    <cellStyle name="Style 98 3 2 3 3 2 2" xfId="20175" xr:uid="{CC453115-CED8-461C-AE2A-9A5B071839D1}"/>
    <cellStyle name="Style 98 3 2 3 3 2 2 2" xfId="38587" xr:uid="{C0E000C4-F3EF-43C8-83F5-A0928C04C307}"/>
    <cellStyle name="Style 98 3 2 3 3 2 3" xfId="38586" xr:uid="{552AF2C5-38E1-4C64-B172-BA7A6E85D3A3}"/>
    <cellStyle name="Style 98 3 2 3 3 3" xfId="20176" xr:uid="{1ED99442-7AB2-4BE7-8AAA-6FA4EF5C256D}"/>
    <cellStyle name="Style 98 3 2 3 3 3 2" xfId="20177" xr:uid="{30917479-4403-475D-B653-BF488EC3547F}"/>
    <cellStyle name="Style 98 3 2 3 3 3 2 2" xfId="38589" xr:uid="{D1165675-F246-40F7-9B2E-E05FF934D092}"/>
    <cellStyle name="Style 98 3 2 3 3 3 3" xfId="38588" xr:uid="{CD0A2E58-044B-443A-9733-4E2D63B55F7F}"/>
    <cellStyle name="Style 98 3 2 3 3 4" xfId="20178" xr:uid="{0329E58B-1326-4D5C-98A6-3020D937E50E}"/>
    <cellStyle name="Style 98 3 2 3 3 4 2" xfId="20179" xr:uid="{F395E732-18D6-41FD-8103-D3D8D5A715BB}"/>
    <cellStyle name="Style 98 3 2 3 3 4 2 2" xfId="38591" xr:uid="{6657B731-6E1A-4086-A2B2-407B564E0D70}"/>
    <cellStyle name="Style 98 3 2 3 3 4 3" xfId="38590" xr:uid="{939BACDC-F575-4E2D-AB0D-7F65BF432921}"/>
    <cellStyle name="Style 98 3 2 3 3 5" xfId="20180" xr:uid="{6264F1C5-EB73-4C4F-95AD-619428185C4B}"/>
    <cellStyle name="Style 98 3 2 3 3 5 2" xfId="20181" xr:uid="{E35F935D-C324-459F-8B8A-B8C0C3D05052}"/>
    <cellStyle name="Style 98 3 2 3 3 5 2 2" xfId="38593" xr:uid="{BA5A6CF9-39F8-4004-8C5C-7A880AD8E07C}"/>
    <cellStyle name="Style 98 3 2 3 3 5 3" xfId="38592" xr:uid="{000F28F8-33FC-4D7B-AA9D-1DE88243E1DB}"/>
    <cellStyle name="Style 98 3 2 3 3 6" xfId="20182" xr:uid="{A3BD28E5-9A41-4DE7-AE06-544AC12327C7}"/>
    <cellStyle name="Style 98 3 2 3 3 6 2" xfId="38594" xr:uid="{47A24192-D2C7-4017-9EE1-6439B98BB117}"/>
    <cellStyle name="Style 98 3 2 3 3 7" xfId="20183" xr:uid="{D4EA04D5-C4CD-4D2C-8304-6EF93976CB32}"/>
    <cellStyle name="Style 98 3 2 3 3 7 2" xfId="38595" xr:uid="{48AC8D7E-7D19-47DC-97CD-E993EC5FE24B}"/>
    <cellStyle name="Style 98 3 2 3 4" xfId="20184" xr:uid="{1514DBA7-EBA8-4CB0-81AE-2D3B178BAE33}"/>
    <cellStyle name="Style 98 3 2 3 4 2" xfId="20185" xr:uid="{1CAD4344-DC84-4B26-8BE5-F24514998DBD}"/>
    <cellStyle name="Style 98 3 2 3 4 2 2" xfId="38596" xr:uid="{0DAE45E0-4039-41BD-9213-A240930CA002}"/>
    <cellStyle name="Style 98 3 2 3 4 3" xfId="20186" xr:uid="{65CFEBCA-A3BF-4AF1-8636-028AF5D852A9}"/>
    <cellStyle name="Style 98 3 2 3 4 3 2" xfId="38597" xr:uid="{C03500B7-BB1C-44E2-B7AC-AE9420F3731F}"/>
    <cellStyle name="Style 98 3 2 3 5" xfId="20187" xr:uid="{BD0AF309-CCAD-4A7D-91C0-7FC9EEE3E6C5}"/>
    <cellStyle name="Style 98 3 2 3 5 2" xfId="20188" xr:uid="{7DCF379B-8E82-4A59-965D-597B317AAD81}"/>
    <cellStyle name="Style 98 3 2 3 5 2 2" xfId="38599" xr:uid="{A00DE152-16A6-4A5C-9797-66AB2FF8BD2C}"/>
    <cellStyle name="Style 98 3 2 3 5 3" xfId="38598" xr:uid="{EA255E9F-240E-4E5C-882B-0C3E9FEBAA84}"/>
    <cellStyle name="Style 98 3 2 3 6" xfId="20189" xr:uid="{3ADDB082-D5EC-4F02-A709-A611133993ED}"/>
    <cellStyle name="Style 98 3 2 3 6 2" xfId="20190" xr:uid="{23347039-529F-4D56-83E6-77A44567CF7C}"/>
    <cellStyle name="Style 98 3 2 3 6 2 2" xfId="38601" xr:uid="{7BDFF186-7C86-49BD-91D3-455D5AF57A59}"/>
    <cellStyle name="Style 98 3 2 3 6 3" xfId="38600" xr:uid="{5DA2162F-0371-43BA-8D1B-E1FC95FFE6F0}"/>
    <cellStyle name="Style 98 3 2 3 7" xfId="20191" xr:uid="{553C00DF-8331-459E-995C-BB8D944560D1}"/>
    <cellStyle name="Style 98 3 2 3 7 2" xfId="20192" xr:uid="{1F4512EF-DDFB-4F82-83D6-76A4743F4F01}"/>
    <cellStyle name="Style 98 3 2 3 7 2 2" xfId="38603" xr:uid="{AA8349D4-F549-46EF-B42E-F06F24F6C613}"/>
    <cellStyle name="Style 98 3 2 3 7 3" xfId="38602" xr:uid="{525FD4E5-D711-4176-AAC4-A26BC20569C3}"/>
    <cellStyle name="Style 98 3 2 3 8" xfId="20193" xr:uid="{3A2BC728-64A9-44DF-80C1-6770005F8B4C}"/>
    <cellStyle name="Style 98 3 2 3 8 2" xfId="20194" xr:uid="{84FEFDC1-5AAB-40F1-B05A-2AF7DEFA5B42}"/>
    <cellStyle name="Style 98 3 2 3 8 2 2" xfId="38605" xr:uid="{D23F4F6C-9B6D-44FD-A648-EFCF4D80A40E}"/>
    <cellStyle name="Style 98 3 2 3 8 3" xfId="38604" xr:uid="{FEED9724-4DF1-4A92-884D-4DDDA6044EBC}"/>
    <cellStyle name="Style 98 3 2 3 9" xfId="20195" xr:uid="{35852FAF-1CB2-4D90-AA40-06EE9A2B7830}"/>
    <cellStyle name="Style 98 3 2 3 9 2" xfId="20196" xr:uid="{EA12733D-9D07-4A30-A4EE-9537FF7ED5FD}"/>
    <cellStyle name="Style 98 3 2 3 9 2 2" xfId="38607" xr:uid="{64DDF35B-E655-484A-9097-0DB581D7CB9B}"/>
    <cellStyle name="Style 98 3 2 3 9 3" xfId="38606" xr:uid="{C6869534-CF7C-47EA-8401-5BBB0D377936}"/>
    <cellStyle name="Style 98 3 2 4" xfId="3865" xr:uid="{6B2576D3-7BE2-4019-9DAC-835C8D7783F5}"/>
    <cellStyle name="Style 98 3 2 4 2" xfId="7829" xr:uid="{1F19D22D-DA96-4C00-B132-BB5FC93ACF35}"/>
    <cellStyle name="Style 98 3 2 4 2 2" xfId="20197" xr:uid="{CC05F448-1C61-4CDE-B6AA-6696F45EF08F}"/>
    <cellStyle name="Style 98 3 2 4 2 2 2" xfId="20198" xr:uid="{71DAFE4F-E0CF-40FA-988D-9EDBD19EBFF2}"/>
    <cellStyle name="Style 98 3 2 4 2 2 2 2" xfId="38609" xr:uid="{E3FED3EF-7E3B-4243-8502-DA3ADE866CDD}"/>
    <cellStyle name="Style 98 3 2 4 2 2 3" xfId="38608" xr:uid="{0A827FA7-A1A5-41DB-B0E9-D72C8CCEC292}"/>
    <cellStyle name="Style 98 3 2 4 2 3" xfId="20199" xr:uid="{6D1547EC-1DCD-414B-A626-8386BA7339DF}"/>
    <cellStyle name="Style 98 3 2 4 2 3 2" xfId="20200" xr:uid="{D44B3B7D-5D48-44C2-8E7B-2E227BFE4C18}"/>
    <cellStyle name="Style 98 3 2 4 2 3 2 2" xfId="38611" xr:uid="{9B6CE962-CDE9-4E7F-90A7-A557A29994B6}"/>
    <cellStyle name="Style 98 3 2 4 2 3 3" xfId="38610" xr:uid="{3CD9EAD3-AB92-406C-B5BB-954059E27DB2}"/>
    <cellStyle name="Style 98 3 2 4 2 4" xfId="20201" xr:uid="{C19C6A6D-3159-4BCC-8C9D-172D4BAB9E41}"/>
    <cellStyle name="Style 98 3 2 4 2 4 2" xfId="20202" xr:uid="{CEF177FE-900E-467B-A009-A1EBBFD7714B}"/>
    <cellStyle name="Style 98 3 2 4 2 4 2 2" xfId="38613" xr:uid="{9F112659-D9DF-40CF-B33F-4E0335254B59}"/>
    <cellStyle name="Style 98 3 2 4 2 4 3" xfId="38612" xr:uid="{EDB8FD97-49CD-4A34-A8CF-9B5424F1A52B}"/>
    <cellStyle name="Style 98 3 2 4 2 5" xfId="20203" xr:uid="{AA02D333-1388-415E-AA97-6A72632E635F}"/>
    <cellStyle name="Style 98 3 2 4 2 5 2" xfId="20204" xr:uid="{8509226F-8CA3-461F-B556-FE4BB2D12035}"/>
    <cellStyle name="Style 98 3 2 4 2 5 2 2" xfId="38615" xr:uid="{C83A07A4-2281-4756-8BC2-DF3AADE902D1}"/>
    <cellStyle name="Style 98 3 2 4 2 5 3" xfId="38614" xr:uid="{322FB105-1B15-4C3C-B287-3CDA4525F00B}"/>
    <cellStyle name="Style 98 3 2 4 2 6" xfId="20205" xr:uid="{3E839DC3-954D-4ECC-B2BE-A1188A6EA20B}"/>
    <cellStyle name="Style 98 3 2 4 2 6 2" xfId="38616" xr:uid="{D51FE72E-F443-47B8-AD47-C23EF0B44AF8}"/>
    <cellStyle name="Style 98 3 2 4 2 7" xfId="20206" xr:uid="{056943DE-72B3-447E-BBD9-E7EAA12CA329}"/>
    <cellStyle name="Style 98 3 2 4 2 7 2" xfId="38617" xr:uid="{F2795E61-F7D2-40E2-BD24-8242F193226B}"/>
    <cellStyle name="Style 98 3 2 4 3" xfId="20207" xr:uid="{FA849525-A2E8-4491-9A00-E7FBCC2455F4}"/>
    <cellStyle name="Style 98 3 2 4 3 2" xfId="20208" xr:uid="{C6392D44-461D-4248-A594-DB4640E43924}"/>
    <cellStyle name="Style 98 3 2 4 3 2 2" xfId="38618" xr:uid="{2F98729F-75A4-47F6-AC2F-DE17C18D9203}"/>
    <cellStyle name="Style 98 3 2 4 3 3" xfId="20209" xr:uid="{F3A4F89D-3F3B-45C2-96EA-7688212633F3}"/>
    <cellStyle name="Style 98 3 2 4 3 3 2" xfId="38619" xr:uid="{B48B8068-B55A-4195-A384-E3B0DB911791}"/>
    <cellStyle name="Style 98 3 2 4 4" xfId="20210" xr:uid="{15451993-FE55-4002-9AAF-1CE9F734413A}"/>
    <cellStyle name="Style 98 3 2 4 4 2" xfId="20211" xr:uid="{A95D5AE1-78F0-47EC-9808-5A812CA965BF}"/>
    <cellStyle name="Style 98 3 2 4 4 2 2" xfId="38621" xr:uid="{82673509-1DA6-4856-826D-B9DC7DBC418B}"/>
    <cellStyle name="Style 98 3 2 4 4 3" xfId="38620" xr:uid="{EDD376FD-85E4-40DF-8342-AC2EAA4DECB0}"/>
    <cellStyle name="Style 98 3 2 4 5" xfId="20212" xr:uid="{DA6AD006-BE37-416B-9283-53F80512E110}"/>
    <cellStyle name="Style 98 3 2 4 5 2" xfId="20213" xr:uid="{0D655218-5FC7-4701-8CC2-A617A15749B3}"/>
    <cellStyle name="Style 98 3 2 4 5 2 2" xfId="38623" xr:uid="{7A174221-F2E8-4E39-A244-0FFF5BF12AD7}"/>
    <cellStyle name="Style 98 3 2 4 5 3" xfId="38622" xr:uid="{E48C05CA-1392-4E2A-9CC4-48B3E3BF8FB5}"/>
    <cellStyle name="Style 98 3 2 4 6" xfId="20214" xr:uid="{E0FE9B63-FE52-47AF-9FC5-A730F0D14E81}"/>
    <cellStyle name="Style 98 3 2 4 6 2" xfId="20215" xr:uid="{16F295AC-E9B4-4554-85C5-062C7C59387D}"/>
    <cellStyle name="Style 98 3 2 4 6 2 2" xfId="38625" xr:uid="{9C70E23F-87A2-4101-93AE-4FF92C603316}"/>
    <cellStyle name="Style 98 3 2 4 6 3" xfId="38624" xr:uid="{3B36191D-F070-48FF-B5C3-E7A7502107F3}"/>
    <cellStyle name="Style 98 3 2 4 7" xfId="20216" xr:uid="{904E125E-980C-44DC-9CB1-660E6055ABDE}"/>
    <cellStyle name="Style 98 3 2 4 7 2" xfId="20217" xr:uid="{496E5B1B-6C6A-4715-9E1E-FF52D56CAA6E}"/>
    <cellStyle name="Style 98 3 2 4 7 2 2" xfId="38627" xr:uid="{DDC05B1C-8951-4031-A7CC-AA55A3784156}"/>
    <cellStyle name="Style 98 3 2 4 7 3" xfId="38626" xr:uid="{28AD66EC-D59F-4929-A32F-5131F4608975}"/>
    <cellStyle name="Style 98 3 2 4 8" xfId="20218" xr:uid="{B1250249-2A3C-452D-8AB9-C0AB80877E63}"/>
    <cellStyle name="Style 98 3 2 4 8 2" xfId="38628" xr:uid="{6AE4CC69-A075-4AC5-99D4-2BA5D53C9525}"/>
    <cellStyle name="Style 98 3 2 4 9" xfId="20219" xr:uid="{84A44142-5DA4-43E7-A427-44C08DFEBC49}"/>
    <cellStyle name="Style 98 3 2 4 9 2" xfId="38629" xr:uid="{B232B9AC-D44F-4BEF-838A-B9F039BE0D05}"/>
    <cellStyle name="Style 98 3 2 5" xfId="7822" xr:uid="{9AEFFCEB-7FB3-4694-9641-F777C114B351}"/>
    <cellStyle name="Style 98 3 2 5 2" xfId="20220" xr:uid="{BC13FAA7-294F-49A9-A71B-00621CE5CAAF}"/>
    <cellStyle name="Style 98 3 2 5 2 2" xfId="20221" xr:uid="{D6C93BC6-5D78-4028-8C69-741CE7000707}"/>
    <cellStyle name="Style 98 3 2 5 2 2 2" xfId="38631" xr:uid="{10DEF4DA-BB3B-4D09-89FA-7860DEDAAA68}"/>
    <cellStyle name="Style 98 3 2 5 2 3" xfId="38630" xr:uid="{B2EE5994-2B0C-46DD-BAD9-4AE2EC16DA59}"/>
    <cellStyle name="Style 98 3 2 5 3" xfId="20222" xr:uid="{92988C11-768B-4554-AD6D-577288A98C84}"/>
    <cellStyle name="Style 98 3 2 5 3 2" xfId="20223" xr:uid="{816143B0-262B-42C5-B175-D0FFD3C2281A}"/>
    <cellStyle name="Style 98 3 2 5 3 2 2" xfId="38633" xr:uid="{984256E3-9692-43CA-A480-63C4FAB4A8DF}"/>
    <cellStyle name="Style 98 3 2 5 3 3" xfId="38632" xr:uid="{2349BB64-E08C-4856-828E-67884A81EA12}"/>
    <cellStyle name="Style 98 3 2 5 4" xfId="20224" xr:uid="{7CD4B4BA-2C68-43B6-88DE-498C387DAE12}"/>
    <cellStyle name="Style 98 3 2 5 4 2" xfId="20225" xr:uid="{B5F3C8CF-A1EA-4D17-A41E-DFEC974C80DA}"/>
    <cellStyle name="Style 98 3 2 5 4 2 2" xfId="38635" xr:uid="{4B1A7410-B3F0-4694-9301-CF9CB5D98C28}"/>
    <cellStyle name="Style 98 3 2 5 4 3" xfId="38634" xr:uid="{63CE5B22-305A-4F7D-8FFE-3CC1954E94BF}"/>
    <cellStyle name="Style 98 3 2 5 5" xfId="20226" xr:uid="{8217EE5F-3A7C-4BD1-B4ED-492E2AB4D684}"/>
    <cellStyle name="Style 98 3 2 5 5 2" xfId="20227" xr:uid="{DEFE5482-16B8-41F6-8FFB-7B827FC27AD1}"/>
    <cellStyle name="Style 98 3 2 5 5 2 2" xfId="38637" xr:uid="{5B6355C0-EF6E-4DFD-985B-C05588D7C411}"/>
    <cellStyle name="Style 98 3 2 5 5 3" xfId="38636" xr:uid="{6A0DEFD7-A991-4194-B3DA-F99ED51DFA18}"/>
    <cellStyle name="Style 98 3 2 5 6" xfId="20228" xr:uid="{EBA098C9-293B-492C-ADC4-B608E556BA9B}"/>
    <cellStyle name="Style 98 3 2 5 6 2" xfId="38638" xr:uid="{C3AA88A4-8264-4838-9E6F-D1A94C1C55E5}"/>
    <cellStyle name="Style 98 3 2 5 7" xfId="20229" xr:uid="{8CB09E6A-1829-4AE5-B709-EEF48EC41014}"/>
    <cellStyle name="Style 98 3 2 5 7 2" xfId="38639" xr:uid="{63F5D512-FCC4-46F6-84C4-913C751F0D74}"/>
    <cellStyle name="Style 98 3 2 6" xfId="20230" xr:uid="{EA67EFE6-8F42-4268-80B5-78F71839A673}"/>
    <cellStyle name="Style 98 3 2 6 2" xfId="20231" xr:uid="{24ADC33F-3E41-4C0C-AE8A-F880432B9A70}"/>
    <cellStyle name="Style 98 3 2 6 2 2" xfId="38640" xr:uid="{03040C18-1E8C-4AC4-B318-5200F7D7C78A}"/>
    <cellStyle name="Style 98 3 2 6 3" xfId="20232" xr:uid="{A907113F-F786-4744-83C4-E62FACF195E0}"/>
    <cellStyle name="Style 98 3 2 6 3 2" xfId="38641" xr:uid="{5357EFA0-A5F5-4AF6-8F7B-E8D1B05FC2B4}"/>
    <cellStyle name="Style 98 3 2 7" xfId="20233" xr:uid="{60335C9A-1C59-4522-8ECF-F3AFC6344C70}"/>
    <cellStyle name="Style 98 3 2 7 2" xfId="20234" xr:uid="{B7ED30AA-FB1D-4EF0-A696-1B7DED7C9BF3}"/>
    <cellStyle name="Style 98 3 2 7 2 2" xfId="38643" xr:uid="{B6FD156A-8C6F-4608-AA8C-57348C876D66}"/>
    <cellStyle name="Style 98 3 2 7 3" xfId="38642" xr:uid="{FD0AA59E-D864-4FE3-8CCB-7EB28C344288}"/>
    <cellStyle name="Style 98 3 2 8" xfId="20235" xr:uid="{EDDDF986-09D3-45B9-B79B-B229E07E1929}"/>
    <cellStyle name="Style 98 3 2 8 2" xfId="20236" xr:uid="{999F07E7-EFF6-42BC-A84C-8EF15B2266AC}"/>
    <cellStyle name="Style 98 3 2 8 2 2" xfId="38645" xr:uid="{8ADC30BD-E1AB-430D-88DB-DBBCCA2637FC}"/>
    <cellStyle name="Style 98 3 2 8 3" xfId="38644" xr:uid="{38B3D43C-C7EF-493F-86D1-42C690A397A8}"/>
    <cellStyle name="Style 98 3 2 9" xfId="20237" xr:uid="{D8C74E11-B707-4292-97D4-5214D2EC5730}"/>
    <cellStyle name="Style 98 3 2 9 2" xfId="20238" xr:uid="{3E3575BE-EDA1-403B-992A-D5BCB8688B21}"/>
    <cellStyle name="Style 98 3 2 9 2 2" xfId="38647" xr:uid="{836A2042-2B88-4563-A29F-35CDEC89DA9D}"/>
    <cellStyle name="Style 98 3 2 9 3" xfId="38646" xr:uid="{4BA11F60-D31B-4EB6-B417-7111BAF71FA9}"/>
    <cellStyle name="Style 98 3 3" xfId="3866" xr:uid="{DAD2C32C-AB09-43E0-9E1F-697F21F81B33}"/>
    <cellStyle name="Style 98 3 3 10" xfId="20239" xr:uid="{A33B41A9-622C-496A-8530-E295F6A31E41}"/>
    <cellStyle name="Style 98 3 3 10 2" xfId="20240" xr:uid="{EE26CB2B-1C67-4566-A444-F990F7E591B1}"/>
    <cellStyle name="Style 98 3 3 10 2 2" xfId="38649" xr:uid="{B2B2D57B-B421-410B-947D-9A63607560E3}"/>
    <cellStyle name="Style 98 3 3 10 3" xfId="38648" xr:uid="{A4801A9D-B29A-43C9-A5F1-E1F34958BCC5}"/>
    <cellStyle name="Style 98 3 3 11" xfId="20241" xr:uid="{46139DA4-D591-4C72-BE3E-764E7818E572}"/>
    <cellStyle name="Style 98 3 3 11 2" xfId="38650" xr:uid="{B86ECDC7-FDE5-4BBC-8986-D485DC8952F2}"/>
    <cellStyle name="Style 98 3 3 12" xfId="20242" xr:uid="{653203E7-47AD-4A55-8104-9F4B323A5F88}"/>
    <cellStyle name="Style 98 3 3 12 2" xfId="38651" xr:uid="{B288D63E-7F5E-4A51-946E-0C12ACB6FC0E}"/>
    <cellStyle name="Style 98 3 3 2" xfId="3867" xr:uid="{AC995732-1675-4A79-BDD3-A4C7C0BCD6F2}"/>
    <cellStyle name="Style 98 3 3 2 10" xfId="20243" xr:uid="{725C5D10-8082-45F8-9E61-63A6BA45FF19}"/>
    <cellStyle name="Style 98 3 3 2 10 2" xfId="20244" xr:uid="{F0866B92-A97B-47CF-998D-B1A791D98231}"/>
    <cellStyle name="Style 98 3 3 2 10 2 2" xfId="38653" xr:uid="{90DE7478-5FB8-438B-981B-68C05BD97515}"/>
    <cellStyle name="Style 98 3 3 2 10 3" xfId="38652" xr:uid="{971CA05E-4171-4022-A8F6-5D2D83CBB7DE}"/>
    <cellStyle name="Style 98 3 3 2 11" xfId="20245" xr:uid="{DCABDFA6-BDC7-4444-8510-CF62D5C61A6C}"/>
    <cellStyle name="Style 98 3 3 2 11 2" xfId="38654" xr:uid="{38FCA0CA-DC89-4290-B213-A3FE1C63E9C5}"/>
    <cellStyle name="Style 98 3 3 2 12" xfId="20246" xr:uid="{B5B62FBE-D81E-4BB9-8AD5-82E9C13F5AD6}"/>
    <cellStyle name="Style 98 3 3 2 12 2" xfId="38655" xr:uid="{56E91F7A-63F9-4665-BCED-14C393A78B36}"/>
    <cellStyle name="Style 98 3 3 2 2" xfId="3868" xr:uid="{19279FDA-48EC-4336-AE66-6E8BD8F06A3A}"/>
    <cellStyle name="Style 98 3 3 2 2 10" xfId="20247" xr:uid="{FD9BAA15-CD46-470E-970F-87B202F8DA7F}"/>
    <cellStyle name="Style 98 3 3 2 2 10 2" xfId="38656" xr:uid="{96A10483-93B1-4794-B1BD-6DAF34E02148}"/>
    <cellStyle name="Style 98 3 3 2 2 11" xfId="20248" xr:uid="{5983949D-8730-4434-9EAB-9EADAB74F59A}"/>
    <cellStyle name="Style 98 3 3 2 2 11 2" xfId="38657" xr:uid="{4B842E6D-E125-41C8-8F12-66B3DD282C50}"/>
    <cellStyle name="Style 98 3 3 2 2 2" xfId="3869" xr:uid="{27E64BEC-7D62-455A-8A50-D8964C2830F2}"/>
    <cellStyle name="Style 98 3 3 2 2 2 2" xfId="7833" xr:uid="{5411A115-124A-4C39-95DE-579E8DF67C2D}"/>
    <cellStyle name="Style 98 3 3 2 2 2 2 2" xfId="20249" xr:uid="{55C6C49A-C059-4812-A780-7A2B89023434}"/>
    <cellStyle name="Style 98 3 3 2 2 2 2 2 2" xfId="20250" xr:uid="{D64EDD15-F5E8-420F-B51E-1630FD088759}"/>
    <cellStyle name="Style 98 3 3 2 2 2 2 2 2 2" xfId="38659" xr:uid="{3FBE56A0-661A-4181-94F5-B423E8AD5C49}"/>
    <cellStyle name="Style 98 3 3 2 2 2 2 2 3" xfId="38658" xr:uid="{EEE90D1E-B3E8-4A26-8553-7513E80DDC0A}"/>
    <cellStyle name="Style 98 3 3 2 2 2 2 3" xfId="20251" xr:uid="{B2AA981E-10F1-40BB-9A7B-DEFBD0D95571}"/>
    <cellStyle name="Style 98 3 3 2 2 2 2 3 2" xfId="20252" xr:uid="{D5123443-EEAE-4B04-B817-DD988EDBE59F}"/>
    <cellStyle name="Style 98 3 3 2 2 2 2 3 2 2" xfId="38661" xr:uid="{14830941-BEA3-4C12-8CDF-918343C36ED9}"/>
    <cellStyle name="Style 98 3 3 2 2 2 2 3 3" xfId="38660" xr:uid="{4E140DE2-00E1-411B-85F3-18678F556449}"/>
    <cellStyle name="Style 98 3 3 2 2 2 2 4" xfId="20253" xr:uid="{2413412B-79DF-4D69-990C-660C3A00D08D}"/>
    <cellStyle name="Style 98 3 3 2 2 2 2 4 2" xfId="20254" xr:uid="{E077CC71-081B-461D-BA94-96A2EDE2164F}"/>
    <cellStyle name="Style 98 3 3 2 2 2 2 4 2 2" xfId="38663" xr:uid="{F4D369F3-5329-48BE-9D62-124E7437514B}"/>
    <cellStyle name="Style 98 3 3 2 2 2 2 4 3" xfId="38662" xr:uid="{4C24162C-4001-4406-A787-D34CFD39C55F}"/>
    <cellStyle name="Style 98 3 3 2 2 2 2 5" xfId="20255" xr:uid="{9EC4B442-62C7-4931-B714-DBE09D8F0518}"/>
    <cellStyle name="Style 98 3 3 2 2 2 2 5 2" xfId="20256" xr:uid="{450E17B8-2721-4B67-BE8A-38D749E1C32F}"/>
    <cellStyle name="Style 98 3 3 2 2 2 2 5 2 2" xfId="38665" xr:uid="{A57E5155-CD1E-4FC9-911B-2A09465781A8}"/>
    <cellStyle name="Style 98 3 3 2 2 2 2 5 3" xfId="38664" xr:uid="{B6CC89E5-04F7-405D-90FA-47D53EF01AFB}"/>
    <cellStyle name="Style 98 3 3 2 2 2 2 6" xfId="20257" xr:uid="{8FC175AE-F19F-4412-A11B-DE47CE1B4D35}"/>
    <cellStyle name="Style 98 3 3 2 2 2 2 6 2" xfId="38666" xr:uid="{E58D2366-8588-4ED3-B0BC-6F7AA9545D38}"/>
    <cellStyle name="Style 98 3 3 2 2 2 2 7" xfId="20258" xr:uid="{30B67583-B59C-4477-A532-5FC81C996A85}"/>
    <cellStyle name="Style 98 3 3 2 2 2 2 7 2" xfId="38667" xr:uid="{A00D6A46-DA21-4392-BC44-9977FEFA8AB1}"/>
    <cellStyle name="Style 98 3 3 2 2 2 3" xfId="20259" xr:uid="{DB232EBA-490C-4752-ADFA-FAC0EA77DF38}"/>
    <cellStyle name="Style 98 3 3 2 2 2 3 2" xfId="20260" xr:uid="{681D5C75-49B4-4305-99A8-9BA210D59426}"/>
    <cellStyle name="Style 98 3 3 2 2 2 3 2 2" xfId="38668" xr:uid="{7B3B9872-23C3-4C94-876B-551CFDAE876F}"/>
    <cellStyle name="Style 98 3 3 2 2 2 3 3" xfId="20261" xr:uid="{B505358F-A70A-4D8A-85D6-E66CE6D1FA55}"/>
    <cellStyle name="Style 98 3 3 2 2 2 3 3 2" xfId="38669" xr:uid="{5EAC91E4-6376-4D14-8E73-C6F0FCEDE4B9}"/>
    <cellStyle name="Style 98 3 3 2 2 2 4" xfId="20262" xr:uid="{59E29F62-06ED-45D3-A017-6FD676B25BC5}"/>
    <cellStyle name="Style 98 3 3 2 2 2 4 2" xfId="20263" xr:uid="{6D6A275C-1765-4CE2-9F9A-91A826B8C800}"/>
    <cellStyle name="Style 98 3 3 2 2 2 4 2 2" xfId="38671" xr:uid="{16AA2407-83FD-40BF-8334-76FE82905B48}"/>
    <cellStyle name="Style 98 3 3 2 2 2 4 3" xfId="38670" xr:uid="{04DB251F-5271-42A3-AC2B-F489699EAC9A}"/>
    <cellStyle name="Style 98 3 3 2 2 2 5" xfId="20264" xr:uid="{DEE0CF5B-501C-4FC1-9740-9A9454399C06}"/>
    <cellStyle name="Style 98 3 3 2 2 2 5 2" xfId="20265" xr:uid="{2158E629-F734-4303-9699-F44F88533960}"/>
    <cellStyle name="Style 98 3 3 2 2 2 5 2 2" xfId="38673" xr:uid="{59DFD47F-085C-4543-865D-B0DB47450938}"/>
    <cellStyle name="Style 98 3 3 2 2 2 5 3" xfId="38672" xr:uid="{4A10754D-1C28-4358-82C5-CE714B09C579}"/>
    <cellStyle name="Style 98 3 3 2 2 2 6" xfId="20266" xr:uid="{986D6A6F-7711-4310-9487-0DF1F4AE8B10}"/>
    <cellStyle name="Style 98 3 3 2 2 2 6 2" xfId="20267" xr:uid="{0286D1C4-00B1-46B0-AA66-0811A8AB2B75}"/>
    <cellStyle name="Style 98 3 3 2 2 2 6 2 2" xfId="38675" xr:uid="{D34276E1-D314-48BF-8EC0-163212ED4A17}"/>
    <cellStyle name="Style 98 3 3 2 2 2 6 3" xfId="38674" xr:uid="{F357A818-2D54-4C44-A5E7-7716E28831C5}"/>
    <cellStyle name="Style 98 3 3 2 2 2 7" xfId="20268" xr:uid="{70D76609-4DFF-489D-99EC-9777FD719075}"/>
    <cellStyle name="Style 98 3 3 2 2 2 7 2" xfId="20269" xr:uid="{21456C51-478A-408B-8556-4088488BB1FE}"/>
    <cellStyle name="Style 98 3 3 2 2 2 7 2 2" xfId="38677" xr:uid="{765964D0-B9AE-400E-B9E3-76A977450EEE}"/>
    <cellStyle name="Style 98 3 3 2 2 2 7 3" xfId="38676" xr:uid="{909DEB12-E894-41E7-A06B-7ECF847EDA92}"/>
    <cellStyle name="Style 98 3 3 2 2 2 8" xfId="20270" xr:uid="{297B787D-F6F6-4C48-A10D-3A0236F93F87}"/>
    <cellStyle name="Style 98 3 3 2 2 2 8 2" xfId="38678" xr:uid="{D4717E1A-16AE-46FC-8CE0-D8850F7E3A7B}"/>
    <cellStyle name="Style 98 3 3 2 2 2 9" xfId="20271" xr:uid="{60F64A95-1603-4903-98AC-62DD951CAE37}"/>
    <cellStyle name="Style 98 3 3 2 2 2 9 2" xfId="38679" xr:uid="{772D3DA8-A3E7-43F5-BD27-3E96F2F6C463}"/>
    <cellStyle name="Style 98 3 3 2 2 3" xfId="7832" xr:uid="{79E88F2B-F36B-41BF-B060-5780DC6EBE29}"/>
    <cellStyle name="Style 98 3 3 2 2 3 2" xfId="20272" xr:uid="{DBE349A1-1A5A-4B6F-B992-0DE6D79C953C}"/>
    <cellStyle name="Style 98 3 3 2 2 3 2 2" xfId="20273" xr:uid="{EE8BA0A2-46D7-4656-A4F7-75011701B298}"/>
    <cellStyle name="Style 98 3 3 2 2 3 2 2 2" xfId="38681" xr:uid="{48CDFCDE-3493-4C8B-835A-60FAC8B91145}"/>
    <cellStyle name="Style 98 3 3 2 2 3 2 3" xfId="38680" xr:uid="{8D863875-5BA3-4AD6-ADF2-BEBCE3F2E202}"/>
    <cellStyle name="Style 98 3 3 2 2 3 3" xfId="20274" xr:uid="{4F7C8EBD-5BE5-4E61-8E97-A1F930EBC202}"/>
    <cellStyle name="Style 98 3 3 2 2 3 3 2" xfId="20275" xr:uid="{121ECBFF-C018-468C-84AC-8F605F36F855}"/>
    <cellStyle name="Style 98 3 3 2 2 3 3 2 2" xfId="38683" xr:uid="{0D254DE6-FBF0-477E-9E3F-4B4E3E84894D}"/>
    <cellStyle name="Style 98 3 3 2 2 3 3 3" xfId="38682" xr:uid="{099D61C1-8B80-4F01-996F-2D9A7155B8F0}"/>
    <cellStyle name="Style 98 3 3 2 2 3 4" xfId="20276" xr:uid="{10A10EFB-44EA-44D7-8FA4-56A55B037917}"/>
    <cellStyle name="Style 98 3 3 2 2 3 4 2" xfId="20277" xr:uid="{F74549F5-F04A-4301-BDBC-348B5D30CB09}"/>
    <cellStyle name="Style 98 3 3 2 2 3 4 2 2" xfId="38685" xr:uid="{1E292708-82D8-4989-9087-5F9F75B954D4}"/>
    <cellStyle name="Style 98 3 3 2 2 3 4 3" xfId="38684" xr:uid="{100E9165-A4BE-46E0-A6C4-0D4A5D05E347}"/>
    <cellStyle name="Style 98 3 3 2 2 3 5" xfId="20278" xr:uid="{F17EAD6F-A8CA-4FB2-89D7-809D057E6AAF}"/>
    <cellStyle name="Style 98 3 3 2 2 3 5 2" xfId="20279" xr:uid="{D3B3481E-09B9-4A2B-B3D6-7DBEDAFA2422}"/>
    <cellStyle name="Style 98 3 3 2 2 3 5 2 2" xfId="38687" xr:uid="{3EA469EF-7834-4DFB-89BA-D192E350F9AC}"/>
    <cellStyle name="Style 98 3 3 2 2 3 5 3" xfId="38686" xr:uid="{14BEB8D6-9830-4C83-92B2-B7DDA24083F8}"/>
    <cellStyle name="Style 98 3 3 2 2 3 6" xfId="20280" xr:uid="{EA985E4A-6799-496F-B633-A6A8B8E2BD22}"/>
    <cellStyle name="Style 98 3 3 2 2 3 6 2" xfId="38688" xr:uid="{C4CBFC79-73CB-4164-AF6B-6D564E85B826}"/>
    <cellStyle name="Style 98 3 3 2 2 3 7" xfId="20281" xr:uid="{CCC396DD-90FB-4FD8-90F3-F6FB6E78B631}"/>
    <cellStyle name="Style 98 3 3 2 2 3 7 2" xfId="38689" xr:uid="{750CEDBA-618D-4882-A5BB-96C447C33A28}"/>
    <cellStyle name="Style 98 3 3 2 2 4" xfId="20282" xr:uid="{2D1271AD-AE74-465C-AFF4-624EDEB10C70}"/>
    <cellStyle name="Style 98 3 3 2 2 4 2" xfId="20283" xr:uid="{D5E64F0B-E574-4CB5-BB25-E87265EC51CF}"/>
    <cellStyle name="Style 98 3 3 2 2 4 2 2" xfId="38690" xr:uid="{FA885CA0-C34C-4019-847C-65CD13BD24CF}"/>
    <cellStyle name="Style 98 3 3 2 2 4 3" xfId="20284" xr:uid="{11D6021E-5566-40BB-8E31-C5AE7F291A9F}"/>
    <cellStyle name="Style 98 3 3 2 2 4 3 2" xfId="38691" xr:uid="{91679968-3570-459D-B4F4-951346E21A87}"/>
    <cellStyle name="Style 98 3 3 2 2 5" xfId="20285" xr:uid="{0FF845CD-3423-4A76-80C1-7EA3F6BA0EA5}"/>
    <cellStyle name="Style 98 3 3 2 2 5 2" xfId="20286" xr:uid="{F56E9DD3-5E26-4CDF-B81D-7A3FA0A95798}"/>
    <cellStyle name="Style 98 3 3 2 2 5 2 2" xfId="38693" xr:uid="{2F1180C2-AFFC-4A73-87C1-2E324F166308}"/>
    <cellStyle name="Style 98 3 3 2 2 5 3" xfId="38692" xr:uid="{CF1DC498-2D57-4BB3-9138-529FC5D4A2F4}"/>
    <cellStyle name="Style 98 3 3 2 2 6" xfId="20287" xr:uid="{F3F69FB1-0665-449A-B84A-5D1D0C55C227}"/>
    <cellStyle name="Style 98 3 3 2 2 6 2" xfId="20288" xr:uid="{AD4CDC03-4D11-4077-AC8A-63D7B9F89FBD}"/>
    <cellStyle name="Style 98 3 3 2 2 6 2 2" xfId="38695" xr:uid="{49DE0618-6B06-4419-9101-A64E7033BE8C}"/>
    <cellStyle name="Style 98 3 3 2 2 6 3" xfId="38694" xr:uid="{F4C05693-F8E4-4BC3-9952-E02EDC38077E}"/>
    <cellStyle name="Style 98 3 3 2 2 7" xfId="20289" xr:uid="{E76B0CFA-E5A7-4C76-A442-6940A3C68A5E}"/>
    <cellStyle name="Style 98 3 3 2 2 7 2" xfId="20290" xr:uid="{711F054E-A098-4029-879E-C1BD757546AF}"/>
    <cellStyle name="Style 98 3 3 2 2 7 2 2" xfId="38697" xr:uid="{AD0D9864-E2EE-41C1-8252-0BF746058CF9}"/>
    <cellStyle name="Style 98 3 3 2 2 7 3" xfId="38696" xr:uid="{40907707-2543-4943-B39B-5DEE3801387F}"/>
    <cellStyle name="Style 98 3 3 2 2 8" xfId="20291" xr:uid="{1BBBC0DF-DAD9-42B2-853A-818D8E4AA233}"/>
    <cellStyle name="Style 98 3 3 2 2 8 2" xfId="20292" xr:uid="{B0738C15-FB44-4417-8FD8-898FFF13395D}"/>
    <cellStyle name="Style 98 3 3 2 2 8 2 2" xfId="38699" xr:uid="{4406C521-D58A-40B8-A1DC-B433C46DD1FD}"/>
    <cellStyle name="Style 98 3 3 2 2 8 3" xfId="38698" xr:uid="{7B4C3B32-1549-4785-933D-A6D23F0FE969}"/>
    <cellStyle name="Style 98 3 3 2 2 9" xfId="20293" xr:uid="{2FBAEB2F-384C-4C8F-B1B1-C3B770E33AB3}"/>
    <cellStyle name="Style 98 3 3 2 2 9 2" xfId="20294" xr:uid="{D3C239C9-DA72-418C-953B-AAC2B64F94E2}"/>
    <cellStyle name="Style 98 3 3 2 2 9 2 2" xfId="38701" xr:uid="{96E75941-409F-4F7D-9621-1E61F7771D3C}"/>
    <cellStyle name="Style 98 3 3 2 2 9 3" xfId="38700" xr:uid="{891F3F59-417A-4E26-9A1B-7FD7CB24588A}"/>
    <cellStyle name="Style 98 3 3 2 3" xfId="3870" xr:uid="{98435495-A17C-4B87-99C9-BB1E63DD1238}"/>
    <cellStyle name="Style 98 3 3 2 3 2" xfId="7834" xr:uid="{7FB8B198-FC3F-4BEA-8E29-DA470ED85A12}"/>
    <cellStyle name="Style 98 3 3 2 3 2 2" xfId="20295" xr:uid="{766B4E2F-4732-4A3B-80FD-0CD520990176}"/>
    <cellStyle name="Style 98 3 3 2 3 2 2 2" xfId="20296" xr:uid="{5DEA5374-259F-458B-891E-8F51F0D5E5E6}"/>
    <cellStyle name="Style 98 3 3 2 3 2 2 2 2" xfId="38703" xr:uid="{9A184D49-4B68-48E2-8C98-36F6ACDAA5A1}"/>
    <cellStyle name="Style 98 3 3 2 3 2 2 3" xfId="38702" xr:uid="{87A9FB57-18A9-4541-8AE5-05D3480A0C0A}"/>
    <cellStyle name="Style 98 3 3 2 3 2 3" xfId="20297" xr:uid="{E0E03034-217A-4D20-9E3D-3FCEAC389067}"/>
    <cellStyle name="Style 98 3 3 2 3 2 3 2" xfId="20298" xr:uid="{7F45AE4F-FD64-4043-B2D1-5294A623A9AF}"/>
    <cellStyle name="Style 98 3 3 2 3 2 3 2 2" xfId="38705" xr:uid="{6DFAEBF8-0C5D-48BA-9B30-6CFDF0681A3F}"/>
    <cellStyle name="Style 98 3 3 2 3 2 3 3" xfId="38704" xr:uid="{6231CC06-DC04-4824-9D49-251CEDE23269}"/>
    <cellStyle name="Style 98 3 3 2 3 2 4" xfId="20299" xr:uid="{E15D382F-CDE4-43D8-B426-9855FCD768D0}"/>
    <cellStyle name="Style 98 3 3 2 3 2 4 2" xfId="20300" xr:uid="{A791C67C-2E46-441D-A2BD-EDF0C7AB63D8}"/>
    <cellStyle name="Style 98 3 3 2 3 2 4 2 2" xfId="38707" xr:uid="{F9252B8A-A57A-486D-8862-24F090BE5E33}"/>
    <cellStyle name="Style 98 3 3 2 3 2 4 3" xfId="38706" xr:uid="{E822E889-B437-4B4E-8D5B-03EFD4F7345D}"/>
    <cellStyle name="Style 98 3 3 2 3 2 5" xfId="20301" xr:uid="{39A3DC33-B215-48FD-BBD1-1CA708CD64D0}"/>
    <cellStyle name="Style 98 3 3 2 3 2 5 2" xfId="20302" xr:uid="{CAFDA673-2443-4761-B99A-AD49EB55B76C}"/>
    <cellStyle name="Style 98 3 3 2 3 2 5 2 2" xfId="38709" xr:uid="{6125909C-6C3F-4A2B-8E8B-441539C3F2D1}"/>
    <cellStyle name="Style 98 3 3 2 3 2 5 3" xfId="38708" xr:uid="{4FD6D1E4-A068-4A17-B608-4A03F2550BE2}"/>
    <cellStyle name="Style 98 3 3 2 3 2 6" xfId="20303" xr:uid="{D91CA89E-1898-4F8E-AB29-3A7724F45499}"/>
    <cellStyle name="Style 98 3 3 2 3 2 6 2" xfId="38710" xr:uid="{A3D06492-27FC-4D57-89E5-7E08DF0E3184}"/>
    <cellStyle name="Style 98 3 3 2 3 2 7" xfId="20304" xr:uid="{A6D4DC0E-9344-461B-B39B-DF88D6D09D22}"/>
    <cellStyle name="Style 98 3 3 2 3 2 7 2" xfId="38711" xr:uid="{1D09FA6A-EB7F-4B84-BC38-9EE5CD207E9F}"/>
    <cellStyle name="Style 98 3 3 2 3 3" xfId="20305" xr:uid="{2F6A44E5-86A3-471A-97EA-79C47AC20106}"/>
    <cellStyle name="Style 98 3 3 2 3 3 2" xfId="20306" xr:uid="{CEC1A792-7ED0-480E-B613-9E6B3924297C}"/>
    <cellStyle name="Style 98 3 3 2 3 3 2 2" xfId="38712" xr:uid="{83BA3344-FBB1-4F43-9FE2-E924D07E3455}"/>
    <cellStyle name="Style 98 3 3 2 3 3 3" xfId="20307" xr:uid="{746EA98C-5B3F-4C5F-B6C8-9425E1C87024}"/>
    <cellStyle name="Style 98 3 3 2 3 3 3 2" xfId="38713" xr:uid="{61F584AB-836B-4F34-AA05-6E91E9DBA837}"/>
    <cellStyle name="Style 98 3 3 2 3 4" xfId="20308" xr:uid="{6DBE2ED2-263B-4127-A663-6849F0D114F5}"/>
    <cellStyle name="Style 98 3 3 2 3 4 2" xfId="20309" xr:uid="{688B517D-0E19-4FDD-88F0-1395B5EA44B2}"/>
    <cellStyle name="Style 98 3 3 2 3 4 2 2" xfId="38715" xr:uid="{73FB4ED9-FFA0-40F9-BD6C-C6CC96A91343}"/>
    <cellStyle name="Style 98 3 3 2 3 4 3" xfId="38714" xr:uid="{E05D07BD-632F-400A-B0E4-A0727ECAF26A}"/>
    <cellStyle name="Style 98 3 3 2 3 5" xfId="20310" xr:uid="{96CF9F82-ACE2-4682-A300-100F0D33F0E4}"/>
    <cellStyle name="Style 98 3 3 2 3 5 2" xfId="20311" xr:uid="{85D0D58A-2D35-4B02-9207-28731A926FA5}"/>
    <cellStyle name="Style 98 3 3 2 3 5 2 2" xfId="38717" xr:uid="{2F1FF153-C79B-4082-B2EF-E106E930C12C}"/>
    <cellStyle name="Style 98 3 3 2 3 5 3" xfId="38716" xr:uid="{881EA7DA-7F92-481E-8C79-8CB5A51E1F2B}"/>
    <cellStyle name="Style 98 3 3 2 3 6" xfId="20312" xr:uid="{B79B5552-C969-45B9-8A61-896A1A43DF70}"/>
    <cellStyle name="Style 98 3 3 2 3 6 2" xfId="20313" xr:uid="{3F04A519-0EBF-45AA-9502-85D4829497D6}"/>
    <cellStyle name="Style 98 3 3 2 3 6 2 2" xfId="38719" xr:uid="{8DE0F87F-1CDD-4EFA-8277-FDE3D64DC608}"/>
    <cellStyle name="Style 98 3 3 2 3 6 3" xfId="38718" xr:uid="{FDDF5890-1535-488B-8221-11AB0A27E8B1}"/>
    <cellStyle name="Style 98 3 3 2 3 7" xfId="20314" xr:uid="{70BBB20E-C052-41D5-A75F-ED1AB5EE467B}"/>
    <cellStyle name="Style 98 3 3 2 3 7 2" xfId="20315" xr:uid="{C24E05DB-F336-4E77-861E-DEC9282B3451}"/>
    <cellStyle name="Style 98 3 3 2 3 7 2 2" xfId="38721" xr:uid="{4796E84B-F3B4-4D63-820B-B8F425ECF56B}"/>
    <cellStyle name="Style 98 3 3 2 3 7 3" xfId="38720" xr:uid="{29731773-381D-409B-86DD-5577205C02E5}"/>
    <cellStyle name="Style 98 3 3 2 3 8" xfId="20316" xr:uid="{F4DD847D-4D75-4A52-9AF3-579594462EBE}"/>
    <cellStyle name="Style 98 3 3 2 3 8 2" xfId="38722" xr:uid="{A07EAAD6-A9A5-4B50-9D79-086DE6DD4BE2}"/>
    <cellStyle name="Style 98 3 3 2 3 9" xfId="20317" xr:uid="{3B905E59-E81E-434A-BDA7-43E638A1A589}"/>
    <cellStyle name="Style 98 3 3 2 3 9 2" xfId="38723" xr:uid="{8A319C32-163D-4EDC-96E8-D0A0F85D4A6D}"/>
    <cellStyle name="Style 98 3 3 2 4" xfId="7831" xr:uid="{26ED77F6-C6FC-471A-8C63-5B70052E4C52}"/>
    <cellStyle name="Style 98 3 3 2 4 2" xfId="20318" xr:uid="{B5161AE1-BABD-49E5-A56C-62799DED9466}"/>
    <cellStyle name="Style 98 3 3 2 4 2 2" xfId="20319" xr:uid="{0DF96E1F-63BD-46F7-A49F-794A0B9CA3D7}"/>
    <cellStyle name="Style 98 3 3 2 4 2 2 2" xfId="38725" xr:uid="{A5A7B916-545E-4AE6-BED3-99ECD1EF5B25}"/>
    <cellStyle name="Style 98 3 3 2 4 2 3" xfId="38724" xr:uid="{3D0AAA85-0701-4F67-8037-E2CCA2431445}"/>
    <cellStyle name="Style 98 3 3 2 4 3" xfId="20320" xr:uid="{E75143BA-56C5-4646-96EA-03BE73890F53}"/>
    <cellStyle name="Style 98 3 3 2 4 3 2" xfId="20321" xr:uid="{3E80BFD8-8F91-4A44-98B0-AF7F05FDD1B7}"/>
    <cellStyle name="Style 98 3 3 2 4 3 2 2" xfId="38727" xr:uid="{FE7D6E5C-7348-4DEF-8AE8-75BE0D39B1B2}"/>
    <cellStyle name="Style 98 3 3 2 4 3 3" xfId="38726" xr:uid="{AAD2B473-F054-4746-8603-5304552351FE}"/>
    <cellStyle name="Style 98 3 3 2 4 4" xfId="20322" xr:uid="{0A71EDA6-300C-438B-A032-62EAA74D8FE6}"/>
    <cellStyle name="Style 98 3 3 2 4 4 2" xfId="20323" xr:uid="{3BB87556-4664-43A9-8C07-A45E23C93724}"/>
    <cellStyle name="Style 98 3 3 2 4 4 2 2" xfId="38729" xr:uid="{223C450E-33EB-465C-BE0B-2AD9A680DDC9}"/>
    <cellStyle name="Style 98 3 3 2 4 4 3" xfId="38728" xr:uid="{45AD96BE-46AD-4549-809F-13C7237B9F88}"/>
    <cellStyle name="Style 98 3 3 2 4 5" xfId="20324" xr:uid="{0B4D7FAC-2E25-42EB-9C1E-AA1736DC9564}"/>
    <cellStyle name="Style 98 3 3 2 4 5 2" xfId="20325" xr:uid="{0D5EFC8A-9F25-4B51-96A8-02EA626CD997}"/>
    <cellStyle name="Style 98 3 3 2 4 5 2 2" xfId="38731" xr:uid="{591DD03B-D4C1-4BD0-BE81-F27BC1A510E7}"/>
    <cellStyle name="Style 98 3 3 2 4 5 3" xfId="38730" xr:uid="{512809DA-DE34-4693-8546-8BFBF9BD0119}"/>
    <cellStyle name="Style 98 3 3 2 4 6" xfId="20326" xr:uid="{E0575F2C-A76B-4453-92BA-5F9A6DBB33C0}"/>
    <cellStyle name="Style 98 3 3 2 4 6 2" xfId="38732" xr:uid="{2AC2F2AD-0EB1-4C6A-93FC-1E95E6972DBE}"/>
    <cellStyle name="Style 98 3 3 2 4 7" xfId="20327" xr:uid="{E841D1E0-9390-47E6-9BA7-40AC61E3CDDB}"/>
    <cellStyle name="Style 98 3 3 2 4 7 2" xfId="38733" xr:uid="{F34318C8-8B85-47BA-861E-E7C05FE85A1F}"/>
    <cellStyle name="Style 98 3 3 2 5" xfId="20328" xr:uid="{C1DAE4A4-97C6-460B-AAC1-B1DA3ECE7B3F}"/>
    <cellStyle name="Style 98 3 3 2 5 2" xfId="20329" xr:uid="{5556E048-53D7-4BDE-906A-7B62B27FAD2B}"/>
    <cellStyle name="Style 98 3 3 2 5 2 2" xfId="38734" xr:uid="{8EAF824E-7BE7-45CD-B99B-F1FA8BDBA889}"/>
    <cellStyle name="Style 98 3 3 2 5 3" xfId="20330" xr:uid="{A9BB0D35-8B78-4C85-97E2-8D7C0B3DA271}"/>
    <cellStyle name="Style 98 3 3 2 5 3 2" xfId="38735" xr:uid="{C2F0B6FA-7DB4-46AD-8B16-E4EE9C844CA5}"/>
    <cellStyle name="Style 98 3 3 2 6" xfId="20331" xr:uid="{CC47B4E4-478E-49D8-B603-90612CF4D071}"/>
    <cellStyle name="Style 98 3 3 2 6 2" xfId="20332" xr:uid="{6455EAA8-2AAD-4991-B3FE-F42B650ED59C}"/>
    <cellStyle name="Style 98 3 3 2 6 2 2" xfId="38737" xr:uid="{FD4BD41F-6B55-4287-8CE3-E533D9F2C712}"/>
    <cellStyle name="Style 98 3 3 2 6 3" xfId="38736" xr:uid="{E782715A-7A27-4D0C-9DB5-5D491A1C1796}"/>
    <cellStyle name="Style 98 3 3 2 7" xfId="20333" xr:uid="{1B0A023D-9EB4-4682-A5D9-7D19F2494EF8}"/>
    <cellStyle name="Style 98 3 3 2 7 2" xfId="20334" xr:uid="{71314969-80DE-4C69-9CD4-C5D7B0CC6359}"/>
    <cellStyle name="Style 98 3 3 2 7 2 2" xfId="38739" xr:uid="{E33CBBD6-3128-4A86-A690-973193ACB267}"/>
    <cellStyle name="Style 98 3 3 2 7 3" xfId="38738" xr:uid="{820954F9-81A5-47CD-B958-6BA410FE2097}"/>
    <cellStyle name="Style 98 3 3 2 8" xfId="20335" xr:uid="{30BD5912-295D-45B7-A8E0-59350DF1D2B3}"/>
    <cellStyle name="Style 98 3 3 2 8 2" xfId="20336" xr:uid="{3F6E49E3-663A-47AA-A2DF-50C1D775C879}"/>
    <cellStyle name="Style 98 3 3 2 8 2 2" xfId="38741" xr:uid="{60FC76CC-EB13-4641-AB17-75524D8B9BD7}"/>
    <cellStyle name="Style 98 3 3 2 8 3" xfId="38740" xr:uid="{FDC904DD-0FB4-4288-A7E6-3197C7F58E7C}"/>
    <cellStyle name="Style 98 3 3 2 9" xfId="20337" xr:uid="{016A4190-F84C-467B-A657-CCEC28A22A21}"/>
    <cellStyle name="Style 98 3 3 2 9 2" xfId="20338" xr:uid="{3FFB06F6-548E-4FF9-89D2-976B4C536765}"/>
    <cellStyle name="Style 98 3 3 2 9 2 2" xfId="38743" xr:uid="{F3D2EF27-75DA-4A78-B7F6-A2BF4C962FF7}"/>
    <cellStyle name="Style 98 3 3 2 9 3" xfId="38742" xr:uid="{A430E0EC-9734-45E5-8AE6-ED244944F864}"/>
    <cellStyle name="Style 98 3 3 3" xfId="3871" xr:uid="{6CF4C3F8-BDAE-466E-B2B8-76C943FADD7E}"/>
    <cellStyle name="Style 98 3 3 3 2" xfId="7836" xr:uid="{C47BA122-A11C-4C55-833A-A277E25501DA}"/>
    <cellStyle name="Style 98 3 3 3 2 2" xfId="20339" xr:uid="{C2962F51-914F-44B8-9950-B077B833ADA3}"/>
    <cellStyle name="Style 98 3 3 3 2 2 2" xfId="20340" xr:uid="{BDE12326-41FF-4372-A8A7-EBFFF725EF3E}"/>
    <cellStyle name="Style 98 3 3 3 2 2 2 2" xfId="38745" xr:uid="{B4C197A2-6FF4-4A57-852D-889AA0AFBEBD}"/>
    <cellStyle name="Style 98 3 3 3 2 2 3" xfId="38744" xr:uid="{B4B7F0EE-54B2-4EA2-93C7-545DA33DA517}"/>
    <cellStyle name="Style 98 3 3 3 2 3" xfId="20341" xr:uid="{66D61EBA-3C35-4B47-8132-F99710BD1B74}"/>
    <cellStyle name="Style 98 3 3 3 2 3 2" xfId="20342" xr:uid="{AF967613-279A-409C-A63D-BFFCE9C0ACF8}"/>
    <cellStyle name="Style 98 3 3 3 2 3 2 2" xfId="38747" xr:uid="{10543F70-B444-4F57-A2B9-FF32C1176A5D}"/>
    <cellStyle name="Style 98 3 3 3 2 3 3" xfId="38746" xr:uid="{30AF8259-5A9B-4AF9-B692-97718B20F39A}"/>
    <cellStyle name="Style 98 3 3 3 2 4" xfId="20343" xr:uid="{D4216510-98D5-4910-9964-89717A9F14E4}"/>
    <cellStyle name="Style 98 3 3 3 2 4 2" xfId="20344" xr:uid="{5CC6B45E-8457-4E89-933C-8723CD2A35E9}"/>
    <cellStyle name="Style 98 3 3 3 2 4 2 2" xfId="38749" xr:uid="{94D67FA0-9B38-4E59-8DE7-14949C12F835}"/>
    <cellStyle name="Style 98 3 3 3 2 4 3" xfId="38748" xr:uid="{DA0837DC-C909-4A1D-8785-58940F4A4D83}"/>
    <cellStyle name="Style 98 3 3 3 2 5" xfId="20345" xr:uid="{7E44A743-EAC6-4847-9928-4622C09E2086}"/>
    <cellStyle name="Style 98 3 3 3 2 5 2" xfId="20346" xr:uid="{74B2316D-D762-4477-9A83-02B6C3AD48DF}"/>
    <cellStyle name="Style 98 3 3 3 2 5 2 2" xfId="38751" xr:uid="{5509A127-17B7-4C12-99EC-004A6A425A23}"/>
    <cellStyle name="Style 98 3 3 3 2 5 3" xfId="38750" xr:uid="{2F305C30-0927-4164-84CC-EBDAA49F67F3}"/>
    <cellStyle name="Style 98 3 3 3 2 6" xfId="20347" xr:uid="{E4D1B6BB-830E-4EC3-9FFD-48A8BF282658}"/>
    <cellStyle name="Style 98 3 3 3 2 6 2" xfId="38752" xr:uid="{6BFC0DDF-D2F6-495D-947F-9DD647712166}"/>
    <cellStyle name="Style 98 3 3 3 2 7" xfId="20348" xr:uid="{ECDA6C59-DEA1-4BB8-BCD9-B80456D34D54}"/>
    <cellStyle name="Style 98 3 3 3 2 7 2" xfId="38753" xr:uid="{A91FA3AB-F0B0-4000-94EA-B1B052C085F1}"/>
    <cellStyle name="Style 98 3 3 3 3" xfId="7835" xr:uid="{7171B7E4-8146-4B86-95B7-2E3213AA403D}"/>
    <cellStyle name="Style 98 3 3 3 3 2" xfId="20349" xr:uid="{32DC3DFA-F4E2-4667-8642-69AB29F5284C}"/>
    <cellStyle name="Style 98 3 3 3 3 2 2" xfId="38754" xr:uid="{B1F34380-C399-4AA1-849A-1232FA3F9F34}"/>
    <cellStyle name="Style 98 3 3 3 3 3" xfId="20350" xr:uid="{2FE4C6E6-949F-483F-BDD3-F73A04035D44}"/>
    <cellStyle name="Style 98 3 3 3 3 3 2" xfId="38755" xr:uid="{92D3C36E-744F-4C0B-8CBF-A4BD8842AAE3}"/>
    <cellStyle name="Style 98 3 3 3 4" xfId="20351" xr:uid="{7EF3361D-DD8E-43A3-99A3-4AA10E3CC668}"/>
    <cellStyle name="Style 98 3 3 3 4 2" xfId="20352" xr:uid="{7B55909C-4FE7-4609-9A3C-7F7B64425606}"/>
    <cellStyle name="Style 98 3 3 3 4 2 2" xfId="38756" xr:uid="{BD80A919-A186-4815-8CEA-A8182B54B9A1}"/>
    <cellStyle name="Style 98 3 3 3 4 3" xfId="20353" xr:uid="{4929419B-7974-41C9-9D77-B7300402D0BC}"/>
    <cellStyle name="Style 98 3 3 3 4 3 2" xfId="38757" xr:uid="{0C116C9D-6D5B-4A17-8117-1DE7FA9546E3}"/>
    <cellStyle name="Style 98 3 3 3 5" xfId="20354" xr:uid="{9919E717-9900-43AA-A4D9-A81608AD2E63}"/>
    <cellStyle name="Style 98 3 3 3 5 2" xfId="20355" xr:uid="{FF6A9D4C-9DE4-4335-9232-416A869154FC}"/>
    <cellStyle name="Style 98 3 3 3 5 2 2" xfId="38759" xr:uid="{ECA34B58-C1EF-4F90-8561-842790A4A168}"/>
    <cellStyle name="Style 98 3 3 3 5 3" xfId="38758" xr:uid="{DAE1C544-9E64-4207-AF25-E2D354E66ACF}"/>
    <cellStyle name="Style 98 3 3 3 6" xfId="20356" xr:uid="{943BEED9-4B2B-4D47-86CA-D6F37151FB4D}"/>
    <cellStyle name="Style 98 3 3 3 6 2" xfId="20357" xr:uid="{FFCC78BD-4AEA-4FCF-819E-5D7E99C455F1}"/>
    <cellStyle name="Style 98 3 3 3 6 2 2" xfId="38761" xr:uid="{5E18D8AF-8666-4918-ADC7-00478A627633}"/>
    <cellStyle name="Style 98 3 3 3 6 3" xfId="38760" xr:uid="{CC263EBB-96C2-40C8-A625-FF8E5534C0AE}"/>
    <cellStyle name="Style 98 3 3 3 7" xfId="20358" xr:uid="{12CDCBAC-B426-4F23-A214-303BF18275AF}"/>
    <cellStyle name="Style 98 3 3 3 7 2" xfId="20359" xr:uid="{B44CC521-4D51-4723-9C63-C8B021FCD94E}"/>
    <cellStyle name="Style 98 3 3 3 7 2 2" xfId="38763" xr:uid="{2387CA9A-E388-49E0-A8AB-C1BC9EAA5228}"/>
    <cellStyle name="Style 98 3 3 3 7 3" xfId="38762" xr:uid="{C7D8B39B-941A-478D-9505-CB41A927A807}"/>
    <cellStyle name="Style 98 3 3 3 8" xfId="20360" xr:uid="{26E50E5A-B5C3-4D62-B35B-0E19A6962EA9}"/>
    <cellStyle name="Style 98 3 3 3 8 2" xfId="38764" xr:uid="{BDE45441-43F1-4E17-904A-E03DFFBAC275}"/>
    <cellStyle name="Style 98 3 3 3 9" xfId="20361" xr:uid="{BCB29952-6E3C-4B79-B38A-180091E9B9D8}"/>
    <cellStyle name="Style 98 3 3 3 9 2" xfId="38765" xr:uid="{7B0DA470-18F6-49D7-A1C1-D59BFAB6570A}"/>
    <cellStyle name="Style 98 3 3 4" xfId="7837" xr:uid="{52C7E8D2-1B73-4319-BC39-6B99622A952D}"/>
    <cellStyle name="Style 98 3 3 4 2" xfId="20362" xr:uid="{7CE731C7-4DEB-4366-8779-DD336C75ADE7}"/>
    <cellStyle name="Style 98 3 3 4 2 2" xfId="20363" xr:uid="{99025E86-962F-4B00-906D-8A4202C2199C}"/>
    <cellStyle name="Style 98 3 3 4 2 2 2" xfId="38767" xr:uid="{C34A4265-68A0-4427-9586-61C0348F084C}"/>
    <cellStyle name="Style 98 3 3 4 2 3" xfId="38766" xr:uid="{F9B128BE-96F4-4127-BA25-AEDD58733800}"/>
    <cellStyle name="Style 98 3 3 4 3" xfId="20364" xr:uid="{7516C6DD-A5D5-4F76-9616-6F639A65323B}"/>
    <cellStyle name="Style 98 3 3 4 3 2" xfId="20365" xr:uid="{B3DB7BEE-87DF-4E83-BA9C-4928BCB483E4}"/>
    <cellStyle name="Style 98 3 3 4 3 2 2" xfId="38769" xr:uid="{B6AB64FD-AE5C-4C0F-97AB-34FEE4ADEBC5}"/>
    <cellStyle name="Style 98 3 3 4 3 3" xfId="38768" xr:uid="{C9C8794F-CFAF-4B6E-B1A5-BCEA294CD5DA}"/>
    <cellStyle name="Style 98 3 3 4 4" xfId="20366" xr:uid="{307D31C1-7632-406E-8762-D1EC41AD38A8}"/>
    <cellStyle name="Style 98 3 3 4 4 2" xfId="20367" xr:uid="{307830E4-FC08-40B8-93A2-8D2E7C8EFEDA}"/>
    <cellStyle name="Style 98 3 3 4 4 2 2" xfId="38771" xr:uid="{2F9528C7-B87A-430D-A0C5-496549A91FB5}"/>
    <cellStyle name="Style 98 3 3 4 4 3" xfId="38770" xr:uid="{981A68CD-1584-43FF-AC5A-E9760553A909}"/>
    <cellStyle name="Style 98 3 3 4 5" xfId="20368" xr:uid="{B5FF385E-6C6F-4AAA-8DBC-8D8416004747}"/>
    <cellStyle name="Style 98 3 3 4 5 2" xfId="20369" xr:uid="{EB363E5C-3427-4CA3-A336-53B6232B805D}"/>
    <cellStyle name="Style 98 3 3 4 5 2 2" xfId="38773" xr:uid="{B65E0EC3-3C2D-4703-82D1-974F3B50F310}"/>
    <cellStyle name="Style 98 3 3 4 5 3" xfId="38772" xr:uid="{C54F18FC-7D4D-42A8-A4A8-6747AAFBAA0B}"/>
    <cellStyle name="Style 98 3 3 4 6" xfId="20370" xr:uid="{797CAF73-C809-4F29-863C-C6E165B024EE}"/>
    <cellStyle name="Style 98 3 3 4 6 2" xfId="38774" xr:uid="{72CA13D1-6AD0-4B69-B960-2A4E620A6733}"/>
    <cellStyle name="Style 98 3 3 4 7" xfId="20371" xr:uid="{49891BDE-EF66-4F10-815F-729AB1A7FEBA}"/>
    <cellStyle name="Style 98 3 3 4 7 2" xfId="38775" xr:uid="{D32CBE24-808F-4182-9D63-25D0F719E585}"/>
    <cellStyle name="Style 98 3 3 5" xfId="7838" xr:uid="{E15FF9DB-0F10-4A32-A2B5-E047F35C4DE1}"/>
    <cellStyle name="Style 98 3 3 5 2" xfId="20372" xr:uid="{2AAD60C8-B77A-4E7C-B9EE-1D61DA126628}"/>
    <cellStyle name="Style 98 3 3 5 2 2" xfId="38776" xr:uid="{475B0E69-0B55-4C35-B1AD-3E508E76F694}"/>
    <cellStyle name="Style 98 3 3 5 3" xfId="20373" xr:uid="{187649A6-D42D-4779-90A1-1893AA26C9E6}"/>
    <cellStyle name="Style 98 3 3 5 3 2" xfId="38777" xr:uid="{BDDDE4DA-C546-45A9-B4AF-D67B30FD778C}"/>
    <cellStyle name="Style 98 3 3 6" xfId="7830" xr:uid="{47EAAE8A-C0FC-4CD3-B6D7-DA0476765457}"/>
    <cellStyle name="Style 98 3 3 6 2" xfId="20374" xr:uid="{F2CF22E3-8F69-4871-A6B5-6F92A373BAE9}"/>
    <cellStyle name="Style 98 3 3 6 2 2" xfId="38778" xr:uid="{9A5D8146-9B50-403F-A4FF-3582EE1FE49A}"/>
    <cellStyle name="Style 98 3 3 6 3" xfId="20375" xr:uid="{FF713E2F-BA37-4DC2-A660-A6751D0F4D1F}"/>
    <cellStyle name="Style 98 3 3 6 3 2" xfId="38779" xr:uid="{581D1344-5428-44DE-AFF5-E0EE2A88FDD5}"/>
    <cellStyle name="Style 98 3 3 7" xfId="20376" xr:uid="{9FD19158-52EC-4D67-8AED-22B101151D9D}"/>
    <cellStyle name="Style 98 3 3 7 2" xfId="20377" xr:uid="{8B4FF8C7-B3BD-45FB-947A-1CB0930B5DDE}"/>
    <cellStyle name="Style 98 3 3 7 2 2" xfId="38780" xr:uid="{41FDCFBF-B9A9-47FA-B42C-D7769829E280}"/>
    <cellStyle name="Style 98 3 3 7 3" xfId="20378" xr:uid="{4C588588-D30F-4E6C-B2C0-6916756FA53C}"/>
    <cellStyle name="Style 98 3 3 7 3 2" xfId="38781" xr:uid="{93A75A6A-B16A-40E7-B3F2-1C3815164AB1}"/>
    <cellStyle name="Style 98 3 3 8" xfId="20379" xr:uid="{8B9D3ED9-FBAA-4ED4-B1A9-F961B88DF94B}"/>
    <cellStyle name="Style 98 3 3 8 2" xfId="20380" xr:uid="{E8457864-BFC0-4C15-B105-569AD02C28F4}"/>
    <cellStyle name="Style 98 3 3 8 2 2" xfId="38783" xr:uid="{FD929173-76C6-4240-B4C2-1AAE17CE6152}"/>
    <cellStyle name="Style 98 3 3 8 3" xfId="38782" xr:uid="{AC664617-219D-4F84-B6A8-A750CE051425}"/>
    <cellStyle name="Style 98 3 3 9" xfId="20381" xr:uid="{3F11754B-3CA8-4FDD-BF53-4668667F396A}"/>
    <cellStyle name="Style 98 3 3 9 2" xfId="20382" xr:uid="{A61E3DE4-D3B5-410B-960A-F73D68151AF9}"/>
    <cellStyle name="Style 98 3 3 9 2 2" xfId="38785" xr:uid="{A6F02557-8678-4210-A5CF-915A628B69E8}"/>
    <cellStyle name="Style 98 3 3 9 3" xfId="38784" xr:uid="{90350534-48E1-42F8-829F-21F12119296C}"/>
    <cellStyle name="Style 98 3 4" xfId="3872" xr:uid="{ED98D575-391C-49A7-8721-42D85962ACDA}"/>
    <cellStyle name="Style 98 3 4 10" xfId="20383" xr:uid="{CA7DB61C-391E-4944-A2DE-9E87A5023256}"/>
    <cellStyle name="Style 98 3 4 10 2" xfId="38786" xr:uid="{99818754-B5A4-497B-B02D-BFAB3B63D53C}"/>
    <cellStyle name="Style 98 3 4 11" xfId="20384" xr:uid="{C3280A29-3D5D-4A10-BDCD-A50B1C928011}"/>
    <cellStyle name="Style 98 3 4 11 2" xfId="38787" xr:uid="{56B56E07-BDBE-4A18-8DA4-1C4938A30C08}"/>
    <cellStyle name="Style 98 3 4 2" xfId="3873" xr:uid="{8F72B832-BA5A-44CA-9AC7-E9634FBC25C4}"/>
    <cellStyle name="Style 98 3 4 2 2" xfId="7840" xr:uid="{DCA210CC-9D40-43DA-A3D7-326A49AEBA75}"/>
    <cellStyle name="Style 98 3 4 2 2 2" xfId="20385" xr:uid="{67101BCF-3AEA-47D2-8F5A-97B98D1010A2}"/>
    <cellStyle name="Style 98 3 4 2 2 2 2" xfId="20386" xr:uid="{65D3557F-CE54-451C-90AC-E9D9F510E391}"/>
    <cellStyle name="Style 98 3 4 2 2 2 2 2" xfId="38789" xr:uid="{9203E172-CDAA-430C-A1BB-AC0D93F9B5CE}"/>
    <cellStyle name="Style 98 3 4 2 2 2 3" xfId="38788" xr:uid="{61BEE1FF-0C55-4165-A67C-87A66A738154}"/>
    <cellStyle name="Style 98 3 4 2 2 3" xfId="20387" xr:uid="{58E2F413-9774-4EAB-853D-271DC2131323}"/>
    <cellStyle name="Style 98 3 4 2 2 3 2" xfId="20388" xr:uid="{AD6BD52F-548F-4D34-A2FB-EF9FAEA4E117}"/>
    <cellStyle name="Style 98 3 4 2 2 3 2 2" xfId="38791" xr:uid="{EB9AA62A-9EE5-40C2-9E9F-FAFC5CB02477}"/>
    <cellStyle name="Style 98 3 4 2 2 3 3" xfId="38790" xr:uid="{3B0DEE8F-3D90-4B5B-93D0-04C78CF4B357}"/>
    <cellStyle name="Style 98 3 4 2 2 4" xfId="20389" xr:uid="{5EF7216A-F376-462C-A168-7F972FF09310}"/>
    <cellStyle name="Style 98 3 4 2 2 4 2" xfId="20390" xr:uid="{CB7992FB-5532-43C2-9B01-2D6383D16383}"/>
    <cellStyle name="Style 98 3 4 2 2 4 2 2" xfId="38793" xr:uid="{6F40B8CE-FD63-4585-8CDD-013B0DF8CAB5}"/>
    <cellStyle name="Style 98 3 4 2 2 4 3" xfId="38792" xr:uid="{6AAD4C01-18A6-4FE3-AE5E-067722D42035}"/>
    <cellStyle name="Style 98 3 4 2 2 5" xfId="20391" xr:uid="{34B8118A-957B-45BD-93CB-FCB03423FFF0}"/>
    <cellStyle name="Style 98 3 4 2 2 5 2" xfId="20392" xr:uid="{A5F6BE73-B807-4CC1-83A3-76D7D10D132E}"/>
    <cellStyle name="Style 98 3 4 2 2 5 2 2" xfId="38795" xr:uid="{DFAC0FFF-64E9-4F14-B977-5DAA32FA70CE}"/>
    <cellStyle name="Style 98 3 4 2 2 5 3" xfId="38794" xr:uid="{88940E8F-72CC-4C9F-A815-EDCF3D69D426}"/>
    <cellStyle name="Style 98 3 4 2 2 6" xfId="20393" xr:uid="{D5E286D9-E2FB-49B9-9779-5DD85C3FA0BF}"/>
    <cellStyle name="Style 98 3 4 2 2 6 2" xfId="38796" xr:uid="{5D4632EA-E158-4B21-866A-AB2E62FE569B}"/>
    <cellStyle name="Style 98 3 4 2 2 7" xfId="20394" xr:uid="{D0EF4EE9-0492-4262-BF51-452C7F28E1E8}"/>
    <cellStyle name="Style 98 3 4 2 2 7 2" xfId="38797" xr:uid="{C155D7DC-B5C0-4839-9CE6-51EBB62DB974}"/>
    <cellStyle name="Style 98 3 4 2 3" xfId="20395" xr:uid="{E1C3F483-B15D-41A6-985E-F247487606ED}"/>
    <cellStyle name="Style 98 3 4 2 3 2" xfId="20396" xr:uid="{DDB8454B-902E-4710-A22C-9FC5BEA93C01}"/>
    <cellStyle name="Style 98 3 4 2 3 2 2" xfId="38798" xr:uid="{0BA0E703-E84D-468E-A610-E5279E95CCC1}"/>
    <cellStyle name="Style 98 3 4 2 3 3" xfId="20397" xr:uid="{96A742D0-7F42-4E0B-B333-7BFAA16C8D23}"/>
    <cellStyle name="Style 98 3 4 2 3 3 2" xfId="38799" xr:uid="{25E6BF2C-149D-4ACF-9568-5CDF599AD0CD}"/>
    <cellStyle name="Style 98 3 4 2 4" xfId="20398" xr:uid="{12B08E54-B6EB-4180-86E3-D7D03E192267}"/>
    <cellStyle name="Style 98 3 4 2 4 2" xfId="20399" xr:uid="{B10FC021-6C57-4759-835F-F9956850221F}"/>
    <cellStyle name="Style 98 3 4 2 4 2 2" xfId="38801" xr:uid="{F25486DB-EA6F-4D50-8C6D-928EA846BC2E}"/>
    <cellStyle name="Style 98 3 4 2 4 3" xfId="38800" xr:uid="{20E6ACF5-1CC8-489A-B9D5-CC83EE1FACFC}"/>
    <cellStyle name="Style 98 3 4 2 5" xfId="20400" xr:uid="{BA511EE5-2056-4728-8F78-4879C196D629}"/>
    <cellStyle name="Style 98 3 4 2 5 2" xfId="20401" xr:uid="{DEDF71A7-14EE-441B-A437-6C4365AEABB7}"/>
    <cellStyle name="Style 98 3 4 2 5 2 2" xfId="38803" xr:uid="{BE7D960C-7B81-44EE-A975-FBFC44E4B671}"/>
    <cellStyle name="Style 98 3 4 2 5 3" xfId="38802" xr:uid="{3D32E058-2BBB-4F8C-BAB4-17306D6CB952}"/>
    <cellStyle name="Style 98 3 4 2 6" xfId="20402" xr:uid="{FE7CFBD8-B1FC-45D0-A720-5D2E3936C7D7}"/>
    <cellStyle name="Style 98 3 4 2 6 2" xfId="20403" xr:uid="{275BC13B-3AD6-47C8-9103-4F0FAD1D4FBA}"/>
    <cellStyle name="Style 98 3 4 2 6 2 2" xfId="38805" xr:uid="{C0D54606-0852-4D7B-AEA8-30F919D8E297}"/>
    <cellStyle name="Style 98 3 4 2 6 3" xfId="38804" xr:uid="{CB35CF6E-A784-43FB-B4B5-2BB0392834A1}"/>
    <cellStyle name="Style 98 3 4 2 7" xfId="20404" xr:uid="{6C0246A7-4ED4-47E6-8F31-3DD8455CDED4}"/>
    <cellStyle name="Style 98 3 4 2 7 2" xfId="20405" xr:uid="{CF43B889-5E34-464B-B965-A330EC4A8208}"/>
    <cellStyle name="Style 98 3 4 2 7 2 2" xfId="38807" xr:uid="{2126F539-4DE0-4DD6-ABD4-9686534AA1C5}"/>
    <cellStyle name="Style 98 3 4 2 7 3" xfId="38806" xr:uid="{13EA2374-1FFA-4EC5-B6D3-6BA6BCC7D752}"/>
    <cellStyle name="Style 98 3 4 2 8" xfId="20406" xr:uid="{DD440AE9-B1C8-4DC7-A3BD-EBC35B07905C}"/>
    <cellStyle name="Style 98 3 4 2 8 2" xfId="38808" xr:uid="{E692973C-8F6C-4A83-85D1-9272A34CF30A}"/>
    <cellStyle name="Style 98 3 4 2 9" xfId="20407" xr:uid="{0208EFA2-23CF-42A3-9B22-6567E448BE38}"/>
    <cellStyle name="Style 98 3 4 2 9 2" xfId="38809" xr:uid="{B9FAD55F-F15C-48C4-83EB-C71DE89C0173}"/>
    <cellStyle name="Style 98 3 4 3" xfId="7839" xr:uid="{F7382D5C-BB52-4F44-8B85-52A1FCFF99AF}"/>
    <cellStyle name="Style 98 3 4 3 2" xfId="20408" xr:uid="{C0B875E8-B0E6-4E9B-9C97-AB27E4B7EDB8}"/>
    <cellStyle name="Style 98 3 4 3 2 2" xfId="20409" xr:uid="{D1CDBF23-42F1-4C52-BD2A-230446DEC68A}"/>
    <cellStyle name="Style 98 3 4 3 2 2 2" xfId="38811" xr:uid="{2EDD4A06-70A8-48E8-8F01-5A8BDCEC9418}"/>
    <cellStyle name="Style 98 3 4 3 2 3" xfId="38810" xr:uid="{A13DB16A-B050-4FC5-82DD-F219885E71C0}"/>
    <cellStyle name="Style 98 3 4 3 3" xfId="20410" xr:uid="{34AB5A71-C23F-42E1-8983-01C034E81F2E}"/>
    <cellStyle name="Style 98 3 4 3 3 2" xfId="20411" xr:uid="{975193A0-7DD8-41F9-8054-4D5CDDAD17B0}"/>
    <cellStyle name="Style 98 3 4 3 3 2 2" xfId="38813" xr:uid="{B89262AD-6E47-4450-9BF6-2F2B5A8DD598}"/>
    <cellStyle name="Style 98 3 4 3 3 3" xfId="38812" xr:uid="{9860E3E3-6637-4F36-8A61-17E677AF688C}"/>
    <cellStyle name="Style 98 3 4 3 4" xfId="20412" xr:uid="{C0D0ED8D-5E6A-46EB-AD70-DDC78DD7A828}"/>
    <cellStyle name="Style 98 3 4 3 4 2" xfId="20413" xr:uid="{CD9CD29A-B8D5-4437-A7F0-A169B2DC3FF8}"/>
    <cellStyle name="Style 98 3 4 3 4 2 2" xfId="38815" xr:uid="{4EB88F71-FB1E-4BA4-A0D2-2A2463915867}"/>
    <cellStyle name="Style 98 3 4 3 4 3" xfId="38814" xr:uid="{D3A49D8E-CCC4-442E-8DFC-517873D57675}"/>
    <cellStyle name="Style 98 3 4 3 5" xfId="20414" xr:uid="{DEDBEFA3-59A9-439B-9446-A82F5A9BF846}"/>
    <cellStyle name="Style 98 3 4 3 5 2" xfId="20415" xr:uid="{69E13789-CC26-4216-BDAC-BB40080D5BEB}"/>
    <cellStyle name="Style 98 3 4 3 5 2 2" xfId="38817" xr:uid="{27D12672-19A1-4D2A-80B5-6071AB017C86}"/>
    <cellStyle name="Style 98 3 4 3 5 3" xfId="38816" xr:uid="{4167BD1A-8032-446C-803E-09900937B474}"/>
    <cellStyle name="Style 98 3 4 3 6" xfId="20416" xr:uid="{673F6665-BECC-4C32-B589-8190E9197BFF}"/>
    <cellStyle name="Style 98 3 4 3 6 2" xfId="38818" xr:uid="{3453B6CA-72CC-4B46-9DED-D4E4EE34797E}"/>
    <cellStyle name="Style 98 3 4 3 7" xfId="20417" xr:uid="{917B4B39-701A-46A2-8420-4768EA4DA3D6}"/>
    <cellStyle name="Style 98 3 4 3 7 2" xfId="38819" xr:uid="{D97AB0E6-5EC9-476C-881D-ECBFFAE3DB41}"/>
    <cellStyle name="Style 98 3 4 4" xfId="20418" xr:uid="{9240DBEF-C055-429C-9C19-D1603723CA45}"/>
    <cellStyle name="Style 98 3 4 4 2" xfId="20419" xr:uid="{3EB3EB9D-14B3-48B4-91D4-51F9DB576504}"/>
    <cellStyle name="Style 98 3 4 4 2 2" xfId="38820" xr:uid="{918537D8-3307-444C-9EAF-82B65FAF62F2}"/>
    <cellStyle name="Style 98 3 4 4 3" xfId="20420" xr:uid="{918D8CD5-229B-4270-B03B-96517CE6D09D}"/>
    <cellStyle name="Style 98 3 4 4 3 2" xfId="38821" xr:uid="{5885CA5A-B1C3-48D6-8992-03064C667A3E}"/>
    <cellStyle name="Style 98 3 4 5" xfId="20421" xr:uid="{CFF9AE19-4F81-41A8-9595-936E4601B89A}"/>
    <cellStyle name="Style 98 3 4 5 2" xfId="20422" xr:uid="{BB6A0CD3-65E0-4E85-A2AD-244BECCF336F}"/>
    <cellStyle name="Style 98 3 4 5 2 2" xfId="38823" xr:uid="{28EAE5B4-6CA7-4777-8D5F-8AAC7BF6A85A}"/>
    <cellStyle name="Style 98 3 4 5 3" xfId="38822" xr:uid="{244189BD-71A9-4BD2-914E-0B89F8E6B180}"/>
    <cellStyle name="Style 98 3 4 6" xfId="20423" xr:uid="{2708CD20-5E27-4A0F-87EE-F3D793F8CBE0}"/>
    <cellStyle name="Style 98 3 4 6 2" xfId="20424" xr:uid="{1414816B-28BC-427F-8110-A8158BDB73FD}"/>
    <cellStyle name="Style 98 3 4 6 2 2" xfId="38825" xr:uid="{9B6DA874-9B6B-4D54-B92A-30918BEDD4AB}"/>
    <cellStyle name="Style 98 3 4 6 3" xfId="38824" xr:uid="{7B343007-9E47-426A-90AC-0B6D46650CCB}"/>
    <cellStyle name="Style 98 3 4 7" xfId="20425" xr:uid="{F952DC0B-7E86-4845-A75E-369DB69C85D4}"/>
    <cellStyle name="Style 98 3 4 7 2" xfId="20426" xr:uid="{E41BFBAD-5362-488A-8F9A-385E3449D030}"/>
    <cellStyle name="Style 98 3 4 7 2 2" xfId="38827" xr:uid="{89E6E8E3-08A9-4A65-A152-BDEE19F9601C}"/>
    <cellStyle name="Style 98 3 4 7 3" xfId="38826" xr:uid="{B45A7715-800F-4D55-8A50-F718130BCD1D}"/>
    <cellStyle name="Style 98 3 4 8" xfId="20427" xr:uid="{CA5C6823-1C25-4B9F-8EE6-F5D0A7F25189}"/>
    <cellStyle name="Style 98 3 4 8 2" xfId="20428" xr:uid="{877D884C-AA28-4705-A3B5-B2B72C5F5225}"/>
    <cellStyle name="Style 98 3 4 8 2 2" xfId="38829" xr:uid="{FDDD0B4B-1AA5-44F7-AEF6-846F08A7B2FC}"/>
    <cellStyle name="Style 98 3 4 8 3" xfId="38828" xr:uid="{8DDBEF53-E893-4C2B-9DE9-22802D7A7694}"/>
    <cellStyle name="Style 98 3 4 9" xfId="20429" xr:uid="{E5AA0C44-5113-414E-997F-BA40389F0D19}"/>
    <cellStyle name="Style 98 3 4 9 2" xfId="20430" xr:uid="{63A83062-080C-4FE9-B78C-0D7C087286B1}"/>
    <cellStyle name="Style 98 3 4 9 2 2" xfId="38831" xr:uid="{DBC16B7E-3C6E-4F7A-B47B-73CA875510E8}"/>
    <cellStyle name="Style 98 3 4 9 3" xfId="38830" xr:uid="{E671B4FC-2DA9-4A01-B156-5E7D5CEFD918}"/>
    <cellStyle name="Style 98 3 5" xfId="3874" xr:uid="{CC71B412-C441-46DE-A663-7B096760BE26}"/>
    <cellStyle name="Style 98 3 5 2" xfId="7841" xr:uid="{92A5759F-B345-42BE-AF47-BDAB78937754}"/>
    <cellStyle name="Style 98 3 5 2 2" xfId="20431" xr:uid="{ED6A4B3F-1F0A-4A9B-805C-71D4441D33A1}"/>
    <cellStyle name="Style 98 3 5 2 2 2" xfId="20432" xr:uid="{C567A5A8-BF1D-49CF-BA54-86BC52EA711A}"/>
    <cellStyle name="Style 98 3 5 2 2 2 2" xfId="38833" xr:uid="{34345E72-7FBB-43C7-BA6A-A2F6065630EE}"/>
    <cellStyle name="Style 98 3 5 2 2 3" xfId="38832" xr:uid="{6B8671D9-90C6-4D65-B7D8-E17F27782B5B}"/>
    <cellStyle name="Style 98 3 5 2 3" xfId="20433" xr:uid="{D49E9224-98BC-46E7-B153-47E4829EA813}"/>
    <cellStyle name="Style 98 3 5 2 3 2" xfId="20434" xr:uid="{AD79B282-8D0D-4D85-8EAE-6071E25E9664}"/>
    <cellStyle name="Style 98 3 5 2 3 2 2" xfId="38835" xr:uid="{EFD98FEE-3852-4170-BA18-151060FF37E8}"/>
    <cellStyle name="Style 98 3 5 2 3 3" xfId="38834" xr:uid="{944E4A66-2FEA-4DA2-84E0-D70142C724A5}"/>
    <cellStyle name="Style 98 3 5 2 4" xfId="20435" xr:uid="{28299B55-0EC6-43CD-9880-23FE0AD28B32}"/>
    <cellStyle name="Style 98 3 5 2 4 2" xfId="20436" xr:uid="{F61DF566-CAC7-47A2-9CAC-B2847E23DC5D}"/>
    <cellStyle name="Style 98 3 5 2 4 2 2" xfId="38837" xr:uid="{158514DA-C66F-44FE-BD34-94B4260EA071}"/>
    <cellStyle name="Style 98 3 5 2 4 3" xfId="38836" xr:uid="{2A789C9B-1950-46CF-9E13-252E0F39CF16}"/>
    <cellStyle name="Style 98 3 5 2 5" xfId="20437" xr:uid="{D78BDC60-766E-4B5C-9407-5E9D50D889E7}"/>
    <cellStyle name="Style 98 3 5 2 5 2" xfId="20438" xr:uid="{FB7FDDD3-D1E3-456C-95DA-8C7C3B733151}"/>
    <cellStyle name="Style 98 3 5 2 5 2 2" xfId="38839" xr:uid="{85474B5D-2555-4B05-8A11-3BADB79DBF6B}"/>
    <cellStyle name="Style 98 3 5 2 5 3" xfId="38838" xr:uid="{1725606D-A66F-4930-8C3E-3D6C1545E234}"/>
    <cellStyle name="Style 98 3 5 2 6" xfId="20439" xr:uid="{D493DD7D-F82E-4617-9A92-216F0C12F6BD}"/>
    <cellStyle name="Style 98 3 5 2 6 2" xfId="38840" xr:uid="{85A871AF-6004-4A5D-9111-D613E14AB14A}"/>
    <cellStyle name="Style 98 3 5 2 7" xfId="20440" xr:uid="{CABAA191-E01C-420C-9626-2591BBFA28E4}"/>
    <cellStyle name="Style 98 3 5 2 7 2" xfId="38841" xr:uid="{59DA16FF-D8B1-4F71-A8F8-1EFE47808F03}"/>
    <cellStyle name="Style 98 3 5 3" xfId="20441" xr:uid="{90D2A3B5-A809-46A1-A039-308C05634146}"/>
    <cellStyle name="Style 98 3 5 3 2" xfId="20442" xr:uid="{F61256DD-BED4-4461-A3D6-E9247C90C33E}"/>
    <cellStyle name="Style 98 3 5 3 2 2" xfId="38842" xr:uid="{1916194D-F7DF-464E-BE75-111A27655436}"/>
    <cellStyle name="Style 98 3 5 3 3" xfId="20443" xr:uid="{780F7819-B3D2-43E5-84CE-1C8AFE10D7F5}"/>
    <cellStyle name="Style 98 3 5 3 3 2" xfId="38843" xr:uid="{D02FE400-254F-492E-BC29-FB8E69100C94}"/>
    <cellStyle name="Style 98 3 5 4" xfId="20444" xr:uid="{93CFF458-8EDB-44AD-A432-F7580B467AE7}"/>
    <cellStyle name="Style 98 3 5 4 2" xfId="20445" xr:uid="{46987953-684D-4380-8D97-0D46B8C38B2E}"/>
    <cellStyle name="Style 98 3 5 4 2 2" xfId="38845" xr:uid="{28C3E7DD-D82A-42FE-B00D-260AFF418F46}"/>
    <cellStyle name="Style 98 3 5 4 3" xfId="38844" xr:uid="{7CF257DB-C34E-410E-A77F-404DB4F91BDB}"/>
    <cellStyle name="Style 98 3 5 5" xfId="20446" xr:uid="{2CB1E023-ECC3-4A5C-A5C4-A28992D542E9}"/>
    <cellStyle name="Style 98 3 5 5 2" xfId="20447" xr:uid="{F784E403-0573-4A79-A241-4FAB25ED71E3}"/>
    <cellStyle name="Style 98 3 5 5 2 2" xfId="38847" xr:uid="{B0DD97FC-173E-4543-9534-365EC4F651F0}"/>
    <cellStyle name="Style 98 3 5 5 3" xfId="38846" xr:uid="{3FFB8D2E-1C6C-4EA8-9E96-E2952733B3B4}"/>
    <cellStyle name="Style 98 3 5 6" xfId="20448" xr:uid="{AB758EF0-39A3-44BC-942B-9E2F136C534F}"/>
    <cellStyle name="Style 98 3 5 6 2" xfId="20449" xr:uid="{17F3EC64-EEFD-49E0-9829-A0C747AC9B47}"/>
    <cellStyle name="Style 98 3 5 6 2 2" xfId="38849" xr:uid="{406CBED4-5409-49C6-ACF6-211D20D25C0A}"/>
    <cellStyle name="Style 98 3 5 6 3" xfId="38848" xr:uid="{4FE52B16-E338-4C19-87C8-5842FD5ABA46}"/>
    <cellStyle name="Style 98 3 5 7" xfId="20450" xr:uid="{3AE22806-4E15-4D44-8C95-75CF03A31A7D}"/>
    <cellStyle name="Style 98 3 5 7 2" xfId="20451" xr:uid="{FF03EDB4-7170-4AC4-B27B-0DB73C733104}"/>
    <cellStyle name="Style 98 3 5 7 2 2" xfId="38851" xr:uid="{87ED96BD-3C59-4DD9-8E1B-F3F83C8A33F3}"/>
    <cellStyle name="Style 98 3 5 7 3" xfId="38850" xr:uid="{EE6F668E-B5BC-470A-BFA4-46CBF10DD036}"/>
    <cellStyle name="Style 98 3 5 8" xfId="20452" xr:uid="{716C3BA6-65CB-4A76-9EB7-A1F11C39E530}"/>
    <cellStyle name="Style 98 3 5 8 2" xfId="38852" xr:uid="{B3E56DCF-B6FA-4801-8997-46A01FD1ABD1}"/>
    <cellStyle name="Style 98 3 5 9" xfId="20453" xr:uid="{8C13B1DF-AE35-4B9C-8E8D-A6C88E89DD4E}"/>
    <cellStyle name="Style 98 3 5 9 2" xfId="38853" xr:uid="{D0FDDE8B-2BBB-4545-9490-C4E570A08740}"/>
    <cellStyle name="Style 98 3 6" xfId="7842" xr:uid="{823DF8A0-6187-47CF-B64C-D1711634EC97}"/>
    <cellStyle name="Style 98 3 6 2" xfId="20454" xr:uid="{4432CC18-3D77-4B66-A9AD-7D9A84136017}"/>
    <cellStyle name="Style 98 3 6 2 2" xfId="20455" xr:uid="{D1ED187B-ABD5-4DE0-99BF-087E11EB2B87}"/>
    <cellStyle name="Style 98 3 6 2 2 2" xfId="38855" xr:uid="{1FBDE9CE-F586-4159-8570-63867615F64E}"/>
    <cellStyle name="Style 98 3 6 2 3" xfId="38854" xr:uid="{936F1DD9-BA69-4BDC-916E-BDC03372CB35}"/>
    <cellStyle name="Style 98 3 6 3" xfId="20456" xr:uid="{864601D1-1065-4601-911E-08F9B24F8D9E}"/>
    <cellStyle name="Style 98 3 6 3 2" xfId="20457" xr:uid="{C26A751B-D007-455F-B48D-498799E51397}"/>
    <cellStyle name="Style 98 3 6 3 2 2" xfId="38857" xr:uid="{662F90F6-B1AE-4F2F-809A-7F6D7AA72E10}"/>
    <cellStyle name="Style 98 3 6 3 3" xfId="38856" xr:uid="{3753E2A4-D34C-4AC8-8165-1B939996CA23}"/>
    <cellStyle name="Style 98 3 6 4" xfId="20458" xr:uid="{A07A9DD5-F181-4BA6-9A35-5FDDD5C51B6F}"/>
    <cellStyle name="Style 98 3 6 4 2" xfId="20459" xr:uid="{A95720BB-0330-42BA-9B20-79D07BCB7FF0}"/>
    <cellStyle name="Style 98 3 6 4 2 2" xfId="38859" xr:uid="{F4300265-794C-439F-BBFF-3C259F6D57B4}"/>
    <cellStyle name="Style 98 3 6 4 3" xfId="38858" xr:uid="{F4ECDA97-3677-4279-BC98-FF678594134D}"/>
    <cellStyle name="Style 98 3 6 5" xfId="20460" xr:uid="{9B0307D8-DF7F-4E95-B217-BB1DD8C2F1F8}"/>
    <cellStyle name="Style 98 3 6 5 2" xfId="20461" xr:uid="{A470B32F-C0E4-491B-AF81-E4ED1BE94127}"/>
    <cellStyle name="Style 98 3 6 5 2 2" xfId="38861" xr:uid="{574487C0-B666-4E42-98F6-B4E2858DD51D}"/>
    <cellStyle name="Style 98 3 6 5 3" xfId="38860" xr:uid="{7354F750-05F2-42B8-BC57-83A9B6EA633C}"/>
    <cellStyle name="Style 98 3 6 6" xfId="20462" xr:uid="{F63061D8-E9DA-40E1-BF02-E0D351638050}"/>
    <cellStyle name="Style 98 3 6 6 2" xfId="38862" xr:uid="{2ECE6C55-73CB-4E15-9056-57BEBB3528EA}"/>
    <cellStyle name="Style 98 3 6 7" xfId="20463" xr:uid="{AD1A3266-412C-4806-93A8-206E283EE6C5}"/>
    <cellStyle name="Style 98 3 6 7 2" xfId="38863" xr:uid="{D6F0FAA3-5B35-483D-8DD2-615F2D067DCA}"/>
    <cellStyle name="Style 98 3 7" xfId="7821" xr:uid="{FDBD4860-E093-4B3A-B3E0-7822BF313B03}"/>
    <cellStyle name="Style 98 3 7 2" xfId="20464" xr:uid="{9FEE1F3D-DD4D-41D6-8D55-C0620E4CC847}"/>
    <cellStyle name="Style 98 3 7 2 2" xfId="38864" xr:uid="{5E0269E6-5540-4BA1-B952-7391B2C41A58}"/>
    <cellStyle name="Style 98 3 7 3" xfId="20465" xr:uid="{62379CCA-5268-47C8-9375-D4A30395B174}"/>
    <cellStyle name="Style 98 3 7 3 2" xfId="38865" xr:uid="{ECF5B815-F444-48EB-BDB1-DA012B4967C5}"/>
    <cellStyle name="Style 98 3 8" xfId="20466" xr:uid="{5A67B952-2E03-4D83-8636-E6153F402901}"/>
    <cellStyle name="Style 98 3 8 2" xfId="20467" xr:uid="{A394B0B0-7B2B-464C-AD63-E6C9E10F574E}"/>
    <cellStyle name="Style 98 3 8 2 2" xfId="38866" xr:uid="{7CCAFA98-C863-4395-A760-3C24BEDAB265}"/>
    <cellStyle name="Style 98 3 8 3" xfId="20468" xr:uid="{C1E957EE-0B62-4FE6-944B-00A246F037A1}"/>
    <cellStyle name="Style 98 3 8 3 2" xfId="38867" xr:uid="{917838C3-F52E-479B-829D-52A3496C747B}"/>
    <cellStyle name="Style 98 3 9" xfId="20469" xr:uid="{6929EB6A-5472-40B9-8B3C-8C85B944F18C}"/>
    <cellStyle name="Style 98 3 9 2" xfId="20470" xr:uid="{F586271C-81CD-42BD-9A5C-A85A81A77CA3}"/>
    <cellStyle name="Style 98 3 9 2 2" xfId="38869" xr:uid="{A066BE7B-9A10-4BA0-BA0A-8DD9E4224C56}"/>
    <cellStyle name="Style 98 3 9 3" xfId="38868" xr:uid="{A0C508B2-0DE1-493E-B70C-A0135C0556D4}"/>
    <cellStyle name="Style 98 4" xfId="3875" xr:uid="{EE93F414-A066-44B5-83ED-6D5DFA14DDDB}"/>
    <cellStyle name="Style 98 4 10" xfId="20471" xr:uid="{B93D619E-5682-4D5E-863E-4F43C4F67938}"/>
    <cellStyle name="Style 98 4 10 2" xfId="20472" xr:uid="{8522A8E6-7356-4B25-8CE3-A5B116D74D90}"/>
    <cellStyle name="Style 98 4 10 2 2" xfId="38871" xr:uid="{0F75267E-2B3E-43BD-B439-5A181387FD5B}"/>
    <cellStyle name="Style 98 4 10 3" xfId="38870" xr:uid="{F6864722-A9AC-4031-803F-F7EC115A3A1E}"/>
    <cellStyle name="Style 98 4 11" xfId="20473" xr:uid="{2F4C36C9-A56E-4F77-B070-2BB8690B78E1}"/>
    <cellStyle name="Style 98 4 11 2" xfId="38872" xr:uid="{BC9DD8C4-0A0F-4089-BB2E-F883592FF53A}"/>
    <cellStyle name="Style 98 4 12" xfId="20474" xr:uid="{547F1C2F-2F6C-4CFF-AF0D-D3123F1B3F71}"/>
    <cellStyle name="Style 98 4 12 2" xfId="38873" xr:uid="{C7BA75EA-C9AA-4A7E-A14B-ACE659C92D59}"/>
    <cellStyle name="Style 98 4 2" xfId="3876" xr:uid="{F91C6ED1-813B-46E2-9CE6-06F3041E906C}"/>
    <cellStyle name="Style 98 4 2 10" xfId="20475" xr:uid="{1B1C4815-861F-4467-B7DA-E823DA85775E}"/>
    <cellStyle name="Style 98 4 2 10 2" xfId="20476" xr:uid="{FC3976B1-3ECA-477C-8E13-987FB7633B22}"/>
    <cellStyle name="Style 98 4 2 10 2 2" xfId="38875" xr:uid="{FCE2D7E7-7E56-4A30-8291-1E34469CBD47}"/>
    <cellStyle name="Style 98 4 2 10 3" xfId="38874" xr:uid="{71596E84-2CC7-4A96-9C0B-F900FB48CA8E}"/>
    <cellStyle name="Style 98 4 2 11" xfId="20477" xr:uid="{C494BEDB-E472-41E6-94CB-430289EBC20E}"/>
    <cellStyle name="Style 98 4 2 11 2" xfId="38876" xr:uid="{020E72D1-9F22-4BB0-B94F-B1CD7B4563E8}"/>
    <cellStyle name="Style 98 4 2 12" xfId="20478" xr:uid="{69EEC4F2-6CCA-4DC2-9AD2-D079B541AA5E}"/>
    <cellStyle name="Style 98 4 2 12 2" xfId="38877" xr:uid="{0B2AF97D-B301-488A-93B1-EDBAE6B0848B}"/>
    <cellStyle name="Style 98 4 2 2" xfId="3877" xr:uid="{17644F7C-DCEE-4983-9EAF-90FA435625EE}"/>
    <cellStyle name="Style 98 4 2 2 10" xfId="20479" xr:uid="{27339817-8492-4625-95F1-6D9BF2D142EF}"/>
    <cellStyle name="Style 98 4 2 2 10 2" xfId="38878" xr:uid="{2B1ACB0F-4338-4B6C-8FAF-EA52E23C120B}"/>
    <cellStyle name="Style 98 4 2 2 11" xfId="20480" xr:uid="{E9635DCB-E2CB-4F33-9AFA-5D7708DE26D1}"/>
    <cellStyle name="Style 98 4 2 2 11 2" xfId="38879" xr:uid="{F2F4991D-96D4-49F9-B72B-197B28EFE6F9}"/>
    <cellStyle name="Style 98 4 2 2 2" xfId="3878" xr:uid="{8CF73038-8B01-4839-9CBA-0C93545DDD2C}"/>
    <cellStyle name="Style 98 4 2 2 2 2" xfId="7846" xr:uid="{0809F997-AFB7-4490-BEE8-3F19533C4CBB}"/>
    <cellStyle name="Style 98 4 2 2 2 2 2" xfId="20481" xr:uid="{3757A952-B0CA-44FA-B376-0BD2A276A0BA}"/>
    <cellStyle name="Style 98 4 2 2 2 2 2 2" xfId="20482" xr:uid="{B80B03FB-DC2F-435E-B06B-C9B3C000F9B0}"/>
    <cellStyle name="Style 98 4 2 2 2 2 2 2 2" xfId="38881" xr:uid="{FAAC10E7-0B5C-412C-A75B-44D67B27469B}"/>
    <cellStyle name="Style 98 4 2 2 2 2 2 3" xfId="38880" xr:uid="{7F469D9F-FDB5-4BEE-8C95-99E4409D86F8}"/>
    <cellStyle name="Style 98 4 2 2 2 2 3" xfId="20483" xr:uid="{B7DDCA2C-258D-464B-8E02-98411BA98FF9}"/>
    <cellStyle name="Style 98 4 2 2 2 2 3 2" xfId="20484" xr:uid="{78D2E376-03E4-4ABA-A86D-8A3552985E90}"/>
    <cellStyle name="Style 98 4 2 2 2 2 3 2 2" xfId="38883" xr:uid="{DCDDF811-ABF4-4F77-AA67-38E191136D07}"/>
    <cellStyle name="Style 98 4 2 2 2 2 3 3" xfId="38882" xr:uid="{FDF6CF26-6BA1-46F1-B806-7BEFADE28FBA}"/>
    <cellStyle name="Style 98 4 2 2 2 2 4" xfId="20485" xr:uid="{77036A97-71B4-49C2-A629-89FF4037B244}"/>
    <cellStyle name="Style 98 4 2 2 2 2 4 2" xfId="20486" xr:uid="{0BB7CD67-4152-4138-B318-8518A887CCC8}"/>
    <cellStyle name="Style 98 4 2 2 2 2 4 2 2" xfId="38885" xr:uid="{F59E82D8-0DB4-4551-8E71-B125A8F4CB04}"/>
    <cellStyle name="Style 98 4 2 2 2 2 4 3" xfId="38884" xr:uid="{A8D29301-F4AB-42A2-AA04-129FC97556C6}"/>
    <cellStyle name="Style 98 4 2 2 2 2 5" xfId="20487" xr:uid="{9AA863E5-D5F4-4CD8-8443-28FCBB442AA3}"/>
    <cellStyle name="Style 98 4 2 2 2 2 5 2" xfId="20488" xr:uid="{CC2A0F9E-8DD5-43F3-91DB-62149A47F688}"/>
    <cellStyle name="Style 98 4 2 2 2 2 5 2 2" xfId="38887" xr:uid="{3967FA61-C00F-4D79-8D27-17D81424F1B3}"/>
    <cellStyle name="Style 98 4 2 2 2 2 5 3" xfId="38886" xr:uid="{263E6FC7-2283-4078-A990-5B69D661B8E0}"/>
    <cellStyle name="Style 98 4 2 2 2 2 6" xfId="20489" xr:uid="{26EA0F3A-5129-4EBF-A82F-868FA4EC4FAF}"/>
    <cellStyle name="Style 98 4 2 2 2 2 6 2" xfId="38888" xr:uid="{6C103703-AE5C-4FBC-A774-2A64FA00D1BD}"/>
    <cellStyle name="Style 98 4 2 2 2 2 7" xfId="20490" xr:uid="{03F07621-0C1B-46BD-9935-2CDCB1982BD7}"/>
    <cellStyle name="Style 98 4 2 2 2 2 7 2" xfId="38889" xr:uid="{00D41AF0-BC1D-4DB7-B862-4B30E67671B3}"/>
    <cellStyle name="Style 98 4 2 2 2 3" xfId="20491" xr:uid="{4512A6C3-486A-49D7-9452-89C3D3F4CDBB}"/>
    <cellStyle name="Style 98 4 2 2 2 3 2" xfId="20492" xr:uid="{9D5D6A5C-AF35-4ED4-B086-9838F94B0AA0}"/>
    <cellStyle name="Style 98 4 2 2 2 3 2 2" xfId="38890" xr:uid="{9D7E5782-3E81-4C14-B764-0F66B5BA124E}"/>
    <cellStyle name="Style 98 4 2 2 2 3 3" xfId="20493" xr:uid="{53C2A021-7ABE-4683-900D-B760303C4C63}"/>
    <cellStyle name="Style 98 4 2 2 2 3 3 2" xfId="38891" xr:uid="{8E2254AC-61A7-478C-996E-A0E623806324}"/>
    <cellStyle name="Style 98 4 2 2 2 4" xfId="20494" xr:uid="{0E4B3397-2B8A-496D-858C-33EA4D009D80}"/>
    <cellStyle name="Style 98 4 2 2 2 4 2" xfId="20495" xr:uid="{F2EE0FAB-C41C-414A-AF89-BADE57299812}"/>
    <cellStyle name="Style 98 4 2 2 2 4 2 2" xfId="38893" xr:uid="{598B8D08-051D-4799-BE73-F89BD279F357}"/>
    <cellStyle name="Style 98 4 2 2 2 4 3" xfId="38892" xr:uid="{DA582265-FDA2-4210-8DE8-1291EB097C66}"/>
    <cellStyle name="Style 98 4 2 2 2 5" xfId="20496" xr:uid="{BD9214DA-C8DA-4FA3-B5ED-D0A5253033B7}"/>
    <cellStyle name="Style 98 4 2 2 2 5 2" xfId="20497" xr:uid="{1ED7343E-22F8-49DD-8577-D9F62FD1DBFC}"/>
    <cellStyle name="Style 98 4 2 2 2 5 2 2" xfId="38895" xr:uid="{9612130D-4136-4984-A5C0-1D87C45983E8}"/>
    <cellStyle name="Style 98 4 2 2 2 5 3" xfId="38894" xr:uid="{20FF155B-D6EA-4055-BB1F-9D9ABE6635CE}"/>
    <cellStyle name="Style 98 4 2 2 2 6" xfId="20498" xr:uid="{664EE996-811F-4607-AC95-6A4A727F9D25}"/>
    <cellStyle name="Style 98 4 2 2 2 6 2" xfId="20499" xr:uid="{0386A793-4458-4086-B473-8797E9EF349B}"/>
    <cellStyle name="Style 98 4 2 2 2 6 2 2" xfId="38897" xr:uid="{DB9D178E-F865-4DA5-B7D8-5B798490384D}"/>
    <cellStyle name="Style 98 4 2 2 2 6 3" xfId="38896" xr:uid="{A1D67B93-15C9-4EB0-A62F-5D3F5B532A5D}"/>
    <cellStyle name="Style 98 4 2 2 2 7" xfId="20500" xr:uid="{62994058-0152-4738-8E95-BF98CF7F7264}"/>
    <cellStyle name="Style 98 4 2 2 2 7 2" xfId="20501" xr:uid="{29C62BBA-1149-443A-BA63-736567F01731}"/>
    <cellStyle name="Style 98 4 2 2 2 7 2 2" xfId="38899" xr:uid="{38440AA3-344E-462C-B8CC-A37DCC640FDC}"/>
    <cellStyle name="Style 98 4 2 2 2 7 3" xfId="38898" xr:uid="{90201EF2-70D6-4CFD-8A61-E86CB5B811CB}"/>
    <cellStyle name="Style 98 4 2 2 2 8" xfId="20502" xr:uid="{412E5178-F696-4A0D-B68A-6BBD22F1AA33}"/>
    <cellStyle name="Style 98 4 2 2 2 8 2" xfId="38900" xr:uid="{8EA8AEFF-C491-47A2-A5F7-67D06F99DF50}"/>
    <cellStyle name="Style 98 4 2 2 2 9" xfId="20503" xr:uid="{8E91F2A9-BC84-41B2-83C6-058696F080B9}"/>
    <cellStyle name="Style 98 4 2 2 2 9 2" xfId="38901" xr:uid="{82532BD5-B8C9-4EC4-B4A0-D736379FDB64}"/>
    <cellStyle name="Style 98 4 2 2 3" xfId="7845" xr:uid="{64D6FEAA-B183-4663-A7DF-B519851F9088}"/>
    <cellStyle name="Style 98 4 2 2 3 2" xfId="20504" xr:uid="{FCAB301D-C9CD-439A-BB50-8E0EC7479F49}"/>
    <cellStyle name="Style 98 4 2 2 3 2 2" xfId="20505" xr:uid="{06B6A2AE-9D46-43C8-A4F7-99ABA0238BE1}"/>
    <cellStyle name="Style 98 4 2 2 3 2 2 2" xfId="38903" xr:uid="{3A64AF52-FBCE-418F-ADD7-F07A41B8B790}"/>
    <cellStyle name="Style 98 4 2 2 3 2 3" xfId="38902" xr:uid="{146FDC61-59E2-4CD2-90EF-2F24CAB61DCA}"/>
    <cellStyle name="Style 98 4 2 2 3 3" xfId="20506" xr:uid="{EBE74A99-EEB4-4A66-A26B-3EC3A736150C}"/>
    <cellStyle name="Style 98 4 2 2 3 3 2" xfId="20507" xr:uid="{A500FF06-CBE2-4A39-A4B0-461B7B610C5D}"/>
    <cellStyle name="Style 98 4 2 2 3 3 2 2" xfId="38905" xr:uid="{20548EE7-4F2E-4360-94AD-371CEFC489E1}"/>
    <cellStyle name="Style 98 4 2 2 3 3 3" xfId="38904" xr:uid="{99BF49A4-1311-4295-8E81-DB532B18E855}"/>
    <cellStyle name="Style 98 4 2 2 3 4" xfId="20508" xr:uid="{9A7C3B80-81C6-45D5-9C5D-FDB05D4B5966}"/>
    <cellStyle name="Style 98 4 2 2 3 4 2" xfId="20509" xr:uid="{DF808DD7-9034-4033-B3D0-018D97051216}"/>
    <cellStyle name="Style 98 4 2 2 3 4 2 2" xfId="38907" xr:uid="{CE4FCDAE-C9F2-442C-B760-3FCFD508357C}"/>
    <cellStyle name="Style 98 4 2 2 3 4 3" xfId="38906" xr:uid="{C97E5FFC-BCAA-4373-A0D0-D24B6A9C9A8A}"/>
    <cellStyle name="Style 98 4 2 2 3 5" xfId="20510" xr:uid="{51708837-6BCD-4C5A-A148-71C39F19680A}"/>
    <cellStyle name="Style 98 4 2 2 3 5 2" xfId="20511" xr:uid="{4FEF9300-AA55-4E30-81C7-585E9C300EE7}"/>
    <cellStyle name="Style 98 4 2 2 3 5 2 2" xfId="38909" xr:uid="{26563794-829D-48CE-BD0E-0E9971635D5A}"/>
    <cellStyle name="Style 98 4 2 2 3 5 3" xfId="38908" xr:uid="{13C6ADD9-A188-4982-9987-3195F50ED100}"/>
    <cellStyle name="Style 98 4 2 2 3 6" xfId="20512" xr:uid="{BBCCA7A4-8388-42F6-A19F-9CC9FDB200D4}"/>
    <cellStyle name="Style 98 4 2 2 3 6 2" xfId="38910" xr:uid="{41281553-7175-432F-B9E6-D8DF650B4E9D}"/>
    <cellStyle name="Style 98 4 2 2 3 7" xfId="20513" xr:uid="{025F3866-3F19-4A6B-87A2-80E3E16EE710}"/>
    <cellStyle name="Style 98 4 2 2 3 7 2" xfId="38911" xr:uid="{99F02FE0-D270-494D-8D15-1E8896D71702}"/>
    <cellStyle name="Style 98 4 2 2 4" xfId="20514" xr:uid="{141A209F-CBDE-4E54-AF66-78C05E8E6785}"/>
    <cellStyle name="Style 98 4 2 2 4 2" xfId="20515" xr:uid="{1C7F1F1D-7537-49B1-80D3-78444E9928BC}"/>
    <cellStyle name="Style 98 4 2 2 4 2 2" xfId="38912" xr:uid="{262097C1-3DE6-4107-A43B-9EA9543B1E1D}"/>
    <cellStyle name="Style 98 4 2 2 4 3" xfId="20516" xr:uid="{94ABF1D0-6ACD-4009-8B0F-70D692021235}"/>
    <cellStyle name="Style 98 4 2 2 4 3 2" xfId="38913" xr:uid="{502F6544-08C0-40E1-9F82-ADCBFB043697}"/>
    <cellStyle name="Style 98 4 2 2 5" xfId="20517" xr:uid="{DEF2D8C2-9476-49A9-912B-953B61BB3ACD}"/>
    <cellStyle name="Style 98 4 2 2 5 2" xfId="20518" xr:uid="{667B94E8-6226-4EB2-8035-8EE38652471F}"/>
    <cellStyle name="Style 98 4 2 2 5 2 2" xfId="38915" xr:uid="{5F3F4A95-1495-49D9-9CAB-6EE4C4C2F9B1}"/>
    <cellStyle name="Style 98 4 2 2 5 3" xfId="38914" xr:uid="{F24BBCED-29ED-410C-804F-3885A840A810}"/>
    <cellStyle name="Style 98 4 2 2 6" xfId="20519" xr:uid="{41A0ECA4-6F36-46CE-B7EA-B45D8BDC196B}"/>
    <cellStyle name="Style 98 4 2 2 6 2" xfId="20520" xr:uid="{0171E538-4913-4A7F-9B5C-43CC81F5DF6E}"/>
    <cellStyle name="Style 98 4 2 2 6 2 2" xfId="38917" xr:uid="{F0A764A4-321F-48D9-88E8-28380EB0E261}"/>
    <cellStyle name="Style 98 4 2 2 6 3" xfId="38916" xr:uid="{8248144F-818C-4C11-8DEA-A43B026402EE}"/>
    <cellStyle name="Style 98 4 2 2 7" xfId="20521" xr:uid="{E76D6B8C-031A-4821-8D14-3C173BAD8FF6}"/>
    <cellStyle name="Style 98 4 2 2 7 2" xfId="20522" xr:uid="{62C7DC24-A59D-460A-B340-9B1C333A9737}"/>
    <cellStyle name="Style 98 4 2 2 7 2 2" xfId="38919" xr:uid="{23D9E612-A3CE-4701-AF77-1B5190633AB2}"/>
    <cellStyle name="Style 98 4 2 2 7 3" xfId="38918" xr:uid="{8303E7ED-E579-450D-8C8F-D9A2F55A45E5}"/>
    <cellStyle name="Style 98 4 2 2 8" xfId="20523" xr:uid="{F4E3A797-D24B-4179-A5BF-25A730B3C247}"/>
    <cellStyle name="Style 98 4 2 2 8 2" xfId="20524" xr:uid="{3DBC2AE5-A219-4B0C-9273-9E822F2AA671}"/>
    <cellStyle name="Style 98 4 2 2 8 2 2" xfId="38921" xr:uid="{364F05A7-F8FC-49A4-9ADB-4AB3032037FB}"/>
    <cellStyle name="Style 98 4 2 2 8 3" xfId="38920" xr:uid="{CE916A8B-5108-445C-A768-3F747A8C2C11}"/>
    <cellStyle name="Style 98 4 2 2 9" xfId="20525" xr:uid="{20EC21F1-C4F9-4FCB-8C26-8A76921085DF}"/>
    <cellStyle name="Style 98 4 2 2 9 2" xfId="20526" xr:uid="{A9961A6B-29FA-464C-942B-301755B481A3}"/>
    <cellStyle name="Style 98 4 2 2 9 2 2" xfId="38923" xr:uid="{57F31D9C-A4DF-4250-946A-0F3C44D5D9AF}"/>
    <cellStyle name="Style 98 4 2 2 9 3" xfId="38922" xr:uid="{62416DF4-6A93-4A5F-AA62-5E440E417FD1}"/>
    <cellStyle name="Style 98 4 2 3" xfId="3879" xr:uid="{B422AEF6-728D-4376-8CDB-0089B33D8CDA}"/>
    <cellStyle name="Style 98 4 2 3 2" xfId="7847" xr:uid="{2A81490D-7E45-4273-BFC3-B5B127A3873A}"/>
    <cellStyle name="Style 98 4 2 3 2 2" xfId="20527" xr:uid="{26E0D022-D86F-4230-992E-D846EFEDCFED}"/>
    <cellStyle name="Style 98 4 2 3 2 2 2" xfId="20528" xr:uid="{8BEABFDF-E187-40ED-A29A-D5CE39DBAE9C}"/>
    <cellStyle name="Style 98 4 2 3 2 2 2 2" xfId="38925" xr:uid="{177863E3-5ADD-4FEE-9BF2-64A9FC98843C}"/>
    <cellStyle name="Style 98 4 2 3 2 2 3" xfId="38924" xr:uid="{05C1D749-6FF6-43F8-A29C-BD040FB44EF4}"/>
    <cellStyle name="Style 98 4 2 3 2 3" xfId="20529" xr:uid="{0ECB0E41-6C6B-4449-9391-40FF311B6F19}"/>
    <cellStyle name="Style 98 4 2 3 2 3 2" xfId="20530" xr:uid="{06CA28FF-D8EE-4727-AF19-7A52BF6EEFAC}"/>
    <cellStyle name="Style 98 4 2 3 2 3 2 2" xfId="38927" xr:uid="{928964BB-3979-4578-8EE5-A187C1F62859}"/>
    <cellStyle name="Style 98 4 2 3 2 3 3" xfId="38926" xr:uid="{35E2CECA-1E69-4518-B43A-0EAC051A7FDF}"/>
    <cellStyle name="Style 98 4 2 3 2 4" xfId="20531" xr:uid="{8B61A2ED-FCF6-45D2-9F16-3BFD372803A7}"/>
    <cellStyle name="Style 98 4 2 3 2 4 2" xfId="20532" xr:uid="{01E9F1D6-C6E4-48FC-8D1E-970E6B492C9B}"/>
    <cellStyle name="Style 98 4 2 3 2 4 2 2" xfId="38929" xr:uid="{5C2A6F7D-EEA4-4CFA-ACCB-739508896858}"/>
    <cellStyle name="Style 98 4 2 3 2 4 3" xfId="38928" xr:uid="{3A1513EE-4729-4BD4-873E-03AD2FEFE217}"/>
    <cellStyle name="Style 98 4 2 3 2 5" xfId="20533" xr:uid="{DDD16D87-E17E-45DB-B218-267A06719FF2}"/>
    <cellStyle name="Style 98 4 2 3 2 5 2" xfId="20534" xr:uid="{5CA6EC01-4314-4A98-9AE8-C93B17C4EBF6}"/>
    <cellStyle name="Style 98 4 2 3 2 5 2 2" xfId="38931" xr:uid="{BA340F33-AD2A-4C12-9E3C-087D7E1C81F6}"/>
    <cellStyle name="Style 98 4 2 3 2 5 3" xfId="38930" xr:uid="{1096AAAD-AD24-475A-8119-650F15F59273}"/>
    <cellStyle name="Style 98 4 2 3 2 6" xfId="20535" xr:uid="{C67D551E-EF05-4C84-BF4D-A546D3645A3B}"/>
    <cellStyle name="Style 98 4 2 3 2 6 2" xfId="38932" xr:uid="{B44E0EE8-B9F2-422E-95E1-33F86F502F60}"/>
    <cellStyle name="Style 98 4 2 3 2 7" xfId="20536" xr:uid="{252DC48C-5CB2-4DCD-8C68-1CC1D710E16C}"/>
    <cellStyle name="Style 98 4 2 3 2 7 2" xfId="38933" xr:uid="{42241504-ECA7-400D-A698-151728E62656}"/>
    <cellStyle name="Style 98 4 2 3 3" xfId="20537" xr:uid="{6399D1BA-218C-4825-9D13-14F5DF554CEA}"/>
    <cellStyle name="Style 98 4 2 3 3 2" xfId="20538" xr:uid="{0C9B9F39-C16D-48CF-B202-0A6F4A9A19C3}"/>
    <cellStyle name="Style 98 4 2 3 3 2 2" xfId="38934" xr:uid="{A062416D-BFF0-474E-947F-F82A2C8A0E05}"/>
    <cellStyle name="Style 98 4 2 3 3 3" xfId="20539" xr:uid="{566AD056-8B4C-4377-9421-55F1C5BCD39B}"/>
    <cellStyle name="Style 98 4 2 3 3 3 2" xfId="38935" xr:uid="{C968A413-D01C-4101-BD82-014F77677269}"/>
    <cellStyle name="Style 98 4 2 3 4" xfId="20540" xr:uid="{9332AD13-8ABB-461E-8E03-AC497C8AAD5D}"/>
    <cellStyle name="Style 98 4 2 3 4 2" xfId="20541" xr:uid="{9F0C9248-DAE6-4974-9334-847EBBF4A1CE}"/>
    <cellStyle name="Style 98 4 2 3 4 2 2" xfId="38937" xr:uid="{FF4BCD56-BF11-433E-AFD9-7E0942F46DB7}"/>
    <cellStyle name="Style 98 4 2 3 4 3" xfId="38936" xr:uid="{0187F636-8EFE-4640-8C6A-E844F22FA99A}"/>
    <cellStyle name="Style 98 4 2 3 5" xfId="20542" xr:uid="{ED7C9734-6AD4-49E6-B5DB-59FBFF0A409A}"/>
    <cellStyle name="Style 98 4 2 3 5 2" xfId="20543" xr:uid="{E9D6EF10-9F63-4E3D-BFD3-4B6B0DCC1AF7}"/>
    <cellStyle name="Style 98 4 2 3 5 2 2" xfId="38939" xr:uid="{3D5B6AA8-739C-4031-A889-5F7613CA9391}"/>
    <cellStyle name="Style 98 4 2 3 5 3" xfId="38938" xr:uid="{DEAB4762-891B-40A9-9B86-7E677BF1D49C}"/>
    <cellStyle name="Style 98 4 2 3 6" xfId="20544" xr:uid="{E329D134-6B69-40EF-B6C0-69EAB635AF50}"/>
    <cellStyle name="Style 98 4 2 3 6 2" xfId="20545" xr:uid="{0A0C688F-5842-413F-B6D4-6AD5383C9D70}"/>
    <cellStyle name="Style 98 4 2 3 6 2 2" xfId="38941" xr:uid="{114EE235-C336-4048-9595-7031F52A0D9D}"/>
    <cellStyle name="Style 98 4 2 3 6 3" xfId="38940" xr:uid="{E8560CA1-6064-462B-95CB-FABABCB5B330}"/>
    <cellStyle name="Style 98 4 2 3 7" xfId="20546" xr:uid="{390DBFFF-023F-440E-AAF5-BCAC5BF8F0B1}"/>
    <cellStyle name="Style 98 4 2 3 7 2" xfId="20547" xr:uid="{C48F94D2-80D3-44EA-AAD9-961875965488}"/>
    <cellStyle name="Style 98 4 2 3 7 2 2" xfId="38943" xr:uid="{858BE60C-1987-4E34-A08D-857497DC0969}"/>
    <cellStyle name="Style 98 4 2 3 7 3" xfId="38942" xr:uid="{AF276750-5960-4D67-9B33-E1A028E2B11C}"/>
    <cellStyle name="Style 98 4 2 3 8" xfId="20548" xr:uid="{02B24F92-C93C-4C83-B54D-7078204166E5}"/>
    <cellStyle name="Style 98 4 2 3 8 2" xfId="38944" xr:uid="{F43EED70-BE48-4A25-AD28-6FB7032BE48D}"/>
    <cellStyle name="Style 98 4 2 3 9" xfId="20549" xr:uid="{C65FD93B-55F1-4995-8A19-36760E955303}"/>
    <cellStyle name="Style 98 4 2 3 9 2" xfId="38945" xr:uid="{AC075C73-3F22-4E43-885C-22104C2613E7}"/>
    <cellStyle name="Style 98 4 2 4" xfId="7844" xr:uid="{E732BA18-6A48-4774-B93F-1CB08BC71BA7}"/>
    <cellStyle name="Style 98 4 2 4 2" xfId="20550" xr:uid="{EA0BBD6A-30D6-4E50-AA9B-EEA6A7F3ED9F}"/>
    <cellStyle name="Style 98 4 2 4 2 2" xfId="20551" xr:uid="{DDA25349-4D61-46FF-ABF2-D492A122BAF2}"/>
    <cellStyle name="Style 98 4 2 4 2 2 2" xfId="38947" xr:uid="{32FCDA76-2D73-4033-816F-EFCAFFA62FE2}"/>
    <cellStyle name="Style 98 4 2 4 2 3" xfId="38946" xr:uid="{7E94F7CD-7A7B-4793-BDB2-B87C7E7C3821}"/>
    <cellStyle name="Style 98 4 2 4 3" xfId="20552" xr:uid="{09B0934E-5692-4338-AE99-EF756B0FBB36}"/>
    <cellStyle name="Style 98 4 2 4 3 2" xfId="20553" xr:uid="{3CBB25CD-7C42-471A-81DE-8892F4D53CD2}"/>
    <cellStyle name="Style 98 4 2 4 3 2 2" xfId="38949" xr:uid="{6B66A4E7-A028-452E-B15D-C9D8C19ABA59}"/>
    <cellStyle name="Style 98 4 2 4 3 3" xfId="38948" xr:uid="{61FD202D-1E73-479C-BD96-FEDC9E8B4A5F}"/>
    <cellStyle name="Style 98 4 2 4 4" xfId="20554" xr:uid="{E4ABE15F-666A-4F39-BAF4-C3A271633B7E}"/>
    <cellStyle name="Style 98 4 2 4 4 2" xfId="20555" xr:uid="{DD1B1392-3473-480C-9CA8-7D61997384F8}"/>
    <cellStyle name="Style 98 4 2 4 4 2 2" xfId="38951" xr:uid="{91FE3482-30A8-43ED-BF7B-9D2DA1576C9E}"/>
    <cellStyle name="Style 98 4 2 4 4 3" xfId="38950" xr:uid="{400CC6B3-2581-4E4D-9ABB-52FC83A324B6}"/>
    <cellStyle name="Style 98 4 2 4 5" xfId="20556" xr:uid="{C0E6F282-3408-473C-A6B4-B25C19822885}"/>
    <cellStyle name="Style 98 4 2 4 5 2" xfId="20557" xr:uid="{192A4F51-BA23-4785-8AA5-63E08CF60277}"/>
    <cellStyle name="Style 98 4 2 4 5 2 2" xfId="38953" xr:uid="{55B95084-FD66-4B30-871F-15CD5C0579FF}"/>
    <cellStyle name="Style 98 4 2 4 5 3" xfId="38952" xr:uid="{34DAA892-9898-47D8-A210-D58BC6B84D59}"/>
    <cellStyle name="Style 98 4 2 4 6" xfId="20558" xr:uid="{384B202A-FB87-48E1-952E-E5CDF9336826}"/>
    <cellStyle name="Style 98 4 2 4 6 2" xfId="38954" xr:uid="{15F71342-1A23-4A35-9B28-7F2EFDD0D1F6}"/>
    <cellStyle name="Style 98 4 2 4 7" xfId="20559" xr:uid="{05C8A0CD-7796-47D5-81C4-90EB94F03B40}"/>
    <cellStyle name="Style 98 4 2 4 7 2" xfId="38955" xr:uid="{ED7F34F3-191B-455C-90E0-99A80E7D0767}"/>
    <cellStyle name="Style 98 4 2 5" xfId="20560" xr:uid="{D44C8369-7D31-4FC7-B2FC-FE24B98756FB}"/>
    <cellStyle name="Style 98 4 2 5 2" xfId="20561" xr:uid="{B7913484-B102-47C4-B3F9-3B50F1A6B181}"/>
    <cellStyle name="Style 98 4 2 5 2 2" xfId="38956" xr:uid="{5F01D5E0-D771-4197-AD72-161C58EA270F}"/>
    <cellStyle name="Style 98 4 2 5 3" xfId="20562" xr:uid="{A1A3215E-7FEB-42E1-877B-E20726720660}"/>
    <cellStyle name="Style 98 4 2 5 3 2" xfId="38957" xr:uid="{FDCA1234-EDB6-49F5-9E94-5778CC3746CE}"/>
    <cellStyle name="Style 98 4 2 6" xfId="20563" xr:uid="{7A992315-315B-4D30-9ABB-D8D38C372FB6}"/>
    <cellStyle name="Style 98 4 2 6 2" xfId="20564" xr:uid="{CC2803F9-F444-42C4-A0DE-ABC374DE8768}"/>
    <cellStyle name="Style 98 4 2 6 2 2" xfId="38959" xr:uid="{52C7B0DC-ADAA-44FE-8AAC-59515965776A}"/>
    <cellStyle name="Style 98 4 2 6 3" xfId="38958" xr:uid="{BDE0CCE5-DC36-46B6-A3FB-7DED65743C84}"/>
    <cellStyle name="Style 98 4 2 7" xfId="20565" xr:uid="{28A0BBF2-AD30-4744-8142-7EFADCA6012C}"/>
    <cellStyle name="Style 98 4 2 7 2" xfId="20566" xr:uid="{6ABC2828-E233-428B-B8BA-B08A8FECFBD3}"/>
    <cellStyle name="Style 98 4 2 7 2 2" xfId="38961" xr:uid="{489D0282-72F0-405F-A6E8-567817A44C5A}"/>
    <cellStyle name="Style 98 4 2 7 3" xfId="38960" xr:uid="{94DC18F1-74A6-4284-A8EC-F75C1D600B2B}"/>
    <cellStyle name="Style 98 4 2 8" xfId="20567" xr:uid="{C19A56A9-6555-4D23-92BD-122B203F452C}"/>
    <cellStyle name="Style 98 4 2 8 2" xfId="20568" xr:uid="{31243205-B83A-4C78-9291-3A54B1BFE444}"/>
    <cellStyle name="Style 98 4 2 8 2 2" xfId="38963" xr:uid="{6190403F-0BC1-474D-BE8B-99B1924F82FF}"/>
    <cellStyle name="Style 98 4 2 8 3" xfId="38962" xr:uid="{AE774282-7E76-41C0-8C98-FD8CAC8145A8}"/>
    <cellStyle name="Style 98 4 2 9" xfId="20569" xr:uid="{2870464E-8968-452B-ABD3-FE17DADA7965}"/>
    <cellStyle name="Style 98 4 2 9 2" xfId="20570" xr:uid="{D30B4F57-D537-42E0-BA84-A5452C3D6B4C}"/>
    <cellStyle name="Style 98 4 2 9 2 2" xfId="38965" xr:uid="{51B796F5-E57D-4BBC-9EC6-47A28B02E047}"/>
    <cellStyle name="Style 98 4 2 9 3" xfId="38964" xr:uid="{BC241A39-8AF4-4B12-94A1-CCEAFA366AAF}"/>
    <cellStyle name="Style 98 4 3" xfId="3880" xr:uid="{85B60005-88E7-47CF-9DA4-E0418A7A8E15}"/>
    <cellStyle name="Style 98 4 3 2" xfId="7849" xr:uid="{25026CE9-049A-47B9-91F7-5026944D53BB}"/>
    <cellStyle name="Style 98 4 3 2 2" xfId="20571" xr:uid="{29B1564F-B2DE-4725-B7C4-B5C79E8D1C81}"/>
    <cellStyle name="Style 98 4 3 2 2 2" xfId="20572" xr:uid="{2A598B8E-5FBB-44EE-A040-365206FB80B6}"/>
    <cellStyle name="Style 98 4 3 2 2 2 2" xfId="38967" xr:uid="{0BFC9D0B-3E3F-4FC0-83BE-E04E4EB51135}"/>
    <cellStyle name="Style 98 4 3 2 2 3" xfId="38966" xr:uid="{F542E905-43E9-4A9D-893B-0933D83AE371}"/>
    <cellStyle name="Style 98 4 3 2 3" xfId="20573" xr:uid="{43ED0876-BA40-4F6A-BE80-89108B08BE98}"/>
    <cellStyle name="Style 98 4 3 2 3 2" xfId="20574" xr:uid="{50A77056-6312-41F4-8A08-C686559D6884}"/>
    <cellStyle name="Style 98 4 3 2 3 2 2" xfId="38969" xr:uid="{17C3F960-A4E7-485E-B718-55500BCF5271}"/>
    <cellStyle name="Style 98 4 3 2 3 3" xfId="38968" xr:uid="{E25B132E-8041-4F3C-8085-5524D77CF9F8}"/>
    <cellStyle name="Style 98 4 3 2 4" xfId="20575" xr:uid="{0B5A9A49-4C26-4CAA-BF65-9B0273369AA9}"/>
    <cellStyle name="Style 98 4 3 2 4 2" xfId="20576" xr:uid="{CEF46033-F035-4397-B033-6380B67A48B0}"/>
    <cellStyle name="Style 98 4 3 2 4 2 2" xfId="38971" xr:uid="{F1ECE29F-826F-45F7-B136-7AF8F836C60E}"/>
    <cellStyle name="Style 98 4 3 2 4 3" xfId="38970" xr:uid="{360257B1-EF8A-4471-8ECF-D56793CEF2B8}"/>
    <cellStyle name="Style 98 4 3 2 5" xfId="20577" xr:uid="{770A834A-415A-43C2-92D5-78A7599BDF7B}"/>
    <cellStyle name="Style 98 4 3 2 5 2" xfId="20578" xr:uid="{988729CB-FE61-475D-A34E-270F94D6BF83}"/>
    <cellStyle name="Style 98 4 3 2 5 2 2" xfId="38973" xr:uid="{ABB12FEC-050D-4F8D-BE42-06C7FB6C2EA1}"/>
    <cellStyle name="Style 98 4 3 2 5 3" xfId="38972" xr:uid="{D3E856A3-4CBE-412F-BE41-E8BCA225CF2C}"/>
    <cellStyle name="Style 98 4 3 2 6" xfId="20579" xr:uid="{91A0175C-4D77-4BB7-92B1-A041EF17E18D}"/>
    <cellStyle name="Style 98 4 3 2 6 2" xfId="38974" xr:uid="{8695BD29-CF9B-4FAE-9B3C-E0144903DA35}"/>
    <cellStyle name="Style 98 4 3 2 7" xfId="20580" xr:uid="{ACA45E5D-7EDA-4264-8A5B-465D21C00F76}"/>
    <cellStyle name="Style 98 4 3 2 7 2" xfId="38975" xr:uid="{75BCE223-891D-4A94-95BF-6AC1DEDF0517}"/>
    <cellStyle name="Style 98 4 3 3" xfId="7848" xr:uid="{E183D9F0-F74E-4B99-9CF9-1BF0B781F3A0}"/>
    <cellStyle name="Style 98 4 3 3 2" xfId="20581" xr:uid="{712746C3-A0E8-43A6-9A01-6CB553A9F38D}"/>
    <cellStyle name="Style 98 4 3 3 2 2" xfId="38976" xr:uid="{A37777AD-34DA-4D7C-953F-1AC552949B20}"/>
    <cellStyle name="Style 98 4 3 3 3" xfId="20582" xr:uid="{8DF1D9C0-6ABE-4EAA-B99A-8E20838BE424}"/>
    <cellStyle name="Style 98 4 3 3 3 2" xfId="38977" xr:uid="{8E146305-D918-4860-9D10-F55765CAFCE9}"/>
    <cellStyle name="Style 98 4 3 4" xfId="20583" xr:uid="{09CAEFA4-28F9-45EB-A6AC-080C14D52E1A}"/>
    <cellStyle name="Style 98 4 3 4 2" xfId="20584" xr:uid="{D6D48BB8-C330-4D1B-880D-E75519D07E70}"/>
    <cellStyle name="Style 98 4 3 4 2 2" xfId="38978" xr:uid="{07A26B23-4A0E-4922-A969-93511C25C3ED}"/>
    <cellStyle name="Style 98 4 3 4 3" xfId="20585" xr:uid="{134FE00F-3AB7-45CE-ACC7-8F41C48F8414}"/>
    <cellStyle name="Style 98 4 3 4 3 2" xfId="38979" xr:uid="{045FDE19-E566-4AD8-A4EE-4FC09430366A}"/>
    <cellStyle name="Style 98 4 3 5" xfId="20586" xr:uid="{DA51319E-1C84-4CF4-8A3D-B4B0EE056358}"/>
    <cellStyle name="Style 98 4 3 5 2" xfId="20587" xr:uid="{102B68E2-1F27-4F91-9ABA-B9594622F59C}"/>
    <cellStyle name="Style 98 4 3 5 2 2" xfId="38981" xr:uid="{7F7C8F41-A7C6-4D5E-B742-A52AED3D64D1}"/>
    <cellStyle name="Style 98 4 3 5 3" xfId="38980" xr:uid="{7FFC34DE-6F91-48C3-8A08-E17074FBC0D6}"/>
    <cellStyle name="Style 98 4 3 6" xfId="20588" xr:uid="{3F01F6B4-FB25-44D8-9024-BD0C0DBA95E6}"/>
    <cellStyle name="Style 98 4 3 6 2" xfId="20589" xr:uid="{7604DB43-102C-4DFE-B081-B50BF8A5552C}"/>
    <cellStyle name="Style 98 4 3 6 2 2" xfId="38983" xr:uid="{D2F514B2-811A-407A-9FF5-2D78761E5460}"/>
    <cellStyle name="Style 98 4 3 6 3" xfId="38982" xr:uid="{F22B3904-2AA5-44DB-9784-8EC6DC040FF5}"/>
    <cellStyle name="Style 98 4 3 7" xfId="20590" xr:uid="{8151C3F5-2B7C-4D92-AC14-6C2DB1A7A162}"/>
    <cellStyle name="Style 98 4 3 7 2" xfId="20591" xr:uid="{254465FD-7462-4C98-ACD5-CB9BB428861B}"/>
    <cellStyle name="Style 98 4 3 7 2 2" xfId="38985" xr:uid="{BB541D41-7ED2-4DEB-B68A-F1792F66AAD9}"/>
    <cellStyle name="Style 98 4 3 7 3" xfId="38984" xr:uid="{CB39F2F1-E806-4F17-97C7-2124E6053EBA}"/>
    <cellStyle name="Style 98 4 3 8" xfId="20592" xr:uid="{06AC5086-AC10-4130-BEA5-3826EB0BD2AE}"/>
    <cellStyle name="Style 98 4 3 8 2" xfId="38986" xr:uid="{0B29A2A6-6CF8-4EF4-853A-E123B26A6947}"/>
    <cellStyle name="Style 98 4 3 9" xfId="20593" xr:uid="{693B513D-343D-4AB6-B20C-20726CE5BAEA}"/>
    <cellStyle name="Style 98 4 3 9 2" xfId="38987" xr:uid="{7188ABFA-496E-45B6-A853-E8E3466CD902}"/>
    <cellStyle name="Style 98 4 4" xfId="7850" xr:uid="{B101356C-6BAB-4CD5-AF53-ED561A8E6624}"/>
    <cellStyle name="Style 98 4 4 2" xfId="20594" xr:uid="{7C95BB50-5CD5-4C46-B736-8EA94E811A7E}"/>
    <cellStyle name="Style 98 4 4 2 2" xfId="20595" xr:uid="{1CB6165A-8E34-423C-9443-80812AD5A55B}"/>
    <cellStyle name="Style 98 4 4 2 2 2" xfId="38989" xr:uid="{1608D977-AD30-49F9-A5C5-AE4A73891C31}"/>
    <cellStyle name="Style 98 4 4 2 3" xfId="38988" xr:uid="{0B86E154-6D2B-4D71-B296-56C16EAD8978}"/>
    <cellStyle name="Style 98 4 4 3" xfId="20596" xr:uid="{D6885E5E-688A-41BB-9C09-51291BA8681F}"/>
    <cellStyle name="Style 98 4 4 3 2" xfId="20597" xr:uid="{B9FD8164-067F-4FD3-A45A-36CF05F6EC0B}"/>
    <cellStyle name="Style 98 4 4 3 2 2" xfId="38991" xr:uid="{575A00F5-4E84-4CDB-8C40-DA88BCACCFDE}"/>
    <cellStyle name="Style 98 4 4 3 3" xfId="38990" xr:uid="{AD09229A-E604-48F4-8408-121BFD98AC4F}"/>
    <cellStyle name="Style 98 4 4 4" xfId="20598" xr:uid="{B89C8AFE-B2EB-47F4-B2A6-FC5E7DE08AFC}"/>
    <cellStyle name="Style 98 4 4 4 2" xfId="20599" xr:uid="{484459D3-0726-448E-9E26-9EACCBFE11B6}"/>
    <cellStyle name="Style 98 4 4 4 2 2" xfId="38993" xr:uid="{D3B42811-8C09-4684-AF16-49B2DDDA087A}"/>
    <cellStyle name="Style 98 4 4 4 3" xfId="38992" xr:uid="{D207D924-D9A4-4F21-BDDA-AC72302C2B3E}"/>
    <cellStyle name="Style 98 4 4 5" xfId="20600" xr:uid="{1887D6AE-BF22-4BBA-BCF6-DAD787E2E49A}"/>
    <cellStyle name="Style 98 4 4 5 2" xfId="20601" xr:uid="{0DD04145-7064-401F-8431-9B632E837859}"/>
    <cellStyle name="Style 98 4 4 5 2 2" xfId="38995" xr:uid="{03057545-2F69-4C99-8BF9-8151CA574811}"/>
    <cellStyle name="Style 98 4 4 5 3" xfId="38994" xr:uid="{B58D6946-4E17-4734-BE5D-AD14A19DCAE9}"/>
    <cellStyle name="Style 98 4 4 6" xfId="20602" xr:uid="{67016F2E-FCA0-4FAF-A808-E9CFC98F9538}"/>
    <cellStyle name="Style 98 4 4 6 2" xfId="38996" xr:uid="{3209F08F-DFD6-458F-A449-B4095AB51EB6}"/>
    <cellStyle name="Style 98 4 4 7" xfId="20603" xr:uid="{9B386356-379F-4F15-A71B-BE3403C94467}"/>
    <cellStyle name="Style 98 4 4 7 2" xfId="38997" xr:uid="{28B5ACF0-097B-41B2-B5BA-75FCAC3A948C}"/>
    <cellStyle name="Style 98 4 5" xfId="7851" xr:uid="{8F945E7B-F0CD-4511-B943-D695FB595111}"/>
    <cellStyle name="Style 98 4 5 2" xfId="20604" xr:uid="{B9087DB5-E52F-4ADB-9D17-CD21D8DA1F92}"/>
    <cellStyle name="Style 98 4 5 2 2" xfId="38998" xr:uid="{A6856357-ADD4-496F-B7D7-7D2355825265}"/>
    <cellStyle name="Style 98 4 5 3" xfId="20605" xr:uid="{2CBE8610-8203-44A4-B91E-E1819648F2ED}"/>
    <cellStyle name="Style 98 4 5 3 2" xfId="38999" xr:uid="{1186DBBC-F757-48B8-83A0-869507824EA9}"/>
    <cellStyle name="Style 98 4 6" xfId="7843" xr:uid="{39684C82-FD10-41E2-A846-FB4C780A89F8}"/>
    <cellStyle name="Style 98 4 6 2" xfId="20606" xr:uid="{49F2A9B0-1824-4C33-968D-6DA769BBC84A}"/>
    <cellStyle name="Style 98 4 6 2 2" xfId="39000" xr:uid="{D9CF6FD3-94FB-4A3A-92F3-1F1BB6F77F20}"/>
    <cellStyle name="Style 98 4 6 3" xfId="20607" xr:uid="{4292402C-290C-421B-8150-3ED524A74706}"/>
    <cellStyle name="Style 98 4 6 3 2" xfId="39001" xr:uid="{F1C10A0C-B868-4070-BDF7-1498511F2202}"/>
    <cellStyle name="Style 98 4 7" xfId="20608" xr:uid="{6D5596EC-0A02-4252-9CEA-E252DBA47190}"/>
    <cellStyle name="Style 98 4 7 2" xfId="20609" xr:uid="{C4954810-B3DB-4DF6-A3AC-8F0726215104}"/>
    <cellStyle name="Style 98 4 7 2 2" xfId="39002" xr:uid="{E18574BA-7FAE-4706-B762-9DA96CF0633A}"/>
    <cellStyle name="Style 98 4 7 3" xfId="20610" xr:uid="{3734A8D4-9DB8-492A-A450-8BA58C0354D2}"/>
    <cellStyle name="Style 98 4 7 3 2" xfId="39003" xr:uid="{9CC09F28-3080-4EAD-86CF-42A30FCF75D8}"/>
    <cellStyle name="Style 98 4 8" xfId="20611" xr:uid="{50404A89-B333-465C-A1F8-24B0F44C73BB}"/>
    <cellStyle name="Style 98 4 8 2" xfId="20612" xr:uid="{B0EC4E20-1F8B-4F36-87C2-F6F665B9D61B}"/>
    <cellStyle name="Style 98 4 8 2 2" xfId="39005" xr:uid="{CEB65F64-23EE-40FF-9225-61FBD0541F4E}"/>
    <cellStyle name="Style 98 4 8 3" xfId="39004" xr:uid="{B6B4079A-36A2-4690-BC7B-4993991BD034}"/>
    <cellStyle name="Style 98 4 9" xfId="20613" xr:uid="{3D51345F-29FD-4715-B0C0-3CBA6F05EDC3}"/>
    <cellStyle name="Style 98 4 9 2" xfId="20614" xr:uid="{343A2F18-0638-4B3B-AB93-E7F63AB54742}"/>
    <cellStyle name="Style 98 4 9 2 2" xfId="39007" xr:uid="{1BA2F380-2483-4B5F-A7D7-B6EF7929C650}"/>
    <cellStyle name="Style 98 4 9 3" xfId="39006" xr:uid="{E0CA6C22-699C-473B-A978-407EDE513A25}"/>
    <cellStyle name="Style 98 5" xfId="3881" xr:uid="{EF3ED55C-DB26-4AD0-9D67-7A0C67D78FC6}"/>
    <cellStyle name="Style 98 5 10" xfId="20615" xr:uid="{9889886D-C309-4D95-9292-7C9363AB2E74}"/>
    <cellStyle name="Style 98 5 10 2" xfId="39008" xr:uid="{EA26FF8E-D361-4631-BC9D-131FBA579B01}"/>
    <cellStyle name="Style 98 5 11" xfId="20616" xr:uid="{C24C965F-DE1D-40C2-A789-39843EA1506F}"/>
    <cellStyle name="Style 98 5 11 2" xfId="39009" xr:uid="{3079D361-36E5-44CE-B897-45B5E86FB2AF}"/>
    <cellStyle name="Style 98 5 2" xfId="3882" xr:uid="{29CD1C60-73A6-4973-B50E-5234EC7E7187}"/>
    <cellStyle name="Style 98 5 2 2" xfId="7853" xr:uid="{9C4C7E58-C7AE-4020-B960-8D8CD37E0A83}"/>
    <cellStyle name="Style 98 5 2 2 2" xfId="20617" xr:uid="{33892D42-41E4-4E3D-BD53-2A3D592F1037}"/>
    <cellStyle name="Style 98 5 2 2 2 2" xfId="20618" xr:uid="{4155A9CB-CAE8-4F92-A57E-98E94E1AA3AB}"/>
    <cellStyle name="Style 98 5 2 2 2 2 2" xfId="39011" xr:uid="{E7944D25-AC1E-4045-AFC3-D866767EA07A}"/>
    <cellStyle name="Style 98 5 2 2 2 3" xfId="39010" xr:uid="{1E8D5868-9717-4AF4-8170-725DD73C8763}"/>
    <cellStyle name="Style 98 5 2 2 3" xfId="20619" xr:uid="{2C9C7521-5FE8-4C36-A786-F4A2D3A3904A}"/>
    <cellStyle name="Style 98 5 2 2 3 2" xfId="20620" xr:uid="{8D4AE824-1779-473D-B59A-4CF91F8E459F}"/>
    <cellStyle name="Style 98 5 2 2 3 2 2" xfId="39013" xr:uid="{30863441-8CDA-4EE0-9F40-6007671BBCFF}"/>
    <cellStyle name="Style 98 5 2 2 3 3" xfId="39012" xr:uid="{D71662A1-6618-4556-A126-6C6330E9C12B}"/>
    <cellStyle name="Style 98 5 2 2 4" xfId="20621" xr:uid="{0D766851-D7CD-4619-8518-E5B87E27C1D1}"/>
    <cellStyle name="Style 98 5 2 2 4 2" xfId="20622" xr:uid="{D55A818E-9B61-4C4A-A626-0CC02BE1986B}"/>
    <cellStyle name="Style 98 5 2 2 4 2 2" xfId="39015" xr:uid="{D46F7D67-D499-4DF1-8CF6-78D0CBD57DBE}"/>
    <cellStyle name="Style 98 5 2 2 4 3" xfId="39014" xr:uid="{024F447C-DCD1-4D46-BB7B-871CDE550929}"/>
    <cellStyle name="Style 98 5 2 2 5" xfId="20623" xr:uid="{1089A4B8-FF02-4C8F-B281-7F45D8D32E3E}"/>
    <cellStyle name="Style 98 5 2 2 5 2" xfId="20624" xr:uid="{00FDFD49-F7F6-47E1-9579-B5B62C710B10}"/>
    <cellStyle name="Style 98 5 2 2 5 2 2" xfId="39017" xr:uid="{EE6F6273-A115-490F-9B6C-C054BAC6B945}"/>
    <cellStyle name="Style 98 5 2 2 5 3" xfId="39016" xr:uid="{F6B5C999-D88A-4FA7-B983-E73382156AF6}"/>
    <cellStyle name="Style 98 5 2 2 6" xfId="20625" xr:uid="{DF5D168B-F59C-4366-99F2-9A5A31EAB345}"/>
    <cellStyle name="Style 98 5 2 2 6 2" xfId="39018" xr:uid="{F064FF13-F074-4E32-9EA5-8937A3CBA963}"/>
    <cellStyle name="Style 98 5 2 2 7" xfId="20626" xr:uid="{AC2F661E-57B2-4AEB-A1D3-42315E49F3C4}"/>
    <cellStyle name="Style 98 5 2 2 7 2" xfId="39019" xr:uid="{26D7F400-9EDD-4FE3-BBED-177A26370DB3}"/>
    <cellStyle name="Style 98 5 2 3" xfId="20627" xr:uid="{EAABBEBE-7887-42B2-A5A8-33AB58EDC7DA}"/>
    <cellStyle name="Style 98 5 2 3 2" xfId="20628" xr:uid="{AE56F068-E3B5-4551-803D-DFE8AE870786}"/>
    <cellStyle name="Style 98 5 2 3 2 2" xfId="39020" xr:uid="{8DF69F2D-295D-46FA-A08D-27C4A1DACFD1}"/>
    <cellStyle name="Style 98 5 2 3 3" xfId="20629" xr:uid="{9FBD6F47-8B16-4522-9EDA-3D0F2F7D94CC}"/>
    <cellStyle name="Style 98 5 2 3 3 2" xfId="39021" xr:uid="{DD236565-6915-4B08-A80D-9D12E334586D}"/>
    <cellStyle name="Style 98 5 2 4" xfId="20630" xr:uid="{804761E2-F926-47A6-A592-14A166ECD082}"/>
    <cellStyle name="Style 98 5 2 4 2" xfId="20631" xr:uid="{E4C997AF-7235-4B48-87B2-1E55599434A0}"/>
    <cellStyle name="Style 98 5 2 4 2 2" xfId="39023" xr:uid="{F86A10CD-8D14-4A37-96FC-295C3E279555}"/>
    <cellStyle name="Style 98 5 2 4 3" xfId="39022" xr:uid="{1AF4A25C-543B-4E3B-ACEC-9B7C68DD2455}"/>
    <cellStyle name="Style 98 5 2 5" xfId="20632" xr:uid="{E26F0AB4-31F3-4D60-BD0E-30923546092B}"/>
    <cellStyle name="Style 98 5 2 5 2" xfId="20633" xr:uid="{AF05DE7F-C8FB-4E3A-B226-01E69AD98D26}"/>
    <cellStyle name="Style 98 5 2 5 2 2" xfId="39025" xr:uid="{E6EF931A-6888-4E96-83BE-8D19E7C4F96E}"/>
    <cellStyle name="Style 98 5 2 5 3" xfId="39024" xr:uid="{0EF595CD-5225-4007-A52E-C72D574428AF}"/>
    <cellStyle name="Style 98 5 2 6" xfId="20634" xr:uid="{E4DCBB76-0768-4B52-9F6A-4A2D14B7309C}"/>
    <cellStyle name="Style 98 5 2 6 2" xfId="20635" xr:uid="{BC732DE8-0D6E-4C11-A27F-32F88A3391C1}"/>
    <cellStyle name="Style 98 5 2 6 2 2" xfId="39027" xr:uid="{78751887-D497-4E2A-A647-87D826983F2D}"/>
    <cellStyle name="Style 98 5 2 6 3" xfId="39026" xr:uid="{8FCE1D9C-4491-4BB7-A6C3-63B30B98A51A}"/>
    <cellStyle name="Style 98 5 2 7" xfId="20636" xr:uid="{08EF3DE1-2F81-4FD9-9876-282059F4B093}"/>
    <cellStyle name="Style 98 5 2 7 2" xfId="20637" xr:uid="{C63AD359-4D67-43B5-963B-CB0E54A0C924}"/>
    <cellStyle name="Style 98 5 2 7 2 2" xfId="39029" xr:uid="{26395C15-FF47-4C85-9967-E0FDADD8F849}"/>
    <cellStyle name="Style 98 5 2 7 3" xfId="39028" xr:uid="{3579260A-0D58-45C2-AD1B-9A2DF3EDE9C9}"/>
    <cellStyle name="Style 98 5 2 8" xfId="20638" xr:uid="{03B1ECA4-5408-456A-B3EC-4326178FF198}"/>
    <cellStyle name="Style 98 5 2 8 2" xfId="39030" xr:uid="{342DBEDF-611B-4B7B-98F8-4BAEDF0F6F9D}"/>
    <cellStyle name="Style 98 5 2 9" xfId="20639" xr:uid="{CCC969D9-4A4F-4EE9-9ECE-DAC6D338319F}"/>
    <cellStyle name="Style 98 5 2 9 2" xfId="39031" xr:uid="{0CC946EB-9D78-434F-A56B-172DE570818C}"/>
    <cellStyle name="Style 98 5 3" xfId="7852" xr:uid="{96063B7C-F954-4C1D-AFC9-84F29D76861E}"/>
    <cellStyle name="Style 98 5 3 2" xfId="20640" xr:uid="{D48F3834-5F8C-422E-8B9C-01333DA2C656}"/>
    <cellStyle name="Style 98 5 3 2 2" xfId="20641" xr:uid="{99794822-7DA7-442F-B23C-98EDDBC812BA}"/>
    <cellStyle name="Style 98 5 3 2 2 2" xfId="39033" xr:uid="{8FCC971D-7878-44AD-A4BD-C4DA87612044}"/>
    <cellStyle name="Style 98 5 3 2 3" xfId="39032" xr:uid="{F5EE1991-375F-4BA3-8A0E-D331BC07142A}"/>
    <cellStyle name="Style 98 5 3 3" xfId="20642" xr:uid="{ECC99219-03A8-409E-9A01-0F314661852F}"/>
    <cellStyle name="Style 98 5 3 3 2" xfId="20643" xr:uid="{9DE7F6DE-6998-4BE4-96AE-B833422A0A25}"/>
    <cellStyle name="Style 98 5 3 3 2 2" xfId="39035" xr:uid="{8A468FAD-2A22-4D51-8F2E-1625CBE04E09}"/>
    <cellStyle name="Style 98 5 3 3 3" xfId="39034" xr:uid="{04CBC310-7278-426F-84B7-8D667644651C}"/>
    <cellStyle name="Style 98 5 3 4" xfId="20644" xr:uid="{F51D54AD-6D88-4EFB-9333-51A3404171DC}"/>
    <cellStyle name="Style 98 5 3 4 2" xfId="20645" xr:uid="{E9C81367-1A5E-4CEB-9991-F9AF7300B66A}"/>
    <cellStyle name="Style 98 5 3 4 2 2" xfId="39037" xr:uid="{2D1A8A93-FE22-41E6-9380-A2D7D2C435EC}"/>
    <cellStyle name="Style 98 5 3 4 3" xfId="39036" xr:uid="{8D7CA1BA-A3F3-43C1-8BE1-0620FAC1BFA1}"/>
    <cellStyle name="Style 98 5 3 5" xfId="20646" xr:uid="{E567B739-FAD2-4C10-A0E4-293F6969A91F}"/>
    <cellStyle name="Style 98 5 3 5 2" xfId="20647" xr:uid="{EE87A69B-1B03-4BFC-ADC8-6FE17B20B472}"/>
    <cellStyle name="Style 98 5 3 5 2 2" xfId="39039" xr:uid="{4D5C156E-EF93-4AC9-8470-FB31C6788EDD}"/>
    <cellStyle name="Style 98 5 3 5 3" xfId="39038" xr:uid="{CF06FC60-233B-4049-A765-A6F800B83FAF}"/>
    <cellStyle name="Style 98 5 3 6" xfId="20648" xr:uid="{622EE476-7642-4B95-977C-4DD3F268AB44}"/>
    <cellStyle name="Style 98 5 3 6 2" xfId="39040" xr:uid="{7022BD66-EC24-4A32-BF07-7C452B8859A4}"/>
    <cellStyle name="Style 98 5 3 7" xfId="20649" xr:uid="{873386AE-4B38-4F43-B297-BA842404E433}"/>
    <cellStyle name="Style 98 5 3 7 2" xfId="39041" xr:uid="{9BE17320-8590-40C9-8CE3-72F401E6BA47}"/>
    <cellStyle name="Style 98 5 4" xfId="20650" xr:uid="{126AB490-D5AE-4B59-A357-C315A627F7C4}"/>
    <cellStyle name="Style 98 5 4 2" xfId="20651" xr:uid="{70373886-5154-478B-8BF0-8C9E23AD1716}"/>
    <cellStyle name="Style 98 5 4 2 2" xfId="39042" xr:uid="{53676CAC-36F5-487B-9205-87AFD557EA49}"/>
    <cellStyle name="Style 98 5 4 3" xfId="20652" xr:uid="{5B7E85C4-B46E-4CD4-B44F-30D23EB752C1}"/>
    <cellStyle name="Style 98 5 4 3 2" xfId="39043" xr:uid="{3615BD05-2758-4EDC-961E-2FBDC7925622}"/>
    <cellStyle name="Style 98 5 5" xfId="20653" xr:uid="{FD6B34CD-9ABA-4279-BA45-E9D494C45E2A}"/>
    <cellStyle name="Style 98 5 5 2" xfId="20654" xr:uid="{44903D56-0858-4299-8EFD-84B61A3FE62C}"/>
    <cellStyle name="Style 98 5 5 2 2" xfId="39045" xr:uid="{3F1B778D-EED4-4DAB-A8B5-0EB32AD2E0F8}"/>
    <cellStyle name="Style 98 5 5 3" xfId="39044" xr:uid="{99E41D46-AAFC-4E75-AA36-12AEE5F12309}"/>
    <cellStyle name="Style 98 5 6" xfId="20655" xr:uid="{2F96361C-4AFB-4D1D-BF8F-A3E6E2EB6AE5}"/>
    <cellStyle name="Style 98 5 6 2" xfId="20656" xr:uid="{8E12B3AD-A4FF-4EA9-99C6-3CBC7D5CA668}"/>
    <cellStyle name="Style 98 5 6 2 2" xfId="39047" xr:uid="{C7485693-7BB6-4006-B274-148A10A5BBBF}"/>
    <cellStyle name="Style 98 5 6 3" xfId="39046" xr:uid="{22D066C2-BD1F-440F-8AB4-43CC7BCAEEE4}"/>
    <cellStyle name="Style 98 5 7" xfId="20657" xr:uid="{E4C5E460-16A4-4BD1-ADD2-E2643799FDA2}"/>
    <cellStyle name="Style 98 5 7 2" xfId="20658" xr:uid="{CF62802A-1AB7-4C72-A946-C72D48AFFC57}"/>
    <cellStyle name="Style 98 5 7 2 2" xfId="39049" xr:uid="{7727DF7C-E2AB-4F0C-B974-B87C0B8DFE5E}"/>
    <cellStyle name="Style 98 5 7 3" xfId="39048" xr:uid="{91639F71-9667-4580-9867-B69A106FDE12}"/>
    <cellStyle name="Style 98 5 8" xfId="20659" xr:uid="{BF831D6A-6295-45AD-B8D8-C8722AEEE602}"/>
    <cellStyle name="Style 98 5 8 2" xfId="20660" xr:uid="{9EEDED62-18C8-4B0A-BA78-724A108C189F}"/>
    <cellStyle name="Style 98 5 8 2 2" xfId="39051" xr:uid="{18CF0A55-56FE-413E-BD4F-C51C248F4434}"/>
    <cellStyle name="Style 98 5 8 3" xfId="39050" xr:uid="{C8BD308A-0652-4D9D-9C50-3C13E0A204DB}"/>
    <cellStyle name="Style 98 5 9" xfId="20661" xr:uid="{2571E51D-1A72-48E2-B549-7CEAF688F079}"/>
    <cellStyle name="Style 98 5 9 2" xfId="20662" xr:uid="{B7615E9F-B952-4CB9-9356-6D9508F46816}"/>
    <cellStyle name="Style 98 5 9 2 2" xfId="39053" xr:uid="{498FACC5-E847-4DD3-8735-5FD605F4E013}"/>
    <cellStyle name="Style 98 5 9 3" xfId="39052" xr:uid="{9755853F-7AA2-4A58-B401-14E8F4125134}"/>
    <cellStyle name="Style 98 6" xfId="3883" xr:uid="{E9805CE5-839F-4090-BEA3-9409F914A1A5}"/>
    <cellStyle name="Style 98 6 10" xfId="20663" xr:uid="{23145390-1AD3-45E9-B7C5-276618CB5459}"/>
    <cellStyle name="Style 98 6 10 2" xfId="39054" xr:uid="{C65BB83D-5B82-4F16-AC4A-DFDDC72F6F79}"/>
    <cellStyle name="Style 98 6 2" xfId="4231" xr:uid="{2779DCFB-99E0-4FB1-B437-BF773ED27259}"/>
    <cellStyle name="Style 98 6 2 2" xfId="7855" xr:uid="{43FD212D-5BE7-4F5B-BE85-32AD27341509}"/>
    <cellStyle name="Style 98 6 2 2 2" xfId="20664" xr:uid="{BD5403D7-3C56-4AAA-B867-4E989516E8DF}"/>
    <cellStyle name="Style 98 6 2 2 2 2" xfId="39055" xr:uid="{F051588A-B11E-4B9E-BB41-3BE39B882FB2}"/>
    <cellStyle name="Style 98 6 2 2 3" xfId="20665" xr:uid="{0B9F8617-490C-4CBC-86D2-D17A58DDCD67}"/>
    <cellStyle name="Style 98 6 2 2 3 2" xfId="39056" xr:uid="{BFD8EA39-7EF3-42F1-89B3-0F2CE8346819}"/>
    <cellStyle name="Style 98 6 2 2 4" xfId="28364" xr:uid="{748983EC-56B4-4048-A904-A6B30EFD3BBC}"/>
    <cellStyle name="Style 98 6 2 3" xfId="20666" xr:uid="{D55524F1-0559-4803-B7DD-F0BB63210C4F}"/>
    <cellStyle name="Style 98 6 2 3 2" xfId="20667" xr:uid="{B62D750B-CA66-4132-9427-78C608B02768}"/>
    <cellStyle name="Style 98 6 2 3 2 2" xfId="39058" xr:uid="{E8C979D0-925A-4A79-9891-340BE3F4BF69}"/>
    <cellStyle name="Style 98 6 2 3 3" xfId="39057" xr:uid="{5583A9B5-C7F0-4946-9767-A37AFA65C4A4}"/>
    <cellStyle name="Style 98 6 2 4" xfId="20668" xr:uid="{1B73856C-2F79-401B-ADBB-30B8B211C4D8}"/>
    <cellStyle name="Style 98 6 2 4 2" xfId="20669" xr:uid="{9168F777-DF68-495E-A435-58D2BA0052E6}"/>
    <cellStyle name="Style 98 6 2 4 2 2" xfId="39060" xr:uid="{B7C7613F-5A50-4384-8212-E5D1876F7FBD}"/>
    <cellStyle name="Style 98 6 2 4 3" xfId="39059" xr:uid="{7E450F39-5FED-4C70-9B95-8025D2A7F394}"/>
    <cellStyle name="Style 98 6 2 5" xfId="20670" xr:uid="{ED59EE99-E454-4222-8AF1-E4BFD5A8C704}"/>
    <cellStyle name="Style 98 6 2 5 2" xfId="20671" xr:uid="{47138195-7B63-41F0-9111-4CC74721BE57}"/>
    <cellStyle name="Style 98 6 2 5 2 2" xfId="39062" xr:uid="{03E29A10-865B-46B8-A4FD-2416AFCA47BF}"/>
    <cellStyle name="Style 98 6 2 5 3" xfId="39061" xr:uid="{41CEEEF0-CAF5-412E-A1B1-12CA5B509421}"/>
    <cellStyle name="Style 98 6 2 6" xfId="20672" xr:uid="{5718EA4A-08E9-4CB1-A509-EAF17BBD6FF2}"/>
    <cellStyle name="Style 98 6 2 6 2" xfId="39063" xr:uid="{78758DCE-7444-4AA4-9AC8-BC6A7FD521F7}"/>
    <cellStyle name="Style 98 6 2 7" xfId="20673" xr:uid="{C36B76D9-5221-4730-BFA9-8F71E792B1A4}"/>
    <cellStyle name="Style 98 6 2 7 2" xfId="39064" xr:uid="{DF4DA0F2-E4B5-470F-B387-BFDE15E2ECFC}"/>
    <cellStyle name="Style 98 6 3" xfId="7856" xr:uid="{C549D16A-B13E-4593-A047-25209EDA4A14}"/>
    <cellStyle name="Style 98 6 3 2" xfId="20674" xr:uid="{75937FEB-8A0F-4EA5-8B09-26A41B5264C4}"/>
    <cellStyle name="Style 98 6 3 2 2" xfId="39065" xr:uid="{9A25340C-5E89-4651-9DF8-7EC31ECBDA4B}"/>
    <cellStyle name="Style 98 6 3 3" xfId="20675" xr:uid="{296ADAD3-0798-491B-92A3-2F3243116985}"/>
    <cellStyle name="Style 98 6 3 3 2" xfId="39066" xr:uid="{728E27E1-66A5-4EBD-8AB4-D6FC3115DF03}"/>
    <cellStyle name="Style 98 6 4" xfId="7854" xr:uid="{28942045-5565-4FB8-B7DD-43B82BB89AB6}"/>
    <cellStyle name="Style 98 6 4 2" xfId="20676" xr:uid="{72C1D291-10DA-470A-BEAC-5D6638FAA4E9}"/>
    <cellStyle name="Style 98 6 4 2 2" xfId="39067" xr:uid="{7B34978B-B665-4FF6-A1EE-6CD078A26393}"/>
    <cellStyle name="Style 98 6 4 3" xfId="20677" xr:uid="{8B58384C-1A19-4201-8EC1-87906F643200}"/>
    <cellStyle name="Style 98 6 4 3 2" xfId="39068" xr:uid="{02A330AE-B54E-4D0C-B9F4-F00DF3DB2FBF}"/>
    <cellStyle name="Style 98 6 5" xfId="20678" xr:uid="{A5626BA2-71D6-4E08-8BB8-AF531246FB5B}"/>
    <cellStyle name="Style 98 6 5 2" xfId="20679" xr:uid="{5507958D-947D-46A7-A696-54C15D2B865B}"/>
    <cellStyle name="Style 98 6 5 2 2" xfId="39069" xr:uid="{838564E2-A5BC-43D8-B8AC-1A3331C99E8F}"/>
    <cellStyle name="Style 98 6 5 3" xfId="20680" xr:uid="{E062ED3B-7EE9-4AFD-B666-76BBC1D106DE}"/>
    <cellStyle name="Style 98 6 5 3 2" xfId="39070" xr:uid="{AEF811D9-C7F8-4AD3-B091-0B2B9DF3A0AB}"/>
    <cellStyle name="Style 98 6 6" xfId="20681" xr:uid="{255F2120-80B8-4C1E-B644-8A2F0CAF76BE}"/>
    <cellStyle name="Style 98 6 6 2" xfId="20682" xr:uid="{9F18874C-9016-4719-8841-318E0D97252F}"/>
    <cellStyle name="Style 98 6 6 2 2" xfId="39072" xr:uid="{93D4DE32-526C-4303-A484-1FD105A02A96}"/>
    <cellStyle name="Style 98 6 6 3" xfId="39071" xr:uid="{D4EDD3D2-2823-4D7C-B6E5-413E0791F651}"/>
    <cellStyle name="Style 98 6 7" xfId="20683" xr:uid="{62110020-9BC8-42FF-ACB7-211A1F05B485}"/>
    <cellStyle name="Style 98 6 7 2" xfId="20684" xr:uid="{283CF3D9-0802-4170-A434-5C67097EF5AF}"/>
    <cellStyle name="Style 98 6 7 2 2" xfId="39074" xr:uid="{F78B8CA9-0F55-459A-BF3D-A046B8D33C74}"/>
    <cellStyle name="Style 98 6 7 3" xfId="39073" xr:uid="{8D995A13-77F0-437B-BFDB-C53C91C49029}"/>
    <cellStyle name="Style 98 6 8" xfId="20685" xr:uid="{F209F3BD-39AD-44C3-B54B-8CE76F9DC16C}"/>
    <cellStyle name="Style 98 6 8 2" xfId="20686" xr:uid="{A6E5A999-E1EF-4E91-ADC9-C10ED691B1C2}"/>
    <cellStyle name="Style 98 6 8 2 2" xfId="39076" xr:uid="{D998A896-FFBB-4E3D-8487-5A5A133422F1}"/>
    <cellStyle name="Style 98 6 8 3" xfId="39075" xr:uid="{EB0084A1-94E2-40E3-BD3C-AA279AD1C510}"/>
    <cellStyle name="Style 98 6 9" xfId="20687" xr:uid="{EE233E5E-2704-40CF-A470-10759D49ED26}"/>
    <cellStyle name="Style 98 6 9 2" xfId="39077" xr:uid="{0FBF751B-B24A-4996-A5D9-CA422DDC793E}"/>
    <cellStyle name="Style 98 7" xfId="4230" xr:uid="{7E209592-28FE-4E92-B57C-B5C59163D47B}"/>
    <cellStyle name="Style 98 7 2" xfId="7858" xr:uid="{5817252D-E19C-4A32-BB78-EFFD8AE2C8B9}"/>
    <cellStyle name="Style 98 7 2 2" xfId="20688" xr:uid="{07F1BBED-43D8-4E51-9ED1-B9310D87DCE0}"/>
    <cellStyle name="Style 98 7 2 2 2" xfId="39078" xr:uid="{487EC775-9E6E-43D9-9682-08D0A3886816}"/>
    <cellStyle name="Style 98 7 2 3" xfId="20689" xr:uid="{D08C2B8D-7F09-4B88-8CAA-68475E4086C3}"/>
    <cellStyle name="Style 98 7 2 3 2" xfId="39079" xr:uid="{798E7EF9-CCEB-4FA9-A68B-F1417956FA86}"/>
    <cellStyle name="Style 98 7 3" xfId="7859" xr:uid="{9AC03E35-438A-46EC-B4C4-AC1C8A547A20}"/>
    <cellStyle name="Style 98 7 3 2" xfId="20690" xr:uid="{F55431D4-6932-43E9-9BA6-7080FE21BE3C}"/>
    <cellStyle name="Style 98 7 3 2 2" xfId="39080" xr:uid="{1F5CAAB2-F505-4396-BAC1-50023F61DA4B}"/>
    <cellStyle name="Style 98 7 3 3" xfId="20691" xr:uid="{61B08816-A551-4DFA-B988-757954A50741}"/>
    <cellStyle name="Style 98 7 3 3 2" xfId="39081" xr:uid="{420446AD-385B-49C6-B46A-428524A1A4EA}"/>
    <cellStyle name="Style 98 7 4" xfId="7857" xr:uid="{91531106-B61A-4745-9F16-5F4899F742CB}"/>
    <cellStyle name="Style 98 7 4 2" xfId="20692" xr:uid="{FC02DD25-7DC3-4371-BE1D-85E69F189D62}"/>
    <cellStyle name="Style 98 7 4 2 2" xfId="39082" xr:uid="{06103FD7-8CFC-4BD3-BBB1-F0500D5F11D3}"/>
    <cellStyle name="Style 98 7 4 3" xfId="20693" xr:uid="{0C281BA7-89D6-46C4-83F1-4A08ABFA5963}"/>
    <cellStyle name="Style 98 7 4 3 2" xfId="39083" xr:uid="{A364058C-CBA4-4F9A-B299-B8150A2DA730}"/>
    <cellStyle name="Style 98 7 4 4" xfId="28363" xr:uid="{143A1FD4-DA96-4777-9078-DEF9ADC1B75B}"/>
    <cellStyle name="Style 98 7 5" xfId="20694" xr:uid="{2128DDA9-6EC3-402E-AFE8-D27C7E35328E}"/>
    <cellStyle name="Style 98 7 5 2" xfId="20695" xr:uid="{052DFE68-6BEE-45E3-A2BD-5EA5DE22C1EF}"/>
    <cellStyle name="Style 98 7 5 2 2" xfId="39085" xr:uid="{1948F63C-8159-4334-A96A-91EFDD3046EA}"/>
    <cellStyle name="Style 98 7 5 3" xfId="39084" xr:uid="{B1831ACB-D152-4391-A6FC-C05940F3EF4A}"/>
    <cellStyle name="Style 98 7 6" xfId="20696" xr:uid="{339E4305-DE80-4126-9B2D-A13DA0646E89}"/>
    <cellStyle name="Style 98 7 6 2" xfId="39086" xr:uid="{17FD5C6B-BA70-43A8-88C0-A209364744D5}"/>
    <cellStyle name="Style 98 7 7" xfId="20697" xr:uid="{61A59B5C-2549-4D60-812A-E8DFF28B26D3}"/>
    <cellStyle name="Style 98 7 7 2" xfId="39087" xr:uid="{11AE8721-2675-4CDB-A6C8-07FB3CF7CA83}"/>
    <cellStyle name="Style 98 7 8" xfId="24298" xr:uid="{D2CBAD43-19C0-49CC-A994-8D4B2B02B295}"/>
    <cellStyle name="Style 98 8" xfId="7860" xr:uid="{79506893-7184-411F-AC65-ED1ED8435097}"/>
    <cellStyle name="Style 98 8 2" xfId="20698" xr:uid="{B055971E-426A-4122-84C4-B33778B58BF9}"/>
    <cellStyle name="Style 98 8 2 2" xfId="39088" xr:uid="{2FB4EF35-9525-4A74-863D-1B3770188109}"/>
    <cellStyle name="Style 98 8 3" xfId="20699" xr:uid="{AFB8413E-41E9-49A8-BE15-E0FAD013BB66}"/>
    <cellStyle name="Style 98 8 3 2" xfId="39089" xr:uid="{C424813C-E4B8-43C6-9A63-B5434CCAE1AD}"/>
    <cellStyle name="Style 98 9" xfId="7861" xr:uid="{CBE83EF8-0A4B-492F-91D2-A644753E4E4C}"/>
    <cellStyle name="Style 98 9 2" xfId="20700" xr:uid="{CEF3F972-2B6B-4455-9A5B-41138593A5E6}"/>
    <cellStyle name="Style 98 9 2 2" xfId="39090" xr:uid="{E1FF836E-5ED6-4F42-82D7-113FB964B9F4}"/>
    <cellStyle name="Style 98 9 3" xfId="20701" xr:uid="{A0FD32F4-5C83-4325-A9B2-0A4D30DB8D1D}"/>
    <cellStyle name="Style 98 9 3 2" xfId="39091" xr:uid="{DE18473E-2D3B-4956-87F2-326AA6ADF157}"/>
    <cellStyle name="Style 98_ADDON" xfId="25818" xr:uid="{6D48F618-7634-49F9-88B1-22A23B87BBFC}"/>
    <cellStyle name="Style 99" xfId="3884" xr:uid="{18B67C7C-59C2-4B9E-AEF4-F3E326D5A582}"/>
    <cellStyle name="Style 99 10" xfId="7862" xr:uid="{A169D5DA-6166-4EFB-9620-778BBB6EFF57}"/>
    <cellStyle name="Style 99 10 2" xfId="20702" xr:uid="{BCD321F8-8E7B-450E-9C8E-78FFD276434A}"/>
    <cellStyle name="Style 99 10 2 2" xfId="39092" xr:uid="{BB536408-9F34-41B5-977F-6ECD2B1E82E5}"/>
    <cellStyle name="Style 99 10 3" xfId="20703" xr:uid="{83716576-C487-4BBF-B4A2-48069B5053D6}"/>
    <cellStyle name="Style 99 10 3 2" xfId="39093" xr:uid="{FEC9BA2C-1BB7-4E5C-A371-1F3208A12BA4}"/>
    <cellStyle name="Style 99 11" xfId="20704" xr:uid="{8DDEF495-A48F-423A-A301-48AD216BA85D}"/>
    <cellStyle name="Style 99 11 2" xfId="20705" xr:uid="{E590203F-D956-46CF-905F-70B90D4AF4FB}"/>
    <cellStyle name="Style 99 11 2 2" xfId="39094" xr:uid="{9B384EB6-B495-4D0A-AA22-6A4DE031D39F}"/>
    <cellStyle name="Style 99 11 3" xfId="20706" xr:uid="{279AE3EA-4AA2-4631-BAD3-B69815FCD7CA}"/>
    <cellStyle name="Style 99 11 3 2" xfId="39095" xr:uid="{D97C0C73-337D-4288-A7EF-D19F8A6DAF00}"/>
    <cellStyle name="Style 99 11 4" xfId="26734" xr:uid="{2DD57F87-0CE6-4B31-8DEC-CB70921D2908}"/>
    <cellStyle name="Style 99 12" xfId="20707" xr:uid="{1046E42F-44E6-4B67-B35C-119F921B1B16}"/>
    <cellStyle name="Style 99 12 2" xfId="20708" xr:uid="{337C941E-720D-4E18-B011-C4D703142320}"/>
    <cellStyle name="Style 99 12 2 2" xfId="39097" xr:uid="{4BFDA125-4C23-4703-995F-2347CD172867}"/>
    <cellStyle name="Style 99 12 3" xfId="39096" xr:uid="{230053BC-C39E-4166-81E9-E59ED32616C2}"/>
    <cellStyle name="Style 99 13" xfId="20709" xr:uid="{8641DAA7-E19E-4894-AF2A-0595E3C9EC9B}"/>
    <cellStyle name="Style 99 13 2" xfId="39098" xr:uid="{4E7F3F96-EF71-4457-A9D4-EFC430ADEEEE}"/>
    <cellStyle name="Style 99 14" xfId="20710" xr:uid="{081F02AD-2D00-4D0A-AB01-8B3D5CAD8387}"/>
    <cellStyle name="Style 99 14 2" xfId="39099" xr:uid="{27341E43-579D-47E0-A381-3526A666FC8C}"/>
    <cellStyle name="Style 99 15" xfId="20711" xr:uid="{533B6BD5-C55E-4081-A8AA-29EF80D0424B}"/>
    <cellStyle name="Style 99 15 2" xfId="39100" xr:uid="{61277B3D-48B8-4626-AD0A-99A4001430BB}"/>
    <cellStyle name="Style 99 2" xfId="3885" xr:uid="{02AF1A9F-5028-4EDE-B077-43801A6EB34C}"/>
    <cellStyle name="Style 99 2 10" xfId="20712" xr:uid="{05401782-293C-479C-AB01-42BC01328681}"/>
    <cellStyle name="Style 99 2 10 2" xfId="20713" xr:uid="{78E16D69-B3C1-4B71-A019-9921AD044ED1}"/>
    <cellStyle name="Style 99 2 10 2 2" xfId="39102" xr:uid="{361C6273-8058-4F3B-B7EC-6939D778F030}"/>
    <cellStyle name="Style 99 2 10 3" xfId="39101" xr:uid="{FB066A8A-8D53-460C-A20E-24C4F011C24C}"/>
    <cellStyle name="Style 99 2 11" xfId="20714" xr:uid="{CAC8E70A-8F7D-4FC8-9874-91E32A45E33E}"/>
    <cellStyle name="Style 99 2 11 2" xfId="20715" xr:uid="{B8E6F723-0D66-47D8-B961-FD3C5C208EE7}"/>
    <cellStyle name="Style 99 2 11 2 2" xfId="39104" xr:uid="{D16B0514-BDBF-495B-AA21-60DCAE028DEF}"/>
    <cellStyle name="Style 99 2 11 3" xfId="39103" xr:uid="{5C1AFB02-236F-461E-94A8-0B329F947B30}"/>
    <cellStyle name="Style 99 2 12" xfId="20716" xr:uid="{B7503EE7-E416-44BE-A253-A9F2334D9769}"/>
    <cellStyle name="Style 99 2 12 2" xfId="39105" xr:uid="{5791A697-7B77-4DA3-9D40-6CD475BCCA33}"/>
    <cellStyle name="Style 99 2 13" xfId="20717" xr:uid="{F531DB81-64E0-44F8-98C9-AB4F9E231435}"/>
    <cellStyle name="Style 99 2 13 2" xfId="39106" xr:uid="{787B2862-9327-479B-9D0D-87EF7732166A}"/>
    <cellStyle name="Style 99 2 14" xfId="20718" xr:uid="{EE5411F3-F8B4-4152-A02C-18FFBC2EACE8}"/>
    <cellStyle name="Style 99 2 14 2" xfId="39107" xr:uid="{1646E0AF-3959-4F03-9877-8338688ADF4A}"/>
    <cellStyle name="Style 99 2 2" xfId="3886" xr:uid="{C8F4E34A-F26A-4880-8F13-F998A02E626F}"/>
    <cellStyle name="Style 99 2 2 10" xfId="20719" xr:uid="{85AB21D0-C917-4D8F-9DDB-65DDC104FBD8}"/>
    <cellStyle name="Style 99 2 2 10 2" xfId="20720" xr:uid="{DF74181E-79A6-40F8-A658-BF571BB492FC}"/>
    <cellStyle name="Style 99 2 2 10 2 2" xfId="39109" xr:uid="{560EF57B-5A18-4F69-80FF-95A1FAFB279F}"/>
    <cellStyle name="Style 99 2 2 10 3" xfId="39108" xr:uid="{7E677623-F64D-4D00-902F-082B24E6FDB9}"/>
    <cellStyle name="Style 99 2 2 11" xfId="20721" xr:uid="{D946D19B-5837-4836-B1CE-E8DB5481BBCD}"/>
    <cellStyle name="Style 99 2 2 11 2" xfId="39110" xr:uid="{494E5381-87F8-4AFC-AB1B-AC9689B3BA27}"/>
    <cellStyle name="Style 99 2 2 12" xfId="20722" xr:uid="{20BBCA9A-CA5E-4130-8884-2BE9FEE97F48}"/>
    <cellStyle name="Style 99 2 2 12 2" xfId="39111" xr:uid="{3F05751C-922D-4250-BA54-9DE82C2041A8}"/>
    <cellStyle name="Style 99 2 2 2" xfId="3887" xr:uid="{096D542D-E9BA-4FF1-90C2-24C7D77BE941}"/>
    <cellStyle name="Style 99 2 2 2 10" xfId="20723" xr:uid="{00AB0FCE-FE27-4286-B9BD-50F0D63BD4AE}"/>
    <cellStyle name="Style 99 2 2 2 10 2" xfId="20724" xr:uid="{1B72161C-A34A-4A51-81AB-4582333B8B4B}"/>
    <cellStyle name="Style 99 2 2 2 10 2 2" xfId="39113" xr:uid="{20629651-7FAE-4ED4-910A-DEED35FC84E9}"/>
    <cellStyle name="Style 99 2 2 2 10 3" xfId="39112" xr:uid="{5DD0C07D-22B7-46EA-A968-18E878264797}"/>
    <cellStyle name="Style 99 2 2 2 11" xfId="20725" xr:uid="{19702F58-9AC4-4CCB-B70D-D571DA2C7F56}"/>
    <cellStyle name="Style 99 2 2 2 11 2" xfId="39114" xr:uid="{C63708A7-1A1F-4786-A642-0C02B33B9F49}"/>
    <cellStyle name="Style 99 2 2 2 12" xfId="20726" xr:uid="{02943063-70CF-4FC9-8564-025D04421AB7}"/>
    <cellStyle name="Style 99 2 2 2 12 2" xfId="39115" xr:uid="{0B9A1444-9050-4AC5-A513-86C0CAC516FB}"/>
    <cellStyle name="Style 99 2 2 2 2" xfId="3888" xr:uid="{FE5AF032-8FAA-440F-8957-A63E878AC30D}"/>
    <cellStyle name="Style 99 2 2 2 2 10" xfId="20727" xr:uid="{4CB7227A-6932-46A9-86CC-AB6BB1B7D745}"/>
    <cellStyle name="Style 99 2 2 2 2 10 2" xfId="39116" xr:uid="{4D676981-BEF2-4EDD-A12C-AD914FDEA0C7}"/>
    <cellStyle name="Style 99 2 2 2 2 11" xfId="20728" xr:uid="{1D67C175-8F51-47B9-8289-6661836D054B}"/>
    <cellStyle name="Style 99 2 2 2 2 11 2" xfId="39117" xr:uid="{C36AC925-6D95-4193-80E9-F3D82C997D1E}"/>
    <cellStyle name="Style 99 2 2 2 2 2" xfId="3889" xr:uid="{05F0D917-B3FE-4ED7-9C36-55C78E579DAB}"/>
    <cellStyle name="Style 99 2 2 2 2 2 2" xfId="7867" xr:uid="{90F8DD35-DE5C-4884-A5CE-38B19F9C86E7}"/>
    <cellStyle name="Style 99 2 2 2 2 2 2 2" xfId="20729" xr:uid="{66CC0FEE-EC58-42E5-BF93-E4970EA8CE96}"/>
    <cellStyle name="Style 99 2 2 2 2 2 2 2 2" xfId="20730" xr:uid="{A2526EE3-D40B-47D2-8254-193CCDF2D6DF}"/>
    <cellStyle name="Style 99 2 2 2 2 2 2 2 2 2" xfId="39119" xr:uid="{C6442F39-85A9-4C04-AA72-1D7E2E221597}"/>
    <cellStyle name="Style 99 2 2 2 2 2 2 2 3" xfId="39118" xr:uid="{4B038ACF-4C0C-425C-A1B5-9566B1A1F75E}"/>
    <cellStyle name="Style 99 2 2 2 2 2 2 3" xfId="20731" xr:uid="{31D5A6F7-0F92-4602-A551-5D9BD3CCC7AB}"/>
    <cellStyle name="Style 99 2 2 2 2 2 2 3 2" xfId="20732" xr:uid="{DC224591-AF02-450B-A1A3-E3BCDD483D8E}"/>
    <cellStyle name="Style 99 2 2 2 2 2 2 3 2 2" xfId="39121" xr:uid="{8B34A5B5-FBD2-4367-ACC8-D2C42164042F}"/>
    <cellStyle name="Style 99 2 2 2 2 2 2 3 3" xfId="39120" xr:uid="{0C771BA4-1683-4076-95A6-9B9CE4332DBF}"/>
    <cellStyle name="Style 99 2 2 2 2 2 2 4" xfId="20733" xr:uid="{2601A549-A597-4EE1-981B-AC578D145DD5}"/>
    <cellStyle name="Style 99 2 2 2 2 2 2 4 2" xfId="20734" xr:uid="{B1560492-A444-47DB-8620-8A1898F0BD5F}"/>
    <cellStyle name="Style 99 2 2 2 2 2 2 4 2 2" xfId="39123" xr:uid="{B1D64135-A3E4-470D-A732-736EACCD6532}"/>
    <cellStyle name="Style 99 2 2 2 2 2 2 4 3" xfId="39122" xr:uid="{F6A9D958-BC76-4737-9158-4D1A60276C2C}"/>
    <cellStyle name="Style 99 2 2 2 2 2 2 5" xfId="20735" xr:uid="{6FF46641-4A75-4D0C-822D-CCC01670B411}"/>
    <cellStyle name="Style 99 2 2 2 2 2 2 5 2" xfId="20736" xr:uid="{119ED15F-0548-4613-812D-2AAEED833AA2}"/>
    <cellStyle name="Style 99 2 2 2 2 2 2 5 2 2" xfId="39125" xr:uid="{92FFFABE-63F6-47E8-BBA1-2B9634B0B632}"/>
    <cellStyle name="Style 99 2 2 2 2 2 2 5 3" xfId="39124" xr:uid="{1F0D469C-509E-4B96-9EBF-2B3D435D617F}"/>
    <cellStyle name="Style 99 2 2 2 2 2 2 6" xfId="20737" xr:uid="{4811442A-F01E-4C14-9313-EB1AE7D3AD8E}"/>
    <cellStyle name="Style 99 2 2 2 2 2 2 6 2" xfId="39126" xr:uid="{4CE9E1FB-60E8-4646-9117-08DFD17492BD}"/>
    <cellStyle name="Style 99 2 2 2 2 2 2 7" xfId="20738" xr:uid="{5D30B9D2-B9CF-4DF1-99AA-BE2E80F9D1EC}"/>
    <cellStyle name="Style 99 2 2 2 2 2 2 7 2" xfId="39127" xr:uid="{080B464A-A926-455A-9A6E-287A2F3D9C13}"/>
    <cellStyle name="Style 99 2 2 2 2 2 3" xfId="20739" xr:uid="{779D8A54-3E65-4BAD-904A-F40E9AC89A09}"/>
    <cellStyle name="Style 99 2 2 2 2 2 3 2" xfId="20740" xr:uid="{5B621F49-C15D-4A62-B42B-12012E18992D}"/>
    <cellStyle name="Style 99 2 2 2 2 2 3 2 2" xfId="39128" xr:uid="{BC71C952-B523-459D-9936-6E214288571B}"/>
    <cellStyle name="Style 99 2 2 2 2 2 3 3" xfId="20741" xr:uid="{0289D8D8-6082-4EEA-A820-20015B77E419}"/>
    <cellStyle name="Style 99 2 2 2 2 2 3 3 2" xfId="39129" xr:uid="{FF32EDD1-9F14-48DD-B394-D332C2AC3C12}"/>
    <cellStyle name="Style 99 2 2 2 2 2 4" xfId="20742" xr:uid="{7106D4DD-A547-4173-9A80-83AAB874977D}"/>
    <cellStyle name="Style 99 2 2 2 2 2 4 2" xfId="20743" xr:uid="{587AA0C0-4A98-4214-977F-99D2EF4AC84A}"/>
    <cellStyle name="Style 99 2 2 2 2 2 4 2 2" xfId="39131" xr:uid="{B2664F45-2D60-4B55-85F7-CA1D2EC974F3}"/>
    <cellStyle name="Style 99 2 2 2 2 2 4 3" xfId="39130" xr:uid="{E913E27F-FB69-4BF5-A877-3BDF41BA001F}"/>
    <cellStyle name="Style 99 2 2 2 2 2 5" xfId="20744" xr:uid="{7252B3EB-6FA5-4E3D-8E96-64694ECEED1E}"/>
    <cellStyle name="Style 99 2 2 2 2 2 5 2" xfId="20745" xr:uid="{1BE35E83-83EC-4EE5-93EB-E09BD7B86921}"/>
    <cellStyle name="Style 99 2 2 2 2 2 5 2 2" xfId="39133" xr:uid="{C28141C4-A896-439F-9F7E-D46C71BDE210}"/>
    <cellStyle name="Style 99 2 2 2 2 2 5 3" xfId="39132" xr:uid="{566005D9-C11D-456D-999F-21E26B4F0404}"/>
    <cellStyle name="Style 99 2 2 2 2 2 6" xfId="20746" xr:uid="{BFFFAC28-8E2D-49B6-AC28-07CFD855DB24}"/>
    <cellStyle name="Style 99 2 2 2 2 2 6 2" xfId="20747" xr:uid="{7412E9F3-96A4-4A81-91FA-4E3FBF707A27}"/>
    <cellStyle name="Style 99 2 2 2 2 2 6 2 2" xfId="39135" xr:uid="{A982E150-5171-410D-9758-72BAC86C2828}"/>
    <cellStyle name="Style 99 2 2 2 2 2 6 3" xfId="39134" xr:uid="{6A1A00C1-14A8-455B-8393-21085FDCD2A7}"/>
    <cellStyle name="Style 99 2 2 2 2 2 7" xfId="20748" xr:uid="{6B79FD12-28F4-46B5-A199-6CB4CC419073}"/>
    <cellStyle name="Style 99 2 2 2 2 2 7 2" xfId="20749" xr:uid="{0CB417D2-B9B2-4611-A11A-4B7EE0BAF793}"/>
    <cellStyle name="Style 99 2 2 2 2 2 7 2 2" xfId="39137" xr:uid="{CAE5CA77-475A-4B77-8AC8-421AAA3AA6C4}"/>
    <cellStyle name="Style 99 2 2 2 2 2 7 3" xfId="39136" xr:uid="{9E50C5AF-2267-4133-BB57-2ADCF237FA2F}"/>
    <cellStyle name="Style 99 2 2 2 2 2 8" xfId="20750" xr:uid="{8FC74DA7-3253-4522-88F4-712936EB4B4C}"/>
    <cellStyle name="Style 99 2 2 2 2 2 8 2" xfId="39138" xr:uid="{1FCB5112-9206-46C1-87D6-876CF02F78C9}"/>
    <cellStyle name="Style 99 2 2 2 2 2 9" xfId="20751" xr:uid="{440FE4EA-1E22-4346-9C05-3C933622CF76}"/>
    <cellStyle name="Style 99 2 2 2 2 2 9 2" xfId="39139" xr:uid="{6DEBDC8E-B426-407A-A353-352E21DCFAE7}"/>
    <cellStyle name="Style 99 2 2 2 2 3" xfId="7866" xr:uid="{8419A498-C618-498C-98CD-CE3F4FCD9746}"/>
    <cellStyle name="Style 99 2 2 2 2 3 2" xfId="20752" xr:uid="{956E18C3-C938-4549-B0DA-C6A90E104684}"/>
    <cellStyle name="Style 99 2 2 2 2 3 2 2" xfId="20753" xr:uid="{309E16ED-0C84-4409-8D8B-9527DFCFA121}"/>
    <cellStyle name="Style 99 2 2 2 2 3 2 2 2" xfId="39141" xr:uid="{2123ABA5-BC56-461E-9F63-C3AF8FF8D745}"/>
    <cellStyle name="Style 99 2 2 2 2 3 2 3" xfId="39140" xr:uid="{4E3585CC-9F7D-453D-9D0D-BC632F36C299}"/>
    <cellStyle name="Style 99 2 2 2 2 3 3" xfId="20754" xr:uid="{D589F51F-EAFC-4154-9A49-9669BE75EC79}"/>
    <cellStyle name="Style 99 2 2 2 2 3 3 2" xfId="20755" xr:uid="{7AA5FDB8-7EBA-4E69-9F94-CC10FD86B3CD}"/>
    <cellStyle name="Style 99 2 2 2 2 3 3 2 2" xfId="39143" xr:uid="{FBA22E3B-A2FD-4AD8-BDBE-F7ABDB29EA5C}"/>
    <cellStyle name="Style 99 2 2 2 2 3 3 3" xfId="39142" xr:uid="{6F99ADE7-0D74-4C71-8691-6409DD064B95}"/>
    <cellStyle name="Style 99 2 2 2 2 3 4" xfId="20756" xr:uid="{58C85690-92C4-4588-A261-FA1D63709132}"/>
    <cellStyle name="Style 99 2 2 2 2 3 4 2" xfId="20757" xr:uid="{605C5898-5ACB-4C43-AA4A-EE594ED5AD04}"/>
    <cellStyle name="Style 99 2 2 2 2 3 4 2 2" xfId="39145" xr:uid="{F064D183-B894-4A7D-A2F2-4C78FCF62821}"/>
    <cellStyle name="Style 99 2 2 2 2 3 4 3" xfId="39144" xr:uid="{0E459555-A699-43CC-B8FA-AF1FC6AE00BC}"/>
    <cellStyle name="Style 99 2 2 2 2 3 5" xfId="20758" xr:uid="{FA29BC3C-557C-4C67-ABAD-94D703ECC199}"/>
    <cellStyle name="Style 99 2 2 2 2 3 5 2" xfId="20759" xr:uid="{A22155E3-C6E0-473F-A524-04F508E1AFCA}"/>
    <cellStyle name="Style 99 2 2 2 2 3 5 2 2" xfId="39147" xr:uid="{4E989D2C-CF64-4BC0-978E-7839B749C53B}"/>
    <cellStyle name="Style 99 2 2 2 2 3 5 3" xfId="39146" xr:uid="{5130F474-5D48-4E74-AA3E-03E6E7FF663B}"/>
    <cellStyle name="Style 99 2 2 2 2 3 6" xfId="20760" xr:uid="{FDAF0EFD-18C3-4E54-BAD2-61036E09919E}"/>
    <cellStyle name="Style 99 2 2 2 2 3 6 2" xfId="39148" xr:uid="{4958AE10-FC0E-4255-B351-E5810CD76E88}"/>
    <cellStyle name="Style 99 2 2 2 2 3 7" xfId="20761" xr:uid="{E55C3EAB-24A6-417B-AD40-95B2AD1AF606}"/>
    <cellStyle name="Style 99 2 2 2 2 3 7 2" xfId="39149" xr:uid="{13F58672-8455-4CE4-837F-2AACDC7D10CA}"/>
    <cellStyle name="Style 99 2 2 2 2 4" xfId="20762" xr:uid="{1FCE239C-F777-41FD-AE69-69BDE5A69338}"/>
    <cellStyle name="Style 99 2 2 2 2 4 2" xfId="20763" xr:uid="{91EB0CAE-533F-4065-9695-542B09EC3E73}"/>
    <cellStyle name="Style 99 2 2 2 2 4 2 2" xfId="39150" xr:uid="{5BE88248-3AE8-4E4C-9B9E-43700D7DF693}"/>
    <cellStyle name="Style 99 2 2 2 2 4 3" xfId="20764" xr:uid="{0F5F0980-0A9F-4622-8AF1-4ABC0C0276E9}"/>
    <cellStyle name="Style 99 2 2 2 2 4 3 2" xfId="39151" xr:uid="{42A95769-DA86-4848-93B3-6742E32DE1CA}"/>
    <cellStyle name="Style 99 2 2 2 2 5" xfId="20765" xr:uid="{23BD9BC4-4131-4611-AF14-B575ED1C88AC}"/>
    <cellStyle name="Style 99 2 2 2 2 5 2" xfId="20766" xr:uid="{43E0F1E2-532D-4EB1-A883-24BF268F51E0}"/>
    <cellStyle name="Style 99 2 2 2 2 5 2 2" xfId="39153" xr:uid="{119AF2D3-C3B9-4B2D-832D-8028811C3DD8}"/>
    <cellStyle name="Style 99 2 2 2 2 5 3" xfId="39152" xr:uid="{794A273A-0B19-446C-BFA0-8861BC0752D9}"/>
    <cellStyle name="Style 99 2 2 2 2 6" xfId="20767" xr:uid="{883C2C94-33A1-4FA5-A211-8AEC9B8C312F}"/>
    <cellStyle name="Style 99 2 2 2 2 6 2" xfId="20768" xr:uid="{6E86956B-1E07-4714-898D-5ABB2A6B48B3}"/>
    <cellStyle name="Style 99 2 2 2 2 6 2 2" xfId="39155" xr:uid="{FC4924AE-8635-47F3-AC00-F5C746D8211B}"/>
    <cellStyle name="Style 99 2 2 2 2 6 3" xfId="39154" xr:uid="{F8C9186A-A166-4A24-9877-7F6D930CB258}"/>
    <cellStyle name="Style 99 2 2 2 2 7" xfId="20769" xr:uid="{DBEC4800-0822-413C-81AB-E93D45DDD4C5}"/>
    <cellStyle name="Style 99 2 2 2 2 7 2" xfId="20770" xr:uid="{E79010C8-3570-4C8A-9356-A1A7686E2939}"/>
    <cellStyle name="Style 99 2 2 2 2 7 2 2" xfId="39157" xr:uid="{369C5C22-8B97-4E32-B81A-C6ECC5566BAB}"/>
    <cellStyle name="Style 99 2 2 2 2 7 3" xfId="39156" xr:uid="{55BBF117-7F52-4C92-86A0-AB4B2D908F02}"/>
    <cellStyle name="Style 99 2 2 2 2 8" xfId="20771" xr:uid="{AC861770-8F53-4274-A6EA-58EA4F848ED7}"/>
    <cellStyle name="Style 99 2 2 2 2 8 2" xfId="20772" xr:uid="{4816738B-8167-4AA3-8A6B-059AFE53F26B}"/>
    <cellStyle name="Style 99 2 2 2 2 8 2 2" xfId="39159" xr:uid="{1E6667AC-E74C-41C8-B4BA-50E0A0E88ADA}"/>
    <cellStyle name="Style 99 2 2 2 2 8 3" xfId="39158" xr:uid="{6E159F9C-DE9F-4A86-AB2E-E33269E3ACCF}"/>
    <cellStyle name="Style 99 2 2 2 2 9" xfId="20773" xr:uid="{00DA153B-EF1F-44EE-8C9F-D12555D276F1}"/>
    <cellStyle name="Style 99 2 2 2 2 9 2" xfId="20774" xr:uid="{365A2623-964A-4AA8-B86D-414F48B4C986}"/>
    <cellStyle name="Style 99 2 2 2 2 9 2 2" xfId="39161" xr:uid="{DD6E8720-7AE0-43C4-B0F3-5D58193DDF4B}"/>
    <cellStyle name="Style 99 2 2 2 2 9 3" xfId="39160" xr:uid="{32417A4A-D57E-4047-A4DA-A950D3431FE2}"/>
    <cellStyle name="Style 99 2 2 2 3" xfId="3890" xr:uid="{4E1E3C35-C5CA-4307-AFBC-AE9409E9FB16}"/>
    <cellStyle name="Style 99 2 2 2 3 2" xfId="7868" xr:uid="{0712D481-6497-49BF-B1DF-0E76A5D1C82C}"/>
    <cellStyle name="Style 99 2 2 2 3 2 2" xfId="20775" xr:uid="{8E755F60-F34B-40F4-BA56-BF098D95B6E6}"/>
    <cellStyle name="Style 99 2 2 2 3 2 2 2" xfId="20776" xr:uid="{A6E34DDD-F60C-4F84-8E0D-D3697A121908}"/>
    <cellStyle name="Style 99 2 2 2 3 2 2 2 2" xfId="39163" xr:uid="{13A0FCC8-93A8-42BF-A151-72687A35793E}"/>
    <cellStyle name="Style 99 2 2 2 3 2 2 3" xfId="39162" xr:uid="{B52FF528-8C5C-4BE6-916A-40A0E448C41E}"/>
    <cellStyle name="Style 99 2 2 2 3 2 3" xfId="20777" xr:uid="{9D7F8A12-4B47-423F-993D-E02B7EC266BD}"/>
    <cellStyle name="Style 99 2 2 2 3 2 3 2" xfId="20778" xr:uid="{11B5E840-1FD6-4D76-AD3D-41612F52FFED}"/>
    <cellStyle name="Style 99 2 2 2 3 2 3 2 2" xfId="39165" xr:uid="{DA9E6875-8646-4084-9760-1EAB473C087C}"/>
    <cellStyle name="Style 99 2 2 2 3 2 3 3" xfId="39164" xr:uid="{D95E4346-A33F-4E95-A7B8-7C6035EDABA2}"/>
    <cellStyle name="Style 99 2 2 2 3 2 4" xfId="20779" xr:uid="{EB69DB39-CF28-4F7A-A738-C67962705DAE}"/>
    <cellStyle name="Style 99 2 2 2 3 2 4 2" xfId="20780" xr:uid="{C912D9FB-6DC1-4698-A89F-B7BB47E82761}"/>
    <cellStyle name="Style 99 2 2 2 3 2 4 2 2" xfId="39167" xr:uid="{FB138C6A-AD3E-407F-8DE6-AD14C14CA2D9}"/>
    <cellStyle name="Style 99 2 2 2 3 2 4 3" xfId="39166" xr:uid="{BD7D5DA6-38CC-4FFF-ACC7-1BECA366363E}"/>
    <cellStyle name="Style 99 2 2 2 3 2 5" xfId="20781" xr:uid="{5A594D47-5527-438B-8EE3-FFC291CAD36C}"/>
    <cellStyle name="Style 99 2 2 2 3 2 5 2" xfId="20782" xr:uid="{40D0D4C2-70CD-481C-9507-F5CA579A1217}"/>
    <cellStyle name="Style 99 2 2 2 3 2 5 2 2" xfId="39169" xr:uid="{942DFE8E-0706-462E-AA91-8A4B027BBE28}"/>
    <cellStyle name="Style 99 2 2 2 3 2 5 3" xfId="39168" xr:uid="{EA4EA207-695F-47EF-B01A-9B557CFE2B5B}"/>
    <cellStyle name="Style 99 2 2 2 3 2 6" xfId="20783" xr:uid="{084EC7E0-5A49-4EE5-8E31-9140763DC902}"/>
    <cellStyle name="Style 99 2 2 2 3 2 6 2" xfId="39170" xr:uid="{7D7115F5-1E36-4E58-A656-232CEA7DFD6A}"/>
    <cellStyle name="Style 99 2 2 2 3 2 7" xfId="20784" xr:uid="{AF7013EC-DA3D-40A2-89A7-F92961A3FF1C}"/>
    <cellStyle name="Style 99 2 2 2 3 2 7 2" xfId="39171" xr:uid="{97CF9007-E585-4A5E-B47A-7C6DE9682EB5}"/>
    <cellStyle name="Style 99 2 2 2 3 3" xfId="20785" xr:uid="{C00558D1-F7DF-4DC1-A785-ED508E6C39D4}"/>
    <cellStyle name="Style 99 2 2 2 3 3 2" xfId="20786" xr:uid="{9553055D-AA52-4EFA-B4F6-E517568A841D}"/>
    <cellStyle name="Style 99 2 2 2 3 3 2 2" xfId="39172" xr:uid="{E7030016-50EB-41C1-A681-697E8DF3859C}"/>
    <cellStyle name="Style 99 2 2 2 3 3 3" xfId="20787" xr:uid="{D92099C9-3AD6-4DA0-A571-FF45A9FF60BA}"/>
    <cellStyle name="Style 99 2 2 2 3 3 3 2" xfId="39173" xr:uid="{06DBAA8A-9044-4C48-B0DF-881DF56D481B}"/>
    <cellStyle name="Style 99 2 2 2 3 4" xfId="20788" xr:uid="{63A296C9-EB74-4703-AFAA-05CF2A6D20C9}"/>
    <cellStyle name="Style 99 2 2 2 3 4 2" xfId="20789" xr:uid="{B31EEBDD-4E27-4855-9FDC-B8909C470787}"/>
    <cellStyle name="Style 99 2 2 2 3 4 2 2" xfId="39175" xr:uid="{053D0E78-9BEF-4D57-8A0A-1C76114A9B33}"/>
    <cellStyle name="Style 99 2 2 2 3 4 3" xfId="39174" xr:uid="{454EC32E-274F-4604-AD6F-9D0ED9BA1A5B}"/>
    <cellStyle name="Style 99 2 2 2 3 5" xfId="20790" xr:uid="{D4087A99-8270-4881-8B3D-8CE204ECF194}"/>
    <cellStyle name="Style 99 2 2 2 3 5 2" xfId="20791" xr:uid="{C7317567-9D9E-4D07-A158-CABAB5DD3A5D}"/>
    <cellStyle name="Style 99 2 2 2 3 5 2 2" xfId="39177" xr:uid="{9C641CCE-9D91-418B-A186-8CB4E3D0D30F}"/>
    <cellStyle name="Style 99 2 2 2 3 5 3" xfId="39176" xr:uid="{B70AE73C-5D88-4FF7-A469-4224DDAF214A}"/>
    <cellStyle name="Style 99 2 2 2 3 6" xfId="20792" xr:uid="{23E5BCD1-C80E-4B5F-BEEF-39F156579C2A}"/>
    <cellStyle name="Style 99 2 2 2 3 6 2" xfId="20793" xr:uid="{523831B5-B4FF-4A66-9E3C-6E07E49AF70E}"/>
    <cellStyle name="Style 99 2 2 2 3 6 2 2" xfId="39179" xr:uid="{E7D0F5E3-A7C5-4FCC-A454-C12CDE1292D4}"/>
    <cellStyle name="Style 99 2 2 2 3 6 3" xfId="39178" xr:uid="{6A2C8E3F-44F1-444C-80CF-757F26B42ED2}"/>
    <cellStyle name="Style 99 2 2 2 3 7" xfId="20794" xr:uid="{AB3C505B-FEDC-4ED6-BC84-82180563DC0D}"/>
    <cellStyle name="Style 99 2 2 2 3 7 2" xfId="20795" xr:uid="{887AAFA5-9067-4CDE-A2A4-BA8E80B8DEC5}"/>
    <cellStyle name="Style 99 2 2 2 3 7 2 2" xfId="39181" xr:uid="{2F4EC5C3-A128-4286-A58F-FB875ECD173E}"/>
    <cellStyle name="Style 99 2 2 2 3 7 3" xfId="39180" xr:uid="{6BCFDC6C-68A6-4E7D-AB0E-85CFC4633709}"/>
    <cellStyle name="Style 99 2 2 2 3 8" xfId="20796" xr:uid="{665F0A7F-1E95-409A-9700-93A0671C3F48}"/>
    <cellStyle name="Style 99 2 2 2 3 8 2" xfId="39182" xr:uid="{4EDE85F2-53BE-4803-A479-07DAC0FF2D73}"/>
    <cellStyle name="Style 99 2 2 2 3 9" xfId="20797" xr:uid="{FB2C0A86-7143-432C-935B-FE442B1CD6FF}"/>
    <cellStyle name="Style 99 2 2 2 3 9 2" xfId="39183" xr:uid="{E00E9675-46FE-42F3-9620-EAC3C2A02306}"/>
    <cellStyle name="Style 99 2 2 2 4" xfId="7865" xr:uid="{6D6E21D2-1857-428B-8114-7C17CBB55AD2}"/>
    <cellStyle name="Style 99 2 2 2 4 2" xfId="20798" xr:uid="{4B47E01F-0B77-451C-9A69-3C3A936237D5}"/>
    <cellStyle name="Style 99 2 2 2 4 2 2" xfId="20799" xr:uid="{6EF7E222-E8AD-49AF-914F-34869ACC68A5}"/>
    <cellStyle name="Style 99 2 2 2 4 2 2 2" xfId="39185" xr:uid="{698C9FBB-44F3-414E-AA0D-6DE4C8EFEECE}"/>
    <cellStyle name="Style 99 2 2 2 4 2 3" xfId="39184" xr:uid="{FC7380E4-D50E-49AA-A242-35622CE02D09}"/>
    <cellStyle name="Style 99 2 2 2 4 3" xfId="20800" xr:uid="{7AFB332F-A8E6-484E-B357-4D4037BDA3BE}"/>
    <cellStyle name="Style 99 2 2 2 4 3 2" xfId="20801" xr:uid="{9D1EA137-CF7A-49F0-A759-A7C98F77F358}"/>
    <cellStyle name="Style 99 2 2 2 4 3 2 2" xfId="39187" xr:uid="{B80A6C0B-6528-49DA-BAE8-E7852204CDCD}"/>
    <cellStyle name="Style 99 2 2 2 4 3 3" xfId="39186" xr:uid="{64F13BE2-6B43-41D6-AB30-227CB142C0C6}"/>
    <cellStyle name="Style 99 2 2 2 4 4" xfId="20802" xr:uid="{70D934DB-A5A8-495C-8DAA-B83F81085A7C}"/>
    <cellStyle name="Style 99 2 2 2 4 4 2" xfId="20803" xr:uid="{631929C2-B75C-40A7-926B-995F36C545BF}"/>
    <cellStyle name="Style 99 2 2 2 4 4 2 2" xfId="39189" xr:uid="{EAED2CCE-58A6-4E26-B852-80813BE5B635}"/>
    <cellStyle name="Style 99 2 2 2 4 4 3" xfId="39188" xr:uid="{0BE61566-BDA6-4236-9D5F-A543335DB9DF}"/>
    <cellStyle name="Style 99 2 2 2 4 5" xfId="20804" xr:uid="{9CC486C1-E34F-48AD-B0D3-B3A203D8E822}"/>
    <cellStyle name="Style 99 2 2 2 4 5 2" xfId="20805" xr:uid="{78E414B1-6197-4217-9AB7-250453FA4E99}"/>
    <cellStyle name="Style 99 2 2 2 4 5 2 2" xfId="39191" xr:uid="{7678D76B-0D91-43FB-9051-C78BFFD2FBAE}"/>
    <cellStyle name="Style 99 2 2 2 4 5 3" xfId="39190" xr:uid="{86CB88B8-8B32-4C99-9D61-E26795CCD3F7}"/>
    <cellStyle name="Style 99 2 2 2 4 6" xfId="20806" xr:uid="{4A44AACF-78E0-46D5-8ABF-8AA56A189FC1}"/>
    <cellStyle name="Style 99 2 2 2 4 6 2" xfId="39192" xr:uid="{41E81456-5F78-4B3C-9553-834D7F10B9B5}"/>
    <cellStyle name="Style 99 2 2 2 4 7" xfId="20807" xr:uid="{5D18E884-DE23-4538-853B-31E8909522F0}"/>
    <cellStyle name="Style 99 2 2 2 4 7 2" xfId="39193" xr:uid="{6BFF726F-D2B3-4FA2-8183-D0D6CEBBFC83}"/>
    <cellStyle name="Style 99 2 2 2 5" xfId="20808" xr:uid="{96BD9BBE-DA15-4DCC-96C6-306C31A12752}"/>
    <cellStyle name="Style 99 2 2 2 5 2" xfId="20809" xr:uid="{00E76E29-7C51-4EB5-88E8-3F18245ED391}"/>
    <cellStyle name="Style 99 2 2 2 5 2 2" xfId="39194" xr:uid="{0BA634F5-5A32-43E1-A360-9CC5C826AE80}"/>
    <cellStyle name="Style 99 2 2 2 5 3" xfId="20810" xr:uid="{C8588A87-83C0-463A-858E-9993D4C3F020}"/>
    <cellStyle name="Style 99 2 2 2 5 3 2" xfId="39195" xr:uid="{FA313512-0E40-462A-86C3-040F149B8C3C}"/>
    <cellStyle name="Style 99 2 2 2 6" xfId="20811" xr:uid="{1F505CBA-6CC1-4FB3-9BF2-A058E207FD82}"/>
    <cellStyle name="Style 99 2 2 2 6 2" xfId="20812" xr:uid="{1B858744-647F-4E11-BE6D-D1EA0CD52976}"/>
    <cellStyle name="Style 99 2 2 2 6 2 2" xfId="39197" xr:uid="{16689098-25DA-4F5B-BB9C-389DA95B9E51}"/>
    <cellStyle name="Style 99 2 2 2 6 3" xfId="39196" xr:uid="{40AE7138-417F-4D8A-B469-A86DD343B586}"/>
    <cellStyle name="Style 99 2 2 2 7" xfId="20813" xr:uid="{D094C603-F455-4550-83AD-B1222CC3CF41}"/>
    <cellStyle name="Style 99 2 2 2 7 2" xfId="20814" xr:uid="{F301450C-DA41-48DE-93DD-A0BB78F5F4A3}"/>
    <cellStyle name="Style 99 2 2 2 7 2 2" xfId="39199" xr:uid="{421B510B-E15B-4FA9-8805-73D22FF00A41}"/>
    <cellStyle name="Style 99 2 2 2 7 3" xfId="39198" xr:uid="{9B795315-5C2D-4DB8-8F87-231BFC8C42F3}"/>
    <cellStyle name="Style 99 2 2 2 8" xfId="20815" xr:uid="{19E82289-F03D-4E82-98C6-0351D51C5CDB}"/>
    <cellStyle name="Style 99 2 2 2 8 2" xfId="20816" xr:uid="{95AA12DD-E8AC-4646-8EB2-9EBA64B712DD}"/>
    <cellStyle name="Style 99 2 2 2 8 2 2" xfId="39201" xr:uid="{395021D7-0451-4DDF-809B-41999845F56C}"/>
    <cellStyle name="Style 99 2 2 2 8 3" xfId="39200" xr:uid="{EF525729-59CC-4CF6-8D87-A9B1754C0EA6}"/>
    <cellStyle name="Style 99 2 2 2 9" xfId="20817" xr:uid="{91FBB62D-18C5-4759-B2FD-1BBEB2891AA5}"/>
    <cellStyle name="Style 99 2 2 2 9 2" xfId="20818" xr:uid="{669E3285-3830-4830-AA17-D6E22553B5B4}"/>
    <cellStyle name="Style 99 2 2 2 9 2 2" xfId="39203" xr:uid="{6162A32D-6426-411C-A84C-969530B2FA50}"/>
    <cellStyle name="Style 99 2 2 2 9 3" xfId="39202" xr:uid="{B3654506-FC10-47F1-A412-4917E944C7AE}"/>
    <cellStyle name="Style 99 2 2 3" xfId="3891" xr:uid="{535317B0-C106-4D80-A025-CD10C5F59E22}"/>
    <cellStyle name="Style 99 2 2 3 10" xfId="20819" xr:uid="{4A3EA394-0675-413C-A134-DB5B2C3C70D2}"/>
    <cellStyle name="Style 99 2 2 3 10 2" xfId="39204" xr:uid="{75E3744C-F2DA-4052-808B-81DA46509FD3}"/>
    <cellStyle name="Style 99 2 2 3 11" xfId="20820" xr:uid="{0BF08432-0812-4FEA-86B8-180F23EE43D9}"/>
    <cellStyle name="Style 99 2 2 3 11 2" xfId="39205" xr:uid="{EAC20B51-387A-4DD8-BB76-7BEFD1BD6E0E}"/>
    <cellStyle name="Style 99 2 2 3 2" xfId="3892" xr:uid="{104E80C3-C345-4F44-B4CF-CCEDBBA0D286}"/>
    <cellStyle name="Style 99 2 2 3 2 2" xfId="7870" xr:uid="{B08BAC27-C3AD-4F22-87A6-FCE34600C454}"/>
    <cellStyle name="Style 99 2 2 3 2 2 2" xfId="20821" xr:uid="{CC25C357-E581-4689-A4E0-8B5D70FE5F93}"/>
    <cellStyle name="Style 99 2 2 3 2 2 2 2" xfId="20822" xr:uid="{5913CB7E-9806-424E-A401-E54352655B9D}"/>
    <cellStyle name="Style 99 2 2 3 2 2 2 2 2" xfId="39207" xr:uid="{2888841B-4CB7-4F08-87F6-F26D829DD5FB}"/>
    <cellStyle name="Style 99 2 2 3 2 2 2 3" xfId="39206" xr:uid="{8D2DB3AF-3F4C-4F36-A8D6-04ACAA16996E}"/>
    <cellStyle name="Style 99 2 2 3 2 2 3" xfId="20823" xr:uid="{7C2C8074-2E6D-4106-A69A-4A6E63624707}"/>
    <cellStyle name="Style 99 2 2 3 2 2 3 2" xfId="20824" xr:uid="{33ABC6EB-1D4C-49C6-98F1-7A20CC9F49D8}"/>
    <cellStyle name="Style 99 2 2 3 2 2 3 2 2" xfId="39209" xr:uid="{2DC1083A-E6C9-4E60-8632-76C97EB98610}"/>
    <cellStyle name="Style 99 2 2 3 2 2 3 3" xfId="39208" xr:uid="{B3C6D737-7D80-4629-9D1F-68288A6D10CC}"/>
    <cellStyle name="Style 99 2 2 3 2 2 4" xfId="20825" xr:uid="{2E231E3F-0019-4200-8146-CA5FFA7F80CB}"/>
    <cellStyle name="Style 99 2 2 3 2 2 4 2" xfId="20826" xr:uid="{D1E97D4C-91AF-43E6-A1AB-986A1C47C454}"/>
    <cellStyle name="Style 99 2 2 3 2 2 4 2 2" xfId="39211" xr:uid="{50F873B5-8665-4F25-A844-D69AC592575C}"/>
    <cellStyle name="Style 99 2 2 3 2 2 4 3" xfId="39210" xr:uid="{1406CAEB-D48F-4953-BEFE-51FAD4AABBB3}"/>
    <cellStyle name="Style 99 2 2 3 2 2 5" xfId="20827" xr:uid="{BD929F10-F7FE-4B07-86B2-2543B85DB1A5}"/>
    <cellStyle name="Style 99 2 2 3 2 2 5 2" xfId="20828" xr:uid="{E6850851-39AD-493A-B5BF-FD2D3524AF72}"/>
    <cellStyle name="Style 99 2 2 3 2 2 5 2 2" xfId="39213" xr:uid="{961B46E5-C74D-43B1-933D-949393ABF122}"/>
    <cellStyle name="Style 99 2 2 3 2 2 5 3" xfId="39212" xr:uid="{39A5AEE9-9CC4-4942-BCE1-B9D39AC0EC6D}"/>
    <cellStyle name="Style 99 2 2 3 2 2 6" xfId="20829" xr:uid="{BE666DB9-889F-49A4-A3CB-3412A19DC353}"/>
    <cellStyle name="Style 99 2 2 3 2 2 6 2" xfId="39214" xr:uid="{27540B10-4F38-4CEA-AC33-2FDD05F8D008}"/>
    <cellStyle name="Style 99 2 2 3 2 2 7" xfId="20830" xr:uid="{BB1D34A8-C997-4DCF-8939-4E13D9A1EA84}"/>
    <cellStyle name="Style 99 2 2 3 2 2 7 2" xfId="39215" xr:uid="{9333D084-24B0-4EAC-8B34-6CD98CFA9D59}"/>
    <cellStyle name="Style 99 2 2 3 2 3" xfId="20831" xr:uid="{4D6BAFAB-26F1-46FD-BC32-C1EE912EF332}"/>
    <cellStyle name="Style 99 2 2 3 2 3 2" xfId="20832" xr:uid="{55981BD4-8B1B-478D-A571-809060CD7D2E}"/>
    <cellStyle name="Style 99 2 2 3 2 3 2 2" xfId="39216" xr:uid="{36C50289-EB08-48BD-A2A3-B7E38648B498}"/>
    <cellStyle name="Style 99 2 2 3 2 3 3" xfId="20833" xr:uid="{F092A624-7D58-4EE4-9BE1-D3D55C75B15F}"/>
    <cellStyle name="Style 99 2 2 3 2 3 3 2" xfId="39217" xr:uid="{1A905207-0EB6-41F9-9F55-AFC6FFA98CB3}"/>
    <cellStyle name="Style 99 2 2 3 2 4" xfId="20834" xr:uid="{C9FB6473-8A9B-4F64-A7B9-ED900F53B54C}"/>
    <cellStyle name="Style 99 2 2 3 2 4 2" xfId="20835" xr:uid="{9E9BCE07-40D4-40C9-A4C7-7A60F55D4547}"/>
    <cellStyle name="Style 99 2 2 3 2 4 2 2" xfId="39219" xr:uid="{64AB1A7E-3A5F-46BC-87ED-77C087F5D294}"/>
    <cellStyle name="Style 99 2 2 3 2 4 3" xfId="39218" xr:uid="{B51C5C02-F5D1-4A02-9F8B-32AD392CC459}"/>
    <cellStyle name="Style 99 2 2 3 2 5" xfId="20836" xr:uid="{9F9B3331-9FD2-4520-A0ED-7F034E99CF89}"/>
    <cellStyle name="Style 99 2 2 3 2 5 2" xfId="20837" xr:uid="{EB8E3FC7-0E88-4045-BFFE-780F559319B2}"/>
    <cellStyle name="Style 99 2 2 3 2 5 2 2" xfId="39221" xr:uid="{18247F20-276B-4B03-8F47-DD5EDED1A761}"/>
    <cellStyle name="Style 99 2 2 3 2 5 3" xfId="39220" xr:uid="{D6B58987-23F2-4D05-9C1D-6EDA348CF650}"/>
    <cellStyle name="Style 99 2 2 3 2 6" xfId="20838" xr:uid="{199A530D-DDF5-4496-A349-FC52855C2802}"/>
    <cellStyle name="Style 99 2 2 3 2 6 2" xfId="20839" xr:uid="{72E5CF6C-EC05-4BC5-9A09-892EADA95EDC}"/>
    <cellStyle name="Style 99 2 2 3 2 6 2 2" xfId="39223" xr:uid="{8103CD64-F698-4655-BD7C-30C5041C7EEF}"/>
    <cellStyle name="Style 99 2 2 3 2 6 3" xfId="39222" xr:uid="{E30BFB7A-F18F-4DCD-B7E4-4DD39542B43E}"/>
    <cellStyle name="Style 99 2 2 3 2 7" xfId="20840" xr:uid="{9E88345B-9E8A-49EE-B15D-D8670CB0280D}"/>
    <cellStyle name="Style 99 2 2 3 2 7 2" xfId="20841" xr:uid="{C3C72455-A641-4DFD-9501-4FB8004AAAC9}"/>
    <cellStyle name="Style 99 2 2 3 2 7 2 2" xfId="39225" xr:uid="{27DAE20C-E213-419F-9B9E-0520A081A60E}"/>
    <cellStyle name="Style 99 2 2 3 2 7 3" xfId="39224" xr:uid="{3EFC0329-40C8-41AE-9A88-A7A37B6EB793}"/>
    <cellStyle name="Style 99 2 2 3 2 8" xfId="20842" xr:uid="{0AB3FF2E-92DA-4DFB-8E78-266841BD926F}"/>
    <cellStyle name="Style 99 2 2 3 2 8 2" xfId="39226" xr:uid="{0FF107E8-887E-4BAB-A426-83EA6E9F79A6}"/>
    <cellStyle name="Style 99 2 2 3 2 9" xfId="20843" xr:uid="{989F7FF1-FE73-4DCF-8726-368B1D4D288F}"/>
    <cellStyle name="Style 99 2 2 3 2 9 2" xfId="39227" xr:uid="{405F1EE3-F1E0-4388-B19D-533A83F0C709}"/>
    <cellStyle name="Style 99 2 2 3 3" xfId="7869" xr:uid="{8DB98081-98C8-4A45-A36B-5A0F7F125A22}"/>
    <cellStyle name="Style 99 2 2 3 3 2" xfId="20844" xr:uid="{2796DC85-343B-4D09-84A0-4C056A3FDA22}"/>
    <cellStyle name="Style 99 2 2 3 3 2 2" xfId="20845" xr:uid="{296947B9-D393-40AA-AFC7-30653EE4E122}"/>
    <cellStyle name="Style 99 2 2 3 3 2 2 2" xfId="39229" xr:uid="{27C5C4E7-2EFF-4B2E-86F3-349C7894A0E7}"/>
    <cellStyle name="Style 99 2 2 3 3 2 3" xfId="39228" xr:uid="{EE40D0EA-C516-4EB6-B1DD-177F45E5CFE8}"/>
    <cellStyle name="Style 99 2 2 3 3 3" xfId="20846" xr:uid="{D44B2153-9EB0-4899-8699-60B4228A9821}"/>
    <cellStyle name="Style 99 2 2 3 3 3 2" xfId="20847" xr:uid="{B2062DE9-88C1-4A39-93F9-5E0A3E3BD1AA}"/>
    <cellStyle name="Style 99 2 2 3 3 3 2 2" xfId="39231" xr:uid="{CA64E9A0-E20D-481D-913D-8ECE1A7302CA}"/>
    <cellStyle name="Style 99 2 2 3 3 3 3" xfId="39230" xr:uid="{1BC79AC0-A0BD-49A8-893A-85A48536FD19}"/>
    <cellStyle name="Style 99 2 2 3 3 4" xfId="20848" xr:uid="{756684E0-8DD7-458E-A9A1-A09C46BE1A7D}"/>
    <cellStyle name="Style 99 2 2 3 3 4 2" xfId="20849" xr:uid="{A4E7615B-1108-4F34-AD3E-308AA166F42D}"/>
    <cellStyle name="Style 99 2 2 3 3 4 2 2" xfId="39233" xr:uid="{E70EFBE4-9222-4C84-9612-5E0000E5CDBE}"/>
    <cellStyle name="Style 99 2 2 3 3 4 3" xfId="39232" xr:uid="{EE125064-F6BB-47DA-97B2-0FE7BF2C08B4}"/>
    <cellStyle name="Style 99 2 2 3 3 5" xfId="20850" xr:uid="{57214284-C564-48D2-B6E5-0A9055702B26}"/>
    <cellStyle name="Style 99 2 2 3 3 5 2" xfId="20851" xr:uid="{3F0F4F23-D184-4407-B193-6A83FEE68E17}"/>
    <cellStyle name="Style 99 2 2 3 3 5 2 2" xfId="39235" xr:uid="{57F551F3-362B-47D5-A7DF-5F463C9EF0AF}"/>
    <cellStyle name="Style 99 2 2 3 3 5 3" xfId="39234" xr:uid="{A27ACCCF-83B1-4878-9C0A-312B78B3B59A}"/>
    <cellStyle name="Style 99 2 2 3 3 6" xfId="20852" xr:uid="{ADF5D491-9455-432A-AD5E-E76BE5254BD1}"/>
    <cellStyle name="Style 99 2 2 3 3 6 2" xfId="39236" xr:uid="{B56DC64D-BA76-4350-9683-29BF79C38F9E}"/>
    <cellStyle name="Style 99 2 2 3 3 7" xfId="20853" xr:uid="{62C46E13-9B42-4788-89A8-2756897C1537}"/>
    <cellStyle name="Style 99 2 2 3 3 7 2" xfId="39237" xr:uid="{22E70CDB-4EBF-4C31-96A7-476E10FBE1B3}"/>
    <cellStyle name="Style 99 2 2 3 4" xfId="20854" xr:uid="{D5E812E2-205B-4813-B121-C4F9D8C1C669}"/>
    <cellStyle name="Style 99 2 2 3 4 2" xfId="20855" xr:uid="{A21B0C1D-EAC4-4547-922D-66762B0D1C2B}"/>
    <cellStyle name="Style 99 2 2 3 4 2 2" xfId="39238" xr:uid="{E4FAFC90-2D0D-483E-B3FB-E37B4D31ECE2}"/>
    <cellStyle name="Style 99 2 2 3 4 3" xfId="20856" xr:uid="{18017FB0-3A6E-46F5-8E11-F55367901AA1}"/>
    <cellStyle name="Style 99 2 2 3 4 3 2" xfId="39239" xr:uid="{D934C2BA-7E3D-4F58-8EEF-45B53071078B}"/>
    <cellStyle name="Style 99 2 2 3 5" xfId="20857" xr:uid="{43E524B3-7F82-4616-8119-1FBAEB83D69E}"/>
    <cellStyle name="Style 99 2 2 3 5 2" xfId="20858" xr:uid="{2CABC235-4A3A-405A-A7C3-BA3094E89973}"/>
    <cellStyle name="Style 99 2 2 3 5 2 2" xfId="39241" xr:uid="{711950C6-9AB4-452F-8E7D-B778AD813B51}"/>
    <cellStyle name="Style 99 2 2 3 5 3" xfId="39240" xr:uid="{DF2094BE-7E6A-451E-B735-D2E9071C3962}"/>
    <cellStyle name="Style 99 2 2 3 6" xfId="20859" xr:uid="{D647DEE1-3C54-488F-B25D-280CC7E0B9C0}"/>
    <cellStyle name="Style 99 2 2 3 6 2" xfId="20860" xr:uid="{61181F08-2AB4-4C58-8917-3B15D1654644}"/>
    <cellStyle name="Style 99 2 2 3 6 2 2" xfId="39243" xr:uid="{0F6F053B-EA70-4576-9D26-1F6D5B39E1BB}"/>
    <cellStyle name="Style 99 2 2 3 6 3" xfId="39242" xr:uid="{FF63A847-69C2-43DE-8C75-5DCD210F0D39}"/>
    <cellStyle name="Style 99 2 2 3 7" xfId="20861" xr:uid="{4A9E33D0-8E6B-46A6-B7A3-14859A5B2BEE}"/>
    <cellStyle name="Style 99 2 2 3 7 2" xfId="20862" xr:uid="{57212AEC-F9AE-4255-ACEB-533EF72257AD}"/>
    <cellStyle name="Style 99 2 2 3 7 2 2" xfId="39245" xr:uid="{6EFE37C0-1346-476E-904A-6E4513CBA2A2}"/>
    <cellStyle name="Style 99 2 2 3 7 3" xfId="39244" xr:uid="{41D49319-CA35-49D6-A07E-3B7CE2119E15}"/>
    <cellStyle name="Style 99 2 2 3 8" xfId="20863" xr:uid="{34B278C9-0747-4B05-8F70-34D07C16CB09}"/>
    <cellStyle name="Style 99 2 2 3 8 2" xfId="20864" xr:uid="{9439EBFD-38F1-498D-B55A-382F8A59DEFF}"/>
    <cellStyle name="Style 99 2 2 3 8 2 2" xfId="39247" xr:uid="{2EE3710D-8284-4110-B0D2-079F288156F5}"/>
    <cellStyle name="Style 99 2 2 3 8 3" xfId="39246" xr:uid="{7C2A0CE4-E240-4D8E-BD38-81542246BA31}"/>
    <cellStyle name="Style 99 2 2 3 9" xfId="20865" xr:uid="{E16F43F2-D77B-4B91-8E87-9442DB149474}"/>
    <cellStyle name="Style 99 2 2 3 9 2" xfId="20866" xr:uid="{F429B469-F2FB-442D-9B4F-BA202E704116}"/>
    <cellStyle name="Style 99 2 2 3 9 2 2" xfId="39249" xr:uid="{666D0001-2E49-450D-9880-55DC958E77EB}"/>
    <cellStyle name="Style 99 2 2 3 9 3" xfId="39248" xr:uid="{01F20FF8-685C-4AF8-9B2F-A69407805024}"/>
    <cellStyle name="Style 99 2 2 4" xfId="3893" xr:uid="{134BAE6C-44E4-4FBE-9D14-7D6B33515F1F}"/>
    <cellStyle name="Style 99 2 2 4 2" xfId="7871" xr:uid="{92F03F24-126F-430E-8307-051F9183B3AF}"/>
    <cellStyle name="Style 99 2 2 4 2 2" xfId="20867" xr:uid="{15AAC258-8845-4B26-A0E9-69F8FA52B6CE}"/>
    <cellStyle name="Style 99 2 2 4 2 2 2" xfId="20868" xr:uid="{445F9B1F-170C-499A-ACA7-DEB90FBC52EB}"/>
    <cellStyle name="Style 99 2 2 4 2 2 2 2" xfId="39251" xr:uid="{8E1AEEC8-6381-418A-96F2-29B7DAD94A9F}"/>
    <cellStyle name="Style 99 2 2 4 2 2 3" xfId="39250" xr:uid="{B72B411A-AAC9-4EEA-8B53-8DB01E04CB1F}"/>
    <cellStyle name="Style 99 2 2 4 2 3" xfId="20869" xr:uid="{4496EBFC-C46F-4350-B1C7-E01653A5870C}"/>
    <cellStyle name="Style 99 2 2 4 2 3 2" xfId="20870" xr:uid="{F60CFA17-8F3F-42FE-B7C8-2F2584A89DD8}"/>
    <cellStyle name="Style 99 2 2 4 2 3 2 2" xfId="39253" xr:uid="{538E7F0F-4B49-46D0-B5F5-3D8E6C41843F}"/>
    <cellStyle name="Style 99 2 2 4 2 3 3" xfId="39252" xr:uid="{D17668F0-7843-44E9-B1AE-500573646124}"/>
    <cellStyle name="Style 99 2 2 4 2 4" xfId="20871" xr:uid="{98D1897D-DA84-4887-81FA-2FD7D5866720}"/>
    <cellStyle name="Style 99 2 2 4 2 4 2" xfId="20872" xr:uid="{FECE30B0-0F3C-4A8E-9C0E-2D5B144F6368}"/>
    <cellStyle name="Style 99 2 2 4 2 4 2 2" xfId="39255" xr:uid="{53B03770-4969-4477-A178-4E9315766860}"/>
    <cellStyle name="Style 99 2 2 4 2 4 3" xfId="39254" xr:uid="{3409D4C6-F378-48A7-80E9-5859445C7952}"/>
    <cellStyle name="Style 99 2 2 4 2 5" xfId="20873" xr:uid="{3F2E8B2C-3B44-4CF8-A672-3453B3CA0DCB}"/>
    <cellStyle name="Style 99 2 2 4 2 5 2" xfId="20874" xr:uid="{214ACAFB-387D-488C-A843-B5887951A530}"/>
    <cellStyle name="Style 99 2 2 4 2 5 2 2" xfId="39257" xr:uid="{FAB810A5-157D-4AF8-A85F-31C8F5498D92}"/>
    <cellStyle name="Style 99 2 2 4 2 5 3" xfId="39256" xr:uid="{F7CF88B2-19D7-416B-A2B4-642B07CDAE26}"/>
    <cellStyle name="Style 99 2 2 4 2 6" xfId="20875" xr:uid="{1BDAD0A7-B336-424D-ADD6-36A7FE4BFAC8}"/>
    <cellStyle name="Style 99 2 2 4 2 6 2" xfId="39258" xr:uid="{345BCA8E-8922-40AD-83A1-0CA14F7B6EA5}"/>
    <cellStyle name="Style 99 2 2 4 2 7" xfId="20876" xr:uid="{0FFE603F-1867-42D6-A90F-02A21681E6F1}"/>
    <cellStyle name="Style 99 2 2 4 2 7 2" xfId="39259" xr:uid="{6AA24DA0-CAC0-476B-88D9-04E66C4364D0}"/>
    <cellStyle name="Style 99 2 2 4 2 8" xfId="26197" xr:uid="{0A7E485C-9FE2-4242-B822-823A9FD81D95}"/>
    <cellStyle name="Style 99 2 2 4 3" xfId="20877" xr:uid="{C6EBBE3A-4E6D-490F-9445-0DCAF7AD2E5E}"/>
    <cellStyle name="Style 99 2 2 4 3 2" xfId="20878" xr:uid="{B6188010-BE0A-410D-A4DA-45F3A7FF52E6}"/>
    <cellStyle name="Style 99 2 2 4 3 2 2" xfId="39260" xr:uid="{9034A8CD-3167-4847-9E20-C0022CD73A45}"/>
    <cellStyle name="Style 99 2 2 4 3 3" xfId="20879" xr:uid="{4F91B6A3-AF70-42F9-9978-BBB24C14C63D}"/>
    <cellStyle name="Style 99 2 2 4 3 3 2" xfId="39261" xr:uid="{A1E3241C-16C1-4192-B614-5FE598797B98}"/>
    <cellStyle name="Style 99 2 2 4 4" xfId="20880" xr:uid="{C552CBA8-29DB-482A-9D36-62F37FA52124}"/>
    <cellStyle name="Style 99 2 2 4 4 2" xfId="20881" xr:uid="{0D503159-4AF7-44F4-925E-1CA938FF0288}"/>
    <cellStyle name="Style 99 2 2 4 4 2 2" xfId="39263" xr:uid="{4B121BF0-42DD-4FBD-91FF-A00B2FC9440D}"/>
    <cellStyle name="Style 99 2 2 4 4 3" xfId="39262" xr:uid="{C3F4C1B2-9A79-4D25-B94D-A26953E1A88F}"/>
    <cellStyle name="Style 99 2 2 4 5" xfId="20882" xr:uid="{D5605262-A3CF-46BF-ADE8-023D15980A56}"/>
    <cellStyle name="Style 99 2 2 4 5 2" xfId="20883" xr:uid="{5606C641-E5F3-4529-BA48-DD71A6D1554D}"/>
    <cellStyle name="Style 99 2 2 4 5 2 2" xfId="39265" xr:uid="{CA31F718-72C1-4F4E-8689-2F279BBE705E}"/>
    <cellStyle name="Style 99 2 2 4 5 3" xfId="39264" xr:uid="{E3CF29B6-B152-4DBF-B9F5-A80D6DB06D86}"/>
    <cellStyle name="Style 99 2 2 4 6" xfId="20884" xr:uid="{111A43E0-D371-45AB-9092-1AD01A42A658}"/>
    <cellStyle name="Style 99 2 2 4 6 2" xfId="20885" xr:uid="{3EB0A342-FA93-4A4C-98BE-62FA26F7C053}"/>
    <cellStyle name="Style 99 2 2 4 6 2 2" xfId="39267" xr:uid="{DA2EE067-1F96-4D14-8FB5-00201C2C89AB}"/>
    <cellStyle name="Style 99 2 2 4 6 3" xfId="39266" xr:uid="{BEA715BE-2F3B-44F3-9EA6-94868D2533D0}"/>
    <cellStyle name="Style 99 2 2 4 7" xfId="20886" xr:uid="{447C5FEE-30AF-4230-8216-B44458B96378}"/>
    <cellStyle name="Style 99 2 2 4 7 2" xfId="20887" xr:uid="{AF496E3B-35FF-4B87-961E-1F521C354337}"/>
    <cellStyle name="Style 99 2 2 4 7 2 2" xfId="39269" xr:uid="{CDB23F62-B33A-4535-89AA-5AF7F5A0FF48}"/>
    <cellStyle name="Style 99 2 2 4 7 3" xfId="39268" xr:uid="{67CEB02F-B704-4A81-8CBA-2D371E9808E3}"/>
    <cellStyle name="Style 99 2 2 4 8" xfId="20888" xr:uid="{94EA5A95-219A-4640-96D4-20DEBCBAA5E1}"/>
    <cellStyle name="Style 99 2 2 4 8 2" xfId="39270" xr:uid="{CB9DB68B-61B3-41BD-B4E6-48F6164D6786}"/>
    <cellStyle name="Style 99 2 2 4 9" xfId="20889" xr:uid="{DF101EFE-1348-4202-BB72-5C1EA2BA68D9}"/>
    <cellStyle name="Style 99 2 2 4 9 2" xfId="39271" xr:uid="{73EE43D3-CD22-4C3E-8ED1-211A975028DC}"/>
    <cellStyle name="Style 99 2 2 5" xfId="7864" xr:uid="{8849835E-B3E1-45AE-ABD9-087D681B64A9}"/>
    <cellStyle name="Style 99 2 2 5 2" xfId="20890" xr:uid="{7F76015C-5CA7-48F7-B04A-14D9A42636FF}"/>
    <cellStyle name="Style 99 2 2 5 2 2" xfId="39272" xr:uid="{80A0E251-0A24-45AE-B52E-95E3A751A3BC}"/>
    <cellStyle name="Style 99 2 2 5 3" xfId="20891" xr:uid="{7E6E9B87-8512-4DAF-A7DD-628C3EA7E36C}"/>
    <cellStyle name="Style 99 2 2 5 3 2" xfId="39273" xr:uid="{F1250272-C780-4BA7-8167-EA41D54A1478}"/>
    <cellStyle name="Style 99 2 2 5 4" xfId="20892" xr:uid="{9017234B-7D13-48F7-AB29-C9224720D923}"/>
    <cellStyle name="Style 99 2 2 5 4 2" xfId="39274" xr:uid="{C729334E-5EAA-4C82-BC4D-1636EA67741E}"/>
    <cellStyle name="Style 99 2 2 6" xfId="20893" xr:uid="{23876F76-7BCC-47E9-BB81-BE2793C902BB}"/>
    <cellStyle name="Style 99 2 2 6 2" xfId="20894" xr:uid="{66F58C53-1192-4254-BD72-92779C46D244}"/>
    <cellStyle name="Style 99 2 2 6 2 2" xfId="39275" xr:uid="{0DB19A24-2804-4ABA-AFAE-99448BF46794}"/>
    <cellStyle name="Style 99 2 2 6 3" xfId="20895" xr:uid="{48A3D7E4-F2AD-4079-9805-1BFEFBBD8ADD}"/>
    <cellStyle name="Style 99 2 2 6 3 2" xfId="39276" xr:uid="{D9972414-8C5D-452E-8E67-79482B94FE87}"/>
    <cellStyle name="Style 99 2 2 7" xfId="20896" xr:uid="{B02822F2-993C-43EF-86CF-123892BD7C08}"/>
    <cellStyle name="Style 99 2 2 7 2" xfId="20897" xr:uid="{F1AF09B3-E7F0-4511-91F8-CDC6554232C0}"/>
    <cellStyle name="Style 99 2 2 7 2 2" xfId="39278" xr:uid="{D65085DB-25C0-4EF1-A9E4-C808BCFD6C51}"/>
    <cellStyle name="Style 99 2 2 7 3" xfId="39277" xr:uid="{7A564EE9-A3F0-4DB4-9F14-242E1B330F33}"/>
    <cellStyle name="Style 99 2 2 8" xfId="20898" xr:uid="{41473E3A-85BB-4D2D-AFF9-723D0CE4254E}"/>
    <cellStyle name="Style 99 2 2 8 2" xfId="20899" xr:uid="{5E0FD270-E92A-461E-AE47-4EC9A4FF2C0A}"/>
    <cellStyle name="Style 99 2 2 8 2 2" xfId="39280" xr:uid="{FA354B0A-728F-4F05-9EF4-6F1D1DE60C4A}"/>
    <cellStyle name="Style 99 2 2 8 3" xfId="39279" xr:uid="{511FCDC6-EC16-4D3F-A553-6915E3623932}"/>
    <cellStyle name="Style 99 2 2 9" xfId="20900" xr:uid="{588C3843-4CF8-49AB-94A5-2600ACF13C14}"/>
    <cellStyle name="Style 99 2 2 9 2" xfId="20901" xr:uid="{34344F3D-8E82-4E51-B288-A6376A036EB7}"/>
    <cellStyle name="Style 99 2 2 9 2 2" xfId="39282" xr:uid="{401595BB-F9BA-47FB-9ACD-5350D26C0AAD}"/>
    <cellStyle name="Style 99 2 2 9 3" xfId="39281" xr:uid="{0048B35A-68CC-416D-AEB6-EC3A683520E0}"/>
    <cellStyle name="Style 99 2 3" xfId="3894" xr:uid="{47266C2D-C8E5-4D31-89AD-99CA16C1C418}"/>
    <cellStyle name="Style 99 2 3 10" xfId="20902" xr:uid="{5CCA194A-7554-410A-951D-F69C3B473747}"/>
    <cellStyle name="Style 99 2 3 10 2" xfId="20903" xr:uid="{900FB9F8-91C8-4532-9E85-970CA64FE32D}"/>
    <cellStyle name="Style 99 2 3 10 2 2" xfId="39284" xr:uid="{67FF978A-1D9F-41A7-BEEC-7DE029ACD176}"/>
    <cellStyle name="Style 99 2 3 10 3" xfId="39283" xr:uid="{53E4C89C-FB42-4B79-8829-7850425CCE04}"/>
    <cellStyle name="Style 99 2 3 11" xfId="20904" xr:uid="{8126B25B-E79E-439B-9949-AC95A43235E4}"/>
    <cellStyle name="Style 99 2 3 11 2" xfId="39285" xr:uid="{A733E847-27A2-4252-AAC5-A9DBA6ED241B}"/>
    <cellStyle name="Style 99 2 3 12" xfId="20905" xr:uid="{249D77F4-971F-423A-8ACC-FC0F0EA45799}"/>
    <cellStyle name="Style 99 2 3 12 2" xfId="39286" xr:uid="{5923DAC5-B187-4229-8130-BC591FFAC98C}"/>
    <cellStyle name="Style 99 2 3 2" xfId="3895" xr:uid="{8EE7E48D-6AA5-442A-B924-4F24C469257A}"/>
    <cellStyle name="Style 99 2 3 2 10" xfId="20906" xr:uid="{8D347D05-85CC-45A4-829B-F4DB05C97420}"/>
    <cellStyle name="Style 99 2 3 2 10 2" xfId="39287" xr:uid="{CA0FD638-82F5-4656-95A1-E22BECDA2206}"/>
    <cellStyle name="Style 99 2 3 2 11" xfId="20907" xr:uid="{F2E389C1-DA90-421A-95CD-9AFE9B433FC3}"/>
    <cellStyle name="Style 99 2 3 2 11 2" xfId="39288" xr:uid="{DAE9D1BA-0545-44A5-8108-1023CA2095A7}"/>
    <cellStyle name="Style 99 2 3 2 12" xfId="24299" xr:uid="{C2C05BF5-D793-49CE-804F-01F1343CC016}"/>
    <cellStyle name="Style 99 2 3 2 2" xfId="3896" xr:uid="{95540376-BB20-4236-BEE6-4465C3E2EAE6}"/>
    <cellStyle name="Style 99 2 3 2 2 2" xfId="7874" xr:uid="{73D3A1E6-5CB6-40F6-AFAB-1D55A425689E}"/>
    <cellStyle name="Style 99 2 3 2 2 2 2" xfId="20908" xr:uid="{CEC966D5-50F8-4536-9C30-8781667509B1}"/>
    <cellStyle name="Style 99 2 3 2 2 2 2 2" xfId="20909" xr:uid="{0524BBEC-D074-4D09-A510-A7A8209537A6}"/>
    <cellStyle name="Style 99 2 3 2 2 2 2 2 2" xfId="39290" xr:uid="{976E119F-5B68-4C4C-B368-45756E6C7A76}"/>
    <cellStyle name="Style 99 2 3 2 2 2 2 3" xfId="39289" xr:uid="{C5C5ED0E-3158-474B-AC19-295028C6126D}"/>
    <cellStyle name="Style 99 2 3 2 2 2 3" xfId="20910" xr:uid="{01FE0266-7D17-4403-AC66-A608CBA9750B}"/>
    <cellStyle name="Style 99 2 3 2 2 2 3 2" xfId="20911" xr:uid="{92F88F90-5CB2-49E0-87BB-A8EBC7733ECA}"/>
    <cellStyle name="Style 99 2 3 2 2 2 3 2 2" xfId="39292" xr:uid="{186D7304-2357-43B9-BA6D-94AF23A5008A}"/>
    <cellStyle name="Style 99 2 3 2 2 2 3 3" xfId="39291" xr:uid="{49F24C3B-60EA-4CB8-852A-E48FA8166520}"/>
    <cellStyle name="Style 99 2 3 2 2 2 4" xfId="20912" xr:uid="{BC12115D-C41A-4AFB-BFB7-28BB9EA14011}"/>
    <cellStyle name="Style 99 2 3 2 2 2 4 2" xfId="20913" xr:uid="{82FF4681-9949-4706-BEEA-7CABEA94930C}"/>
    <cellStyle name="Style 99 2 3 2 2 2 4 2 2" xfId="39294" xr:uid="{0BC8537E-5E6E-4DDA-A9E0-904EA121A41F}"/>
    <cellStyle name="Style 99 2 3 2 2 2 4 3" xfId="39293" xr:uid="{AC1A6CB0-E9D8-478F-8136-B35B313F37C6}"/>
    <cellStyle name="Style 99 2 3 2 2 2 5" xfId="20914" xr:uid="{24C483F8-963E-42DF-A517-3F1DE64D2E8A}"/>
    <cellStyle name="Style 99 2 3 2 2 2 5 2" xfId="20915" xr:uid="{44E0C79C-4885-4EB1-8B01-F112AA5856A1}"/>
    <cellStyle name="Style 99 2 3 2 2 2 5 2 2" xfId="39296" xr:uid="{45793636-62D5-418C-855A-2197F8F86934}"/>
    <cellStyle name="Style 99 2 3 2 2 2 5 3" xfId="39295" xr:uid="{16670056-CBE0-46BE-949A-6CE67C417007}"/>
    <cellStyle name="Style 99 2 3 2 2 2 6" xfId="20916" xr:uid="{00E86F54-2465-46C7-A379-57EEAE269319}"/>
    <cellStyle name="Style 99 2 3 2 2 2 6 2" xfId="39297" xr:uid="{7D2BCA5D-DA7A-4CF4-B62E-E5BFBEA9F939}"/>
    <cellStyle name="Style 99 2 3 2 2 2 7" xfId="20917" xr:uid="{E7411B9A-E16A-4873-931D-24D92E244B43}"/>
    <cellStyle name="Style 99 2 3 2 2 2 7 2" xfId="39298" xr:uid="{9967D5F6-0917-41AA-9BCA-2E3607C80900}"/>
    <cellStyle name="Style 99 2 3 2 2 2 8" xfId="26200" xr:uid="{B8B65223-1BAD-4674-91B8-620A29076A8B}"/>
    <cellStyle name="Style 99 2 3 2 2 3" xfId="20918" xr:uid="{CA6A89C0-30F8-4892-AAF8-D5F06A6FCE39}"/>
    <cellStyle name="Style 99 2 3 2 2 3 2" xfId="20919" xr:uid="{761DE8D3-77D0-4084-AF35-CC11DEBEE413}"/>
    <cellStyle name="Style 99 2 3 2 2 3 2 2" xfId="39299" xr:uid="{7EBA0DC1-B105-4DCB-AA88-FB7A2EC0885C}"/>
    <cellStyle name="Style 99 2 3 2 2 3 3" xfId="20920" xr:uid="{D2664F8B-57F9-434B-B3BD-C8EB59EB967C}"/>
    <cellStyle name="Style 99 2 3 2 2 3 3 2" xfId="39300" xr:uid="{94AB46D9-D566-458C-9EAA-E7FC081F718B}"/>
    <cellStyle name="Style 99 2 3 2 2 4" xfId="20921" xr:uid="{6DBF22E4-41A9-4C23-9414-BCF02648AD61}"/>
    <cellStyle name="Style 99 2 3 2 2 4 2" xfId="20922" xr:uid="{76FC533F-9B66-434B-82FE-0A330BC5536A}"/>
    <cellStyle name="Style 99 2 3 2 2 4 2 2" xfId="39302" xr:uid="{5D6EC0BC-2E1F-47FE-BA37-455333C5857D}"/>
    <cellStyle name="Style 99 2 3 2 2 4 3" xfId="39301" xr:uid="{85A738FC-B3A7-4D83-92A4-161BF26549F3}"/>
    <cellStyle name="Style 99 2 3 2 2 5" xfId="20923" xr:uid="{7FFDC31E-9EF7-4295-9D70-24CED295C76B}"/>
    <cellStyle name="Style 99 2 3 2 2 5 2" xfId="20924" xr:uid="{2E9E7676-D56B-4F95-A76A-6B323798C5DF}"/>
    <cellStyle name="Style 99 2 3 2 2 5 2 2" xfId="39304" xr:uid="{6BC14187-4DA9-40ED-B774-A13B00AEEB49}"/>
    <cellStyle name="Style 99 2 3 2 2 5 3" xfId="39303" xr:uid="{48BF1181-726A-4ECB-9F52-E45AB7681E21}"/>
    <cellStyle name="Style 99 2 3 2 2 6" xfId="20925" xr:uid="{640295B6-8C0F-411A-B9AF-85521EBEFFE8}"/>
    <cellStyle name="Style 99 2 3 2 2 6 2" xfId="20926" xr:uid="{13D28DDE-567D-4F31-8E71-968D02FE05C4}"/>
    <cellStyle name="Style 99 2 3 2 2 6 2 2" xfId="39306" xr:uid="{D54B458A-912A-43F0-994A-2CC4BDF2E53F}"/>
    <cellStyle name="Style 99 2 3 2 2 6 3" xfId="39305" xr:uid="{D22B4306-63B4-4E3C-9980-A24692EA1C30}"/>
    <cellStyle name="Style 99 2 3 2 2 7" xfId="20927" xr:uid="{F3389471-028D-4F0D-85E0-481E08BDBEDB}"/>
    <cellStyle name="Style 99 2 3 2 2 7 2" xfId="20928" xr:uid="{D09D7DF7-9B56-4A65-9A12-5B2E4F3C3700}"/>
    <cellStyle name="Style 99 2 3 2 2 7 2 2" xfId="39308" xr:uid="{D1988B2D-A9E8-4CA6-92A0-937618225BBF}"/>
    <cellStyle name="Style 99 2 3 2 2 7 3" xfId="39307" xr:uid="{14F378AF-880D-43C1-94E5-D2AB5A283525}"/>
    <cellStyle name="Style 99 2 3 2 2 8" xfId="20929" xr:uid="{8F4BE4EF-CB6C-4257-94FF-D033296214EE}"/>
    <cellStyle name="Style 99 2 3 2 2 8 2" xfId="39309" xr:uid="{155EB415-5F48-4C78-8ADA-ED1644EFABFA}"/>
    <cellStyle name="Style 99 2 3 2 2 9" xfId="20930" xr:uid="{C5B94877-AA4F-4FAC-9B7C-9B1BD680E4F5}"/>
    <cellStyle name="Style 99 2 3 2 2 9 2" xfId="39310" xr:uid="{206AF10D-5AEC-4527-BA0C-1FA50CD3CC04}"/>
    <cellStyle name="Style 99 2 3 2 3" xfId="7873" xr:uid="{CF1576F5-3265-4A62-86D3-A828798121F8}"/>
    <cellStyle name="Style 99 2 3 2 3 2" xfId="20931" xr:uid="{7F5E7A5F-83C1-42B1-A852-7A4DC867E4E0}"/>
    <cellStyle name="Style 99 2 3 2 3 2 2" xfId="20932" xr:uid="{84B892F0-9711-449A-A3FE-571C97899C80}"/>
    <cellStyle name="Style 99 2 3 2 3 2 2 2" xfId="39312" xr:uid="{478A7D96-946B-4D63-91C5-7FFDB5A46C51}"/>
    <cellStyle name="Style 99 2 3 2 3 2 3" xfId="39311" xr:uid="{4EA2A7E0-02E3-40F3-9AA8-7604E16ADF7C}"/>
    <cellStyle name="Style 99 2 3 2 3 3" xfId="20933" xr:uid="{BAFC12EF-15BA-40C0-BB89-98C45E369F99}"/>
    <cellStyle name="Style 99 2 3 2 3 3 2" xfId="20934" xr:uid="{61137213-539E-4F2B-A8FF-AE274457D204}"/>
    <cellStyle name="Style 99 2 3 2 3 3 2 2" xfId="39314" xr:uid="{12FFC2CC-3A9E-44F6-9B36-DA9EAFD2CE72}"/>
    <cellStyle name="Style 99 2 3 2 3 3 3" xfId="39313" xr:uid="{00785891-8118-4D6F-AFBE-74A3FC70099E}"/>
    <cellStyle name="Style 99 2 3 2 3 4" xfId="20935" xr:uid="{3765956A-3FD5-4E1F-9770-BE7C68A51A6E}"/>
    <cellStyle name="Style 99 2 3 2 3 4 2" xfId="20936" xr:uid="{0DA46D36-C558-4B4A-94A3-B1720CF6F003}"/>
    <cellStyle name="Style 99 2 3 2 3 4 2 2" xfId="39316" xr:uid="{2222FC9C-0332-495F-8082-B2784B093D8A}"/>
    <cellStyle name="Style 99 2 3 2 3 4 3" xfId="39315" xr:uid="{141EFA5B-8DD2-40A9-A5D1-ECF99511C425}"/>
    <cellStyle name="Style 99 2 3 2 3 5" xfId="20937" xr:uid="{7D1E4B20-B0E1-4A58-8702-8CEC798D9881}"/>
    <cellStyle name="Style 99 2 3 2 3 5 2" xfId="20938" xr:uid="{56DFFBB3-793D-4AA0-B0DC-150AEA44F331}"/>
    <cellStyle name="Style 99 2 3 2 3 5 2 2" xfId="39318" xr:uid="{2EB4A975-64F2-4C89-A3D0-34075DBD8B58}"/>
    <cellStyle name="Style 99 2 3 2 3 5 3" xfId="39317" xr:uid="{92D54397-45CA-414C-B360-D755B3944032}"/>
    <cellStyle name="Style 99 2 3 2 3 6" xfId="20939" xr:uid="{0E756778-CA9D-464D-A288-C0952F8719FB}"/>
    <cellStyle name="Style 99 2 3 2 3 6 2" xfId="39319" xr:uid="{14544B4A-FC64-4A90-8E9B-F3B00EC4A1DA}"/>
    <cellStyle name="Style 99 2 3 2 3 7" xfId="20940" xr:uid="{11E3E2B7-8A28-446D-A66F-D3103784F445}"/>
    <cellStyle name="Style 99 2 3 2 3 7 2" xfId="39320" xr:uid="{1049C5FE-CCF7-4700-8CF4-9176C05B0840}"/>
    <cellStyle name="Style 99 2 3 2 3 8" xfId="26199" xr:uid="{EC6AD8F8-9C49-492E-A5B7-262BACAAB392}"/>
    <cellStyle name="Style 99 2 3 2 4" xfId="20941" xr:uid="{B7845532-4FAB-4A55-B945-F5E81948A345}"/>
    <cellStyle name="Style 99 2 3 2 4 2" xfId="20942" xr:uid="{22AF8E11-2E13-4160-9D29-A08E8FEAA434}"/>
    <cellStyle name="Style 99 2 3 2 4 2 2" xfId="39321" xr:uid="{202A4AEB-D117-415F-948D-7836A9EC12C2}"/>
    <cellStyle name="Style 99 2 3 2 4 3" xfId="20943" xr:uid="{D13F7B3D-9A68-4820-9CC8-D44E2A3F9E90}"/>
    <cellStyle name="Style 99 2 3 2 4 3 2" xfId="39322" xr:uid="{AF688CF8-3E9E-4ECC-AF0B-B7A9055CB762}"/>
    <cellStyle name="Style 99 2 3 2 5" xfId="20944" xr:uid="{72E6FCA1-538B-4EED-8D68-B9C38F0CC719}"/>
    <cellStyle name="Style 99 2 3 2 5 2" xfId="20945" xr:uid="{38481452-D441-4789-9331-ECB621F1C514}"/>
    <cellStyle name="Style 99 2 3 2 5 2 2" xfId="39324" xr:uid="{A53E62ED-E301-487C-AE3B-03AC661AF69A}"/>
    <cellStyle name="Style 99 2 3 2 5 3" xfId="39323" xr:uid="{2BD16033-7608-4626-B76A-66EBF8203129}"/>
    <cellStyle name="Style 99 2 3 2 6" xfId="20946" xr:uid="{15BF30A8-E209-492C-A0B3-52A1B2F5CD9A}"/>
    <cellStyle name="Style 99 2 3 2 6 2" xfId="20947" xr:uid="{D2F08203-7B62-435D-B1C2-9F903A07C83E}"/>
    <cellStyle name="Style 99 2 3 2 6 2 2" xfId="39326" xr:uid="{D9D69370-FEBA-441C-A7A7-2797950B9209}"/>
    <cellStyle name="Style 99 2 3 2 6 3" xfId="39325" xr:uid="{2371670C-175A-49A8-A979-0938B26770F4}"/>
    <cellStyle name="Style 99 2 3 2 7" xfId="20948" xr:uid="{7644C914-66B9-4874-BD17-094EF47EF1FE}"/>
    <cellStyle name="Style 99 2 3 2 7 2" xfId="20949" xr:uid="{69B44BFC-7558-4978-AE52-6005410987C5}"/>
    <cellStyle name="Style 99 2 3 2 7 2 2" xfId="39328" xr:uid="{1BC07BB3-30DC-4375-8443-60C6CA8F3117}"/>
    <cellStyle name="Style 99 2 3 2 7 3" xfId="39327" xr:uid="{4BF1C211-F165-4ED3-AC4D-162326BB9C2D}"/>
    <cellStyle name="Style 99 2 3 2 8" xfId="20950" xr:uid="{D6F52316-E09C-452F-A08D-A7FD125332E4}"/>
    <cellStyle name="Style 99 2 3 2 8 2" xfId="20951" xr:uid="{A6F3F930-3029-4E0B-A822-27637D99DC75}"/>
    <cellStyle name="Style 99 2 3 2 8 2 2" xfId="39330" xr:uid="{15169848-9A7A-4B02-A9C1-F675D3C16CA0}"/>
    <cellStyle name="Style 99 2 3 2 8 3" xfId="39329" xr:uid="{2719A45A-3CD8-48B9-966D-DE803C33BBEA}"/>
    <cellStyle name="Style 99 2 3 2 9" xfId="20952" xr:uid="{95609D1A-1946-4C00-9136-CD8D854EB623}"/>
    <cellStyle name="Style 99 2 3 2 9 2" xfId="20953" xr:uid="{21D16700-47CA-4A53-868C-51AF47ABCCB2}"/>
    <cellStyle name="Style 99 2 3 2 9 2 2" xfId="39332" xr:uid="{6442BF45-BC47-43B7-9C20-47E172349C74}"/>
    <cellStyle name="Style 99 2 3 2 9 3" xfId="39331" xr:uid="{6A20B39D-1C20-44E0-A238-28E94C991247}"/>
    <cellStyle name="Style 99 2 3 3" xfId="3897" xr:uid="{D19C556F-C7FB-4DA6-9D44-D4DBA765D572}"/>
    <cellStyle name="Style 99 2 3 3 2" xfId="7875" xr:uid="{1598420A-EB17-4CB1-A8B8-111B04118B93}"/>
    <cellStyle name="Style 99 2 3 3 2 2" xfId="20954" xr:uid="{4D78CDC0-EEE1-4E82-8790-1442A8CDA376}"/>
    <cellStyle name="Style 99 2 3 3 2 2 2" xfId="20955" xr:uid="{316EEA0B-5EFB-42EA-ACB3-C944F9573C5C}"/>
    <cellStyle name="Style 99 2 3 3 2 2 2 2" xfId="39334" xr:uid="{15FA9775-5214-41DC-A22A-59C7E3BC3D06}"/>
    <cellStyle name="Style 99 2 3 3 2 2 3" xfId="39333" xr:uid="{1D1E1069-D032-4C1B-B8B5-CE8B2A2D1E91}"/>
    <cellStyle name="Style 99 2 3 3 2 3" xfId="20956" xr:uid="{3754EBEF-6020-4D0B-945D-D6446F6214FD}"/>
    <cellStyle name="Style 99 2 3 3 2 3 2" xfId="20957" xr:uid="{7FE93CE9-320E-4A6E-914B-6BDD5CE02239}"/>
    <cellStyle name="Style 99 2 3 3 2 3 2 2" xfId="39336" xr:uid="{CB121B66-5757-428E-AC32-C7F7CAD24911}"/>
    <cellStyle name="Style 99 2 3 3 2 3 3" xfId="39335" xr:uid="{A8CE152D-5C1D-4BC7-9D46-1A8FA41604D5}"/>
    <cellStyle name="Style 99 2 3 3 2 4" xfId="20958" xr:uid="{F34CE413-83EC-4917-9DE9-D8DB4D3D058A}"/>
    <cellStyle name="Style 99 2 3 3 2 4 2" xfId="20959" xr:uid="{29B318A0-2A82-4E85-999D-652DDB36E43B}"/>
    <cellStyle name="Style 99 2 3 3 2 4 2 2" xfId="39338" xr:uid="{666EC85F-2702-491B-8BDF-77652AD8C575}"/>
    <cellStyle name="Style 99 2 3 3 2 4 3" xfId="39337" xr:uid="{C6D604EE-7CDA-403E-B7EC-272C1D2D2B0C}"/>
    <cellStyle name="Style 99 2 3 3 2 5" xfId="20960" xr:uid="{4DFB1B11-BF7A-4F06-984A-4E8438015D36}"/>
    <cellStyle name="Style 99 2 3 3 2 5 2" xfId="20961" xr:uid="{13C4ACFB-2F28-4532-8F1C-2E4873A91E01}"/>
    <cellStyle name="Style 99 2 3 3 2 5 2 2" xfId="39340" xr:uid="{4025A48C-72E1-42D8-8163-F4E3DA6E50F4}"/>
    <cellStyle name="Style 99 2 3 3 2 5 3" xfId="39339" xr:uid="{DC20D781-33A7-41B8-B9EF-263BD4628053}"/>
    <cellStyle name="Style 99 2 3 3 2 6" xfId="20962" xr:uid="{50594283-1CDB-45B3-A2B5-F4F5279C3577}"/>
    <cellStyle name="Style 99 2 3 3 2 6 2" xfId="39341" xr:uid="{4AE6B9B4-5144-456F-A2D0-67F9970562D1}"/>
    <cellStyle name="Style 99 2 3 3 2 7" xfId="20963" xr:uid="{BCA46B6E-7E02-48C2-982D-6620DEB4C4B5}"/>
    <cellStyle name="Style 99 2 3 3 2 7 2" xfId="39342" xr:uid="{5743F64F-9A2D-4B17-894A-96CEE34537BE}"/>
    <cellStyle name="Style 99 2 3 3 2 8" xfId="26201" xr:uid="{C37FB17E-2D81-4149-9B54-81C48ECEAAAB}"/>
    <cellStyle name="Style 99 2 3 3 3" xfId="20964" xr:uid="{20BADB92-71A6-415C-A6EF-E7602142853E}"/>
    <cellStyle name="Style 99 2 3 3 3 2" xfId="20965" xr:uid="{906FD47B-BFAD-4BB0-A99F-67FA3EC3598E}"/>
    <cellStyle name="Style 99 2 3 3 3 2 2" xfId="39343" xr:uid="{C399AE33-5BFB-47D3-BC72-049C68660D5B}"/>
    <cellStyle name="Style 99 2 3 3 3 3" xfId="20966" xr:uid="{652888D9-36BB-4EB4-9DBF-2727B8B58351}"/>
    <cellStyle name="Style 99 2 3 3 3 3 2" xfId="39344" xr:uid="{FA90C41A-93FF-4AA6-A250-0F01D5DB21A0}"/>
    <cellStyle name="Style 99 2 3 3 4" xfId="20967" xr:uid="{12B6FD44-0D55-47B0-B9C0-6944441257E8}"/>
    <cellStyle name="Style 99 2 3 3 4 2" xfId="20968" xr:uid="{9C6D9B8A-4BC8-4F7A-AADA-504614DD0BEE}"/>
    <cellStyle name="Style 99 2 3 3 4 2 2" xfId="39346" xr:uid="{DD18B8D7-0699-4C39-AEDC-BEC44D815525}"/>
    <cellStyle name="Style 99 2 3 3 4 3" xfId="39345" xr:uid="{0FB3DA73-9B9D-46CE-A42B-EDF2F321E2D2}"/>
    <cellStyle name="Style 99 2 3 3 5" xfId="20969" xr:uid="{4F10A440-AD9A-4DA2-B329-C9CE787B8476}"/>
    <cellStyle name="Style 99 2 3 3 5 2" xfId="20970" xr:uid="{D1CC5EF6-5369-430A-8BCC-0F5E3E19C87E}"/>
    <cellStyle name="Style 99 2 3 3 5 2 2" xfId="39348" xr:uid="{305AC04C-ACBA-44EF-A047-F74CA8F3EDDD}"/>
    <cellStyle name="Style 99 2 3 3 5 3" xfId="39347" xr:uid="{32DE8112-6A9F-4A5C-8F6B-224A04815646}"/>
    <cellStyle name="Style 99 2 3 3 6" xfId="20971" xr:uid="{404CFD75-0839-40D6-BFFE-CF7B572470A2}"/>
    <cellStyle name="Style 99 2 3 3 6 2" xfId="20972" xr:uid="{1AE89044-7B75-4F87-8DB4-12DE715DE97B}"/>
    <cellStyle name="Style 99 2 3 3 6 2 2" xfId="39350" xr:uid="{0D180C7B-1202-4966-9D93-4E4D58EECF18}"/>
    <cellStyle name="Style 99 2 3 3 6 3" xfId="39349" xr:uid="{5BB2BE14-7B0E-44C7-AB4A-CAD33AACE5F9}"/>
    <cellStyle name="Style 99 2 3 3 7" xfId="20973" xr:uid="{08380BF1-0D4F-4E96-AD3D-6A472B12C7EE}"/>
    <cellStyle name="Style 99 2 3 3 7 2" xfId="20974" xr:uid="{17059EE6-E531-4C07-9F45-AFE4D33BFD14}"/>
    <cellStyle name="Style 99 2 3 3 7 2 2" xfId="39352" xr:uid="{D00A9DE4-15CC-4998-90BD-977D1CB4504A}"/>
    <cellStyle name="Style 99 2 3 3 7 3" xfId="39351" xr:uid="{3188FB1C-13E6-4105-A11F-1DB78F158223}"/>
    <cellStyle name="Style 99 2 3 3 8" xfId="20975" xr:uid="{55C16486-5C9C-4234-A336-932E1A47D8EE}"/>
    <cellStyle name="Style 99 2 3 3 8 2" xfId="39353" xr:uid="{AE194838-BEAD-4428-8BB9-62EEE7DBBCCB}"/>
    <cellStyle name="Style 99 2 3 3 9" xfId="20976" xr:uid="{2082F68E-E3A9-40CF-AE23-B2A38A59CB8C}"/>
    <cellStyle name="Style 99 2 3 3 9 2" xfId="39354" xr:uid="{FB912D7D-268D-4514-9876-D2E06BFC6A64}"/>
    <cellStyle name="Style 99 2 3 4" xfId="4233" xr:uid="{493F8382-2497-4742-82A0-7B2B660DF058}"/>
    <cellStyle name="Style 99 2 3 4 2" xfId="20977" xr:uid="{C2F6B835-18E2-47E3-A8A9-22EAEA695A6B}"/>
    <cellStyle name="Style 99 2 3 4 2 2" xfId="20978" xr:uid="{CB959CDF-E9DE-47B0-9E08-B533A3BAE06D}"/>
    <cellStyle name="Style 99 2 3 4 2 2 2" xfId="39355" xr:uid="{FF812005-46B9-4074-80FB-986EFCC68BA5}"/>
    <cellStyle name="Style 99 2 3 4 2 3" xfId="20979" xr:uid="{6676901F-DF56-4C45-8841-56DD38DFB01B}"/>
    <cellStyle name="Style 99 2 3 4 2 3 2" xfId="39356" xr:uid="{FFA1EBC0-FF45-4BB1-B341-966866A2E71E}"/>
    <cellStyle name="Style 99 2 3 4 3" xfId="20980" xr:uid="{D493AE62-A5B3-4C2C-888C-7DB087E6638C}"/>
    <cellStyle name="Style 99 2 3 4 3 2" xfId="20981" xr:uid="{62DA1F2B-FEB5-463B-8A09-5438583602E4}"/>
    <cellStyle name="Style 99 2 3 4 3 2 2" xfId="39358" xr:uid="{35534EBA-7398-4671-9072-F3CCB57F9329}"/>
    <cellStyle name="Style 99 2 3 4 3 3" xfId="39357" xr:uid="{AC2FA5B6-0AD6-4289-9840-08D0503C301B}"/>
    <cellStyle name="Style 99 2 3 4 4" xfId="20982" xr:uid="{16987E9F-937E-4C4B-BB73-48BCBD0397F6}"/>
    <cellStyle name="Style 99 2 3 4 4 2" xfId="20983" xr:uid="{7742D81B-95BF-4C8D-8B6B-8240ED5A0D49}"/>
    <cellStyle name="Style 99 2 3 4 4 2 2" xfId="39360" xr:uid="{E4ED6F70-B073-4EF0-B356-4E2DCBE20921}"/>
    <cellStyle name="Style 99 2 3 4 4 3" xfId="39359" xr:uid="{EF1DD530-6DDA-423E-BACB-640E632139B4}"/>
    <cellStyle name="Style 99 2 3 4 5" xfId="20984" xr:uid="{F0D3F4D1-43C6-4F48-98CA-BDE17E410D74}"/>
    <cellStyle name="Style 99 2 3 4 5 2" xfId="20985" xr:uid="{88528316-B9B1-4ECC-A0C3-594710865F03}"/>
    <cellStyle name="Style 99 2 3 4 5 2 2" xfId="39362" xr:uid="{06424301-7ED6-42B7-B232-1E1C995B95D4}"/>
    <cellStyle name="Style 99 2 3 4 5 3" xfId="39361" xr:uid="{5F2CD9C4-4022-4A73-89DA-80E7F5EE3A3A}"/>
    <cellStyle name="Style 99 2 3 4 6" xfId="20986" xr:uid="{6826AE13-B973-4AF0-B567-5DE7DA31C322}"/>
    <cellStyle name="Style 99 2 3 4 6 2" xfId="39363" xr:uid="{CD61555A-8747-45E1-8AAA-D11EBEE61F79}"/>
    <cellStyle name="Style 99 2 3 4 7" xfId="20987" xr:uid="{28C10A32-DE3C-48B8-B3DB-B0F0653615A2}"/>
    <cellStyle name="Style 99 2 3 4 7 2" xfId="39364" xr:uid="{06C3E7A6-A6E2-45AD-AF71-C97E13C64434}"/>
    <cellStyle name="Style 99 2 3 4 8" xfId="26198" xr:uid="{CE8B1BDC-ACA1-4E06-9B80-F8D2CE4AC114}"/>
    <cellStyle name="Style 99 2 3 5" xfId="7872" xr:uid="{0B7AAD2C-22CA-451A-9277-265D85A65F43}"/>
    <cellStyle name="Style 99 2 3 5 2" xfId="20988" xr:uid="{4D4B540F-F859-4097-AF7C-3FB2F9245B22}"/>
    <cellStyle name="Style 99 2 3 5 2 2" xfId="39365" xr:uid="{34093F65-796E-49B2-BE2E-5C7AEEE15B8D}"/>
    <cellStyle name="Style 99 2 3 5 3" xfId="20989" xr:uid="{69FE7CFF-5823-4F22-8F23-F9E32C305FA9}"/>
    <cellStyle name="Style 99 2 3 5 3 2" xfId="39366" xr:uid="{92E00F7E-C91C-4AB8-8EB4-6ECF068F3A74}"/>
    <cellStyle name="Style 99 2 3 6" xfId="20990" xr:uid="{803D4891-3EE2-4A96-9C02-F691E9D96283}"/>
    <cellStyle name="Style 99 2 3 6 2" xfId="20991" xr:uid="{75703542-E289-4D31-8FB0-085BC43F024C}"/>
    <cellStyle name="Style 99 2 3 6 2 2" xfId="39368" xr:uid="{C37EDD80-16CD-42EE-B7AD-B0CC64B230E5}"/>
    <cellStyle name="Style 99 2 3 6 3" xfId="39367" xr:uid="{35AA3274-6EFF-490C-AADA-C619CBE9E508}"/>
    <cellStyle name="Style 99 2 3 7" xfId="20992" xr:uid="{4F771D62-8B39-40D9-ABA5-CF2AEE338455}"/>
    <cellStyle name="Style 99 2 3 7 2" xfId="20993" xr:uid="{A95C9452-29B9-4A1C-82DE-2F7C834895E9}"/>
    <cellStyle name="Style 99 2 3 7 2 2" xfId="39370" xr:uid="{0FCBD30B-AFBD-41EF-A50A-2516EE697391}"/>
    <cellStyle name="Style 99 2 3 7 3" xfId="39369" xr:uid="{1D9FD9C1-6CCF-4D1D-9161-DD73FDB22664}"/>
    <cellStyle name="Style 99 2 3 8" xfId="20994" xr:uid="{6CB8E3BB-F24E-4090-B813-0B0C4C120B7B}"/>
    <cellStyle name="Style 99 2 3 8 2" xfId="20995" xr:uid="{170499D6-3842-4A53-A916-132978C8FCF1}"/>
    <cellStyle name="Style 99 2 3 8 2 2" xfId="39372" xr:uid="{2EC4AA3A-3C22-4A89-B28B-7915DDA699AD}"/>
    <cellStyle name="Style 99 2 3 8 3" xfId="39371" xr:uid="{C3028F73-FB07-4F13-8421-FC0E8148A5AC}"/>
    <cellStyle name="Style 99 2 3 9" xfId="20996" xr:uid="{2B01DD88-B8D5-4094-9BA4-137C57D86AF8}"/>
    <cellStyle name="Style 99 2 3 9 2" xfId="20997" xr:uid="{FAA90FBC-5759-402F-842F-C6C634509103}"/>
    <cellStyle name="Style 99 2 3 9 2 2" xfId="39374" xr:uid="{3AFD20A8-0559-441E-8F18-73F7729B78C6}"/>
    <cellStyle name="Style 99 2 3 9 3" xfId="39373" xr:uid="{1BCF848C-E1A0-466B-8FD4-C125BC4F6791}"/>
    <cellStyle name="Style 99 2 4" xfId="3898" xr:uid="{2F85D531-CAF4-42CC-92FE-B4B37F6E1CBB}"/>
    <cellStyle name="Style 99 2 4 10" xfId="20998" xr:uid="{A8893824-FA11-4C93-BF58-B30225967BD3}"/>
    <cellStyle name="Style 99 2 4 10 2" xfId="39375" xr:uid="{8CFB8455-D127-4B78-9615-D36050D5B34B}"/>
    <cellStyle name="Style 99 2 4 11" xfId="20999" xr:uid="{5C4877FF-EBCA-42BE-A5A9-E5511023A32A}"/>
    <cellStyle name="Style 99 2 4 11 2" xfId="39376" xr:uid="{4BBFC697-B264-41F5-BB03-8BCAFA4E1B9F}"/>
    <cellStyle name="Style 99 2 4 2" xfId="3899" xr:uid="{07B7155F-9060-4351-A2DE-1400D500BD21}"/>
    <cellStyle name="Style 99 2 4 2 2" xfId="7877" xr:uid="{6C7ABA61-86FE-46DA-A04E-40087CB38A47}"/>
    <cellStyle name="Style 99 2 4 2 2 2" xfId="21000" xr:uid="{44B34F17-6869-4EA4-B7FD-B5A7369BD873}"/>
    <cellStyle name="Style 99 2 4 2 2 2 2" xfId="21001" xr:uid="{529460AE-B05B-4960-AA61-6E6C68E95861}"/>
    <cellStyle name="Style 99 2 4 2 2 2 2 2" xfId="39378" xr:uid="{81E7F4FB-F9AA-48EA-8752-A5A16643431C}"/>
    <cellStyle name="Style 99 2 4 2 2 2 3" xfId="39377" xr:uid="{224035B5-5D8A-4F47-93E9-38C7A5C55C16}"/>
    <cellStyle name="Style 99 2 4 2 2 3" xfId="21002" xr:uid="{AB92FE38-2945-413F-83B5-31D226052483}"/>
    <cellStyle name="Style 99 2 4 2 2 3 2" xfId="21003" xr:uid="{25FBAFC1-298A-4F52-B5D1-911911BFD0AB}"/>
    <cellStyle name="Style 99 2 4 2 2 3 2 2" xfId="39380" xr:uid="{94283CCF-A45D-4B55-9CC1-603C7D7D6616}"/>
    <cellStyle name="Style 99 2 4 2 2 3 3" xfId="39379" xr:uid="{1DF53CE2-56E2-419D-9C73-AD2F8216AC3C}"/>
    <cellStyle name="Style 99 2 4 2 2 4" xfId="21004" xr:uid="{D17A2C73-EBED-439E-904B-737B9C8E0DE2}"/>
    <cellStyle name="Style 99 2 4 2 2 4 2" xfId="21005" xr:uid="{B801611B-D0A3-4474-A760-51D7E7A9736F}"/>
    <cellStyle name="Style 99 2 4 2 2 4 2 2" xfId="39382" xr:uid="{99AB583D-2E56-4603-BF74-D11AEB29794F}"/>
    <cellStyle name="Style 99 2 4 2 2 4 3" xfId="39381" xr:uid="{3F82F6A7-F6C2-4DA2-B593-7754C1FDF62D}"/>
    <cellStyle name="Style 99 2 4 2 2 5" xfId="21006" xr:uid="{A4BCB592-6E3B-467D-98E4-FF09116A43FC}"/>
    <cellStyle name="Style 99 2 4 2 2 5 2" xfId="21007" xr:uid="{E23C4A9F-66D9-4E9E-926A-C82B3F0AE1B7}"/>
    <cellStyle name="Style 99 2 4 2 2 5 2 2" xfId="39384" xr:uid="{D075E174-7694-4C76-A2DE-3BA613915E63}"/>
    <cellStyle name="Style 99 2 4 2 2 5 3" xfId="39383" xr:uid="{CE34CE2E-1952-438B-AE06-A44BED1F9E01}"/>
    <cellStyle name="Style 99 2 4 2 2 6" xfId="21008" xr:uid="{95CE81ED-4615-4A06-8C31-DA96B0DF3451}"/>
    <cellStyle name="Style 99 2 4 2 2 6 2" xfId="39385" xr:uid="{83A469DB-2321-436B-AA22-E2BCEB35D1D9}"/>
    <cellStyle name="Style 99 2 4 2 2 7" xfId="21009" xr:uid="{1D8D51FA-5058-4CA3-85C0-FAEE04D86400}"/>
    <cellStyle name="Style 99 2 4 2 2 7 2" xfId="39386" xr:uid="{3B06C78B-A55E-4F08-A43E-197913CF56F4}"/>
    <cellStyle name="Style 99 2 4 2 2 8" xfId="26203" xr:uid="{07B1209E-2C5E-4A4F-AB95-1AE415FC669E}"/>
    <cellStyle name="Style 99 2 4 2 3" xfId="21010" xr:uid="{7E803EFD-1D55-471D-A36A-CC30EC4DC67E}"/>
    <cellStyle name="Style 99 2 4 2 3 2" xfId="21011" xr:uid="{B97E672A-8C0F-4355-85E9-206E661433F3}"/>
    <cellStyle name="Style 99 2 4 2 3 2 2" xfId="39387" xr:uid="{21917173-2DD3-4AFD-B33F-93FD2A18015E}"/>
    <cellStyle name="Style 99 2 4 2 3 3" xfId="21012" xr:uid="{58FCE799-1358-41F1-BD9A-CF20790EF6D9}"/>
    <cellStyle name="Style 99 2 4 2 3 3 2" xfId="39388" xr:uid="{D24ABD44-F1CB-4E60-8111-3AFCE12F17B7}"/>
    <cellStyle name="Style 99 2 4 2 4" xfId="21013" xr:uid="{A66A98ED-F4FA-4180-8901-3853AC939AB2}"/>
    <cellStyle name="Style 99 2 4 2 4 2" xfId="21014" xr:uid="{07D325B3-2A14-455B-A7A3-54FC5FDFF281}"/>
    <cellStyle name="Style 99 2 4 2 4 2 2" xfId="39390" xr:uid="{4FE6138B-5B7A-4156-8C28-6D6995715D32}"/>
    <cellStyle name="Style 99 2 4 2 4 3" xfId="39389" xr:uid="{B5A6F2E4-C602-4DAD-87FF-ECCCD88EAD87}"/>
    <cellStyle name="Style 99 2 4 2 5" xfId="21015" xr:uid="{D655BE35-54FC-4E51-80B8-CEA4FE123057}"/>
    <cellStyle name="Style 99 2 4 2 5 2" xfId="21016" xr:uid="{4593A312-8B07-4BED-9E5A-ABBDBABE9759}"/>
    <cellStyle name="Style 99 2 4 2 5 2 2" xfId="39392" xr:uid="{738B558F-AAEB-462F-A9F2-FA01DB7EE983}"/>
    <cellStyle name="Style 99 2 4 2 5 3" xfId="39391" xr:uid="{95A94A7C-00C9-46C8-B079-B3701900888E}"/>
    <cellStyle name="Style 99 2 4 2 6" xfId="21017" xr:uid="{65E0513F-87F8-4D65-8B34-0CD52F38FE7E}"/>
    <cellStyle name="Style 99 2 4 2 6 2" xfId="21018" xr:uid="{8EA297C5-B83C-4AA5-A96C-8FC24CC36310}"/>
    <cellStyle name="Style 99 2 4 2 6 2 2" xfId="39394" xr:uid="{4F297E08-5AA0-479E-ABFC-4F7F51936EFC}"/>
    <cellStyle name="Style 99 2 4 2 6 3" xfId="39393" xr:uid="{2FF6A696-00B1-4DB1-B6E0-4981030610C2}"/>
    <cellStyle name="Style 99 2 4 2 7" xfId="21019" xr:uid="{3F735A72-D8C3-468D-961B-B0859863F60C}"/>
    <cellStyle name="Style 99 2 4 2 7 2" xfId="21020" xr:uid="{FC8F7048-D34A-43B7-B550-9D3BB1467C01}"/>
    <cellStyle name="Style 99 2 4 2 7 2 2" xfId="39396" xr:uid="{FF83EFDC-4831-4453-AAFB-9E5BB86E892E}"/>
    <cellStyle name="Style 99 2 4 2 7 3" xfId="39395" xr:uid="{23DF1331-91A0-47A0-A8BE-C9F9177608A5}"/>
    <cellStyle name="Style 99 2 4 2 8" xfId="21021" xr:uid="{149E29C7-B936-40C5-BF18-2B9B658CCEE0}"/>
    <cellStyle name="Style 99 2 4 2 8 2" xfId="39397" xr:uid="{62F56DFD-F359-419B-B89F-14D28E5BA33D}"/>
    <cellStyle name="Style 99 2 4 2 9" xfId="21022" xr:uid="{8E3D709D-EAB3-45C7-A846-FE0C9680F114}"/>
    <cellStyle name="Style 99 2 4 2 9 2" xfId="39398" xr:uid="{545AC3D2-F287-4A7F-91CD-423B8CD77729}"/>
    <cellStyle name="Style 99 2 4 3" xfId="4234" xr:uid="{ABF7EE9D-7CF9-406E-8F04-370AE7453C47}"/>
    <cellStyle name="Style 99 2 4 3 2" xfId="21023" xr:uid="{D0B954CA-B827-4450-99A3-FBFBF5800C1A}"/>
    <cellStyle name="Style 99 2 4 3 2 2" xfId="21024" xr:uid="{4B06B01E-7B5C-42BB-A665-50A39A2D9D66}"/>
    <cellStyle name="Style 99 2 4 3 2 2 2" xfId="39399" xr:uid="{D57736AD-792C-438F-B248-5B4A376D1A6B}"/>
    <cellStyle name="Style 99 2 4 3 2 3" xfId="21025" xr:uid="{46A7F3F3-EA67-4D01-8C1A-34E665A9B8A1}"/>
    <cellStyle name="Style 99 2 4 3 2 3 2" xfId="39400" xr:uid="{F1A60FB1-3A2C-47C7-BDB3-A5B15CB8DC48}"/>
    <cellStyle name="Style 99 2 4 3 3" xfId="21026" xr:uid="{868F407F-7951-4572-8467-D188A2599F17}"/>
    <cellStyle name="Style 99 2 4 3 3 2" xfId="21027" xr:uid="{C0E09F36-1C8A-4CA1-83E3-4102136FA4E7}"/>
    <cellStyle name="Style 99 2 4 3 3 2 2" xfId="39402" xr:uid="{A2CD75E8-D954-4A16-86A1-D2ABFDE233E3}"/>
    <cellStyle name="Style 99 2 4 3 3 3" xfId="39401" xr:uid="{A880E66A-EC5E-4BE7-84A9-1148C06FBF91}"/>
    <cellStyle name="Style 99 2 4 3 4" xfId="21028" xr:uid="{B3994681-4F89-43E3-9955-CBC9AC9FA359}"/>
    <cellStyle name="Style 99 2 4 3 4 2" xfId="21029" xr:uid="{7913C0B8-A203-46D4-8834-85B1B2F22C67}"/>
    <cellStyle name="Style 99 2 4 3 4 2 2" xfId="39404" xr:uid="{42E63952-255F-457B-A594-9390A66BC987}"/>
    <cellStyle name="Style 99 2 4 3 4 3" xfId="39403" xr:uid="{651D1EE0-B186-4673-8567-74397E3A1B50}"/>
    <cellStyle name="Style 99 2 4 3 5" xfId="21030" xr:uid="{3178E7F9-14DB-4305-80F5-F3E7CD049EA4}"/>
    <cellStyle name="Style 99 2 4 3 5 2" xfId="21031" xr:uid="{99789398-71C9-4E3E-B831-3EC1447546EC}"/>
    <cellStyle name="Style 99 2 4 3 5 2 2" xfId="39406" xr:uid="{8449208D-6192-44B9-A0CC-742CB9F2B00E}"/>
    <cellStyle name="Style 99 2 4 3 5 3" xfId="39405" xr:uid="{2778669A-AE23-4B32-AE8C-DDDB5C92797C}"/>
    <cellStyle name="Style 99 2 4 3 6" xfId="21032" xr:uid="{EE10BFD7-669E-4481-8357-4DD756E15D41}"/>
    <cellStyle name="Style 99 2 4 3 6 2" xfId="39407" xr:uid="{7C75A048-D2FE-426B-A189-743839903398}"/>
    <cellStyle name="Style 99 2 4 3 7" xfId="21033" xr:uid="{0D72DD50-2E5B-4D03-BD6C-EB98DA78654B}"/>
    <cellStyle name="Style 99 2 4 3 7 2" xfId="39408" xr:uid="{6B4D0DAD-5671-49D7-9AF3-2F2E13A59913}"/>
    <cellStyle name="Style 99 2 4 3 8" xfId="26202" xr:uid="{ED83BD8F-CA7B-4F00-B6F2-B7B6E3B97306}"/>
    <cellStyle name="Style 99 2 4 4" xfId="7876" xr:uid="{B56FA84E-160F-4E7E-807A-2A93A12E0921}"/>
    <cellStyle name="Style 99 2 4 4 2" xfId="21034" xr:uid="{D20F0EE5-5293-48DD-8363-267CEED52F77}"/>
    <cellStyle name="Style 99 2 4 4 2 2" xfId="39409" xr:uid="{68E4E21E-126A-4B7D-A3D1-578D7553AF7F}"/>
    <cellStyle name="Style 99 2 4 4 3" xfId="21035" xr:uid="{FD787233-2B7E-4313-8264-0BBA1DFB2AA4}"/>
    <cellStyle name="Style 99 2 4 4 3 2" xfId="39410" xr:uid="{1834BB8D-7119-48E1-8387-5379DEEEE1CD}"/>
    <cellStyle name="Style 99 2 4 5" xfId="21036" xr:uid="{10AD8A0B-DCD8-4904-BF4E-5680E1577083}"/>
    <cellStyle name="Style 99 2 4 5 2" xfId="21037" xr:uid="{CCF96212-86A3-412F-AAB5-4FAAB4484896}"/>
    <cellStyle name="Style 99 2 4 5 2 2" xfId="39412" xr:uid="{18E4AEAF-AE6F-4F3A-A77C-887980BC9E39}"/>
    <cellStyle name="Style 99 2 4 5 3" xfId="39411" xr:uid="{8A8D7598-BA9A-41D8-B2AD-574EE6764146}"/>
    <cellStyle name="Style 99 2 4 6" xfId="21038" xr:uid="{DD4140E6-D3A9-4562-8076-1A9B4A3D182B}"/>
    <cellStyle name="Style 99 2 4 6 2" xfId="21039" xr:uid="{8310A9FD-334A-4498-861D-9EB8AF6DC06A}"/>
    <cellStyle name="Style 99 2 4 6 2 2" xfId="39414" xr:uid="{1ACDBCE4-13DE-4E42-8035-129C39EEA58D}"/>
    <cellStyle name="Style 99 2 4 6 3" xfId="39413" xr:uid="{7F675205-430F-427E-9AE4-46A7C564C595}"/>
    <cellStyle name="Style 99 2 4 7" xfId="21040" xr:uid="{81EBF7D6-8879-4E7A-B150-82E85F935AE1}"/>
    <cellStyle name="Style 99 2 4 7 2" xfId="21041" xr:uid="{3D2A8852-EE8C-45BC-B4EE-E8267F6BC9BB}"/>
    <cellStyle name="Style 99 2 4 7 2 2" xfId="39416" xr:uid="{938DA2A9-7E2B-4CDC-A8DF-CB047DF3963B}"/>
    <cellStyle name="Style 99 2 4 7 3" xfId="39415" xr:uid="{F1BD421A-D758-48B3-87C6-8C6685B26035}"/>
    <cellStyle name="Style 99 2 4 8" xfId="21042" xr:uid="{787F3AD7-0816-42D0-B0AA-82F4076CA75A}"/>
    <cellStyle name="Style 99 2 4 8 2" xfId="21043" xr:uid="{8714A06B-197C-492F-9B32-DC129806CA24}"/>
    <cellStyle name="Style 99 2 4 8 2 2" xfId="39418" xr:uid="{F9C78C72-658A-45F1-B860-9CE8FECE453F}"/>
    <cellStyle name="Style 99 2 4 8 3" xfId="39417" xr:uid="{485696E4-E06A-48CD-9A0E-AF6882400CF7}"/>
    <cellStyle name="Style 99 2 4 9" xfId="21044" xr:uid="{924A71F7-DA0C-4F78-8299-4150A8118387}"/>
    <cellStyle name="Style 99 2 4 9 2" xfId="21045" xr:uid="{4F671181-93C1-427D-A54C-F9A33A1C601B}"/>
    <cellStyle name="Style 99 2 4 9 2 2" xfId="39420" xr:uid="{60DA0D88-903E-4FD3-A19D-4B32FC19DB91}"/>
    <cellStyle name="Style 99 2 4 9 3" xfId="39419" xr:uid="{09B00E36-B041-4E26-97B2-89AC32EFD286}"/>
    <cellStyle name="Style 99 2 5" xfId="3900" xr:uid="{72E050D8-8E96-4DE6-BF76-B8CADA2177DC}"/>
    <cellStyle name="Style 99 2 5 2" xfId="7878" xr:uid="{C327CF03-8DF4-4657-BBB0-698D55181546}"/>
    <cellStyle name="Style 99 2 5 2 2" xfId="21046" xr:uid="{4AD51F78-880C-45F6-AB3D-6748D5323E81}"/>
    <cellStyle name="Style 99 2 5 2 2 2" xfId="21047" xr:uid="{05C7AA24-AA10-467A-9AF9-F67505AD5F81}"/>
    <cellStyle name="Style 99 2 5 2 2 2 2" xfId="39422" xr:uid="{25FFC975-821E-447C-A6C5-6FA643D48320}"/>
    <cellStyle name="Style 99 2 5 2 2 3" xfId="39421" xr:uid="{85AF83CC-8157-4F6D-B635-C155639B3BAA}"/>
    <cellStyle name="Style 99 2 5 2 3" xfId="21048" xr:uid="{0A10153C-21B9-4610-B1C8-2B9F7A35E4EE}"/>
    <cellStyle name="Style 99 2 5 2 3 2" xfId="21049" xr:uid="{1731EB1A-2390-457A-BB5E-1C2DB1812173}"/>
    <cellStyle name="Style 99 2 5 2 3 2 2" xfId="39424" xr:uid="{414B1A2C-5092-471E-9009-EDC2EF458FAB}"/>
    <cellStyle name="Style 99 2 5 2 3 3" xfId="39423" xr:uid="{163176DB-43E6-4A78-A3D0-280E4491E545}"/>
    <cellStyle name="Style 99 2 5 2 4" xfId="21050" xr:uid="{F26544BC-787B-473A-80C2-39746FC6F53C}"/>
    <cellStyle name="Style 99 2 5 2 4 2" xfId="21051" xr:uid="{96D10D80-A191-4340-B79D-676886B9A451}"/>
    <cellStyle name="Style 99 2 5 2 4 2 2" xfId="39426" xr:uid="{9B938816-4BD7-45D9-A954-B604427CF042}"/>
    <cellStyle name="Style 99 2 5 2 4 3" xfId="39425" xr:uid="{426C5B56-FFF0-433F-A51A-69DE2CBDDC91}"/>
    <cellStyle name="Style 99 2 5 2 5" xfId="21052" xr:uid="{B26C0638-3681-498A-ABA9-2B493A4970DF}"/>
    <cellStyle name="Style 99 2 5 2 5 2" xfId="21053" xr:uid="{2F6D2941-949B-4CEE-842B-275CD2A38C2B}"/>
    <cellStyle name="Style 99 2 5 2 5 2 2" xfId="39428" xr:uid="{B33920D7-2989-45ED-9991-A9D685F5A54B}"/>
    <cellStyle name="Style 99 2 5 2 5 3" xfId="39427" xr:uid="{42C17FBE-D859-4C3D-9E11-6A4E2CE4D2D1}"/>
    <cellStyle name="Style 99 2 5 2 6" xfId="21054" xr:uid="{F9930930-812A-4709-9AFC-52A582184043}"/>
    <cellStyle name="Style 99 2 5 2 6 2" xfId="39429" xr:uid="{4A406FD5-1E63-486A-A2FB-80669E1CD92B}"/>
    <cellStyle name="Style 99 2 5 2 7" xfId="21055" xr:uid="{3740FA8C-0FDE-48B3-AEB1-BB1CCAF9ADC5}"/>
    <cellStyle name="Style 99 2 5 2 7 2" xfId="39430" xr:uid="{0A7BB7AC-6D16-4D47-BAC1-41161068775F}"/>
    <cellStyle name="Style 99 2 5 2 8" xfId="26204" xr:uid="{482428C7-1DFA-4E42-9D74-4D0A36C69D3C}"/>
    <cellStyle name="Style 99 2 5 3" xfId="21056" xr:uid="{EB10E328-5DE9-4738-B3DA-7F73766BD636}"/>
    <cellStyle name="Style 99 2 5 3 2" xfId="21057" xr:uid="{C92684C9-5F76-46BD-942B-4164FFC7F73E}"/>
    <cellStyle name="Style 99 2 5 3 2 2" xfId="39431" xr:uid="{B22BA5AB-9C69-4567-9D74-D475CE1876FF}"/>
    <cellStyle name="Style 99 2 5 3 3" xfId="21058" xr:uid="{283CD88B-23C2-4D6D-8D86-9124DFF0E242}"/>
    <cellStyle name="Style 99 2 5 3 3 2" xfId="39432" xr:uid="{AE90D6B5-461C-4167-A0D7-26AB3F719A88}"/>
    <cellStyle name="Style 99 2 5 4" xfId="21059" xr:uid="{08DB7BAA-8B49-4DD4-A57F-26B46C4AD590}"/>
    <cellStyle name="Style 99 2 5 4 2" xfId="21060" xr:uid="{5CB9FA34-9E91-4F4F-A057-3428D9D6F92D}"/>
    <cellStyle name="Style 99 2 5 4 2 2" xfId="39434" xr:uid="{E5FF5A8B-A512-4B15-B629-DCE12A680E7C}"/>
    <cellStyle name="Style 99 2 5 4 3" xfId="39433" xr:uid="{E6EBA649-CC5F-4E04-A9F7-F47F85DFDAFC}"/>
    <cellStyle name="Style 99 2 5 5" xfId="21061" xr:uid="{0A6563FE-CE86-481D-A8DE-B2410B8A6918}"/>
    <cellStyle name="Style 99 2 5 5 2" xfId="21062" xr:uid="{3032061E-D64E-429F-96B8-4C324CAD622E}"/>
    <cellStyle name="Style 99 2 5 5 2 2" xfId="39436" xr:uid="{ED5E364F-DDCC-4414-9333-0D671E8B294D}"/>
    <cellStyle name="Style 99 2 5 5 3" xfId="39435" xr:uid="{D02B3710-8775-49C3-86C4-F0D290B99F7E}"/>
    <cellStyle name="Style 99 2 5 6" xfId="21063" xr:uid="{187F7F4C-462D-4BAA-A3A7-1EB09A31AB7F}"/>
    <cellStyle name="Style 99 2 5 6 2" xfId="21064" xr:uid="{8C6EE741-C4A0-45E7-AD45-AAF9F1182A98}"/>
    <cellStyle name="Style 99 2 5 6 2 2" xfId="39438" xr:uid="{8FF674EB-ED1E-4D5C-92DF-18468066C5E5}"/>
    <cellStyle name="Style 99 2 5 6 3" xfId="39437" xr:uid="{3D7F506E-F185-45AE-9AE1-A57B97E883F5}"/>
    <cellStyle name="Style 99 2 5 7" xfId="21065" xr:uid="{710F0A27-F48E-4D71-8D91-6E1D53312161}"/>
    <cellStyle name="Style 99 2 5 7 2" xfId="21066" xr:uid="{BAD18908-4F7F-4CCC-819C-0A74BFDFDBD5}"/>
    <cellStyle name="Style 99 2 5 7 2 2" xfId="39440" xr:uid="{ED29679D-82B7-4A9A-B911-5E014FA06E03}"/>
    <cellStyle name="Style 99 2 5 7 3" xfId="39439" xr:uid="{6C94AE21-04B9-4AC8-873D-E738CE8FE237}"/>
    <cellStyle name="Style 99 2 5 8" xfId="21067" xr:uid="{ECA22794-BB99-4A47-AE42-3F5B64BC819F}"/>
    <cellStyle name="Style 99 2 5 8 2" xfId="39441" xr:uid="{6401D471-08E8-4D09-BC51-7DDD225B197B}"/>
    <cellStyle name="Style 99 2 5 9" xfId="21068" xr:uid="{8039753C-A413-4548-9BD4-D95E9B19E5A8}"/>
    <cellStyle name="Style 99 2 5 9 2" xfId="39442" xr:uid="{F255AF39-5F9B-4BBB-8383-70863F1FDF32}"/>
    <cellStyle name="Style 99 2 6" xfId="7863" xr:uid="{850D4243-4549-4CDF-B2C1-8C8E80E184C9}"/>
    <cellStyle name="Style 99 2 6 2" xfId="21069" xr:uid="{8B3A7FF3-9B25-43E5-BFDD-A8405C606155}"/>
    <cellStyle name="Style 99 2 6 2 2" xfId="39443" xr:uid="{A7BA7376-508E-4A5E-89AF-4122A370DECC}"/>
    <cellStyle name="Style 99 2 6 3" xfId="21070" xr:uid="{1B3E5053-5738-4121-A138-83888FE21DAA}"/>
    <cellStyle name="Style 99 2 6 3 2" xfId="39444" xr:uid="{84FC3246-BBE3-416C-9282-C613468ED6E6}"/>
    <cellStyle name="Style 99 2 6 4" xfId="21071" xr:uid="{EABB37C2-8E2E-455A-838C-7487AD77E733}"/>
    <cellStyle name="Style 99 2 6 4 2" xfId="39445" xr:uid="{AABA691D-D4CB-4CFE-B445-CECBDB92471F}"/>
    <cellStyle name="Style 99 2 7" xfId="21072" xr:uid="{06481B54-A433-443B-8E69-84D2FFD7FFB1}"/>
    <cellStyle name="Style 99 2 7 2" xfId="21073" xr:uid="{2E605E3B-FA18-4933-803E-83EE922CD5EA}"/>
    <cellStyle name="Style 99 2 7 2 2" xfId="39446" xr:uid="{843CD057-AEDF-4B0C-A325-EE41F111602D}"/>
    <cellStyle name="Style 99 2 7 3" xfId="21074" xr:uid="{FF8CD346-DA21-42A3-96D4-727B30F0D5E3}"/>
    <cellStyle name="Style 99 2 7 3 2" xfId="39447" xr:uid="{2A1DB786-D46F-47EB-9931-EE48E58494A5}"/>
    <cellStyle name="Style 99 2 8" xfId="21075" xr:uid="{9B21131D-9A43-411E-8A7B-0F401528D281}"/>
    <cellStyle name="Style 99 2 8 2" xfId="21076" xr:uid="{D3B42599-0B55-4FD4-8268-B5478626B467}"/>
    <cellStyle name="Style 99 2 8 2 2" xfId="39449" xr:uid="{2AE7B7D0-C95A-4CBE-B650-F592B673419E}"/>
    <cellStyle name="Style 99 2 8 3" xfId="39448" xr:uid="{5CA905C4-E562-4D2B-BD6B-51463867E611}"/>
    <cellStyle name="Style 99 2 9" xfId="21077" xr:uid="{E324A459-722B-4D89-A454-4CF19C6ECFEE}"/>
    <cellStyle name="Style 99 2 9 2" xfId="21078" xr:uid="{26E1628F-F149-46DF-AC52-05CA16EFC99E}"/>
    <cellStyle name="Style 99 2 9 2 2" xfId="39451" xr:uid="{9AEDEFB5-F787-430A-B010-188727667E55}"/>
    <cellStyle name="Style 99 2 9 3" xfId="39450" xr:uid="{2720A120-9A17-4391-9B02-3319B0D07B41}"/>
    <cellStyle name="Style 99 3" xfId="3901" xr:uid="{7DB6F567-3110-4C02-8DB8-123B746E66C8}"/>
    <cellStyle name="Style 99 3 10" xfId="21079" xr:uid="{F6A32B84-3FC9-4B96-9511-78AFE50FA5AD}"/>
    <cellStyle name="Style 99 3 10 2" xfId="21080" xr:uid="{DB213A91-0A48-4C01-AF4F-0EC384A694E0}"/>
    <cellStyle name="Style 99 3 10 2 2" xfId="39453" xr:uid="{D5B95B08-9F85-491B-8DC9-3DCF7473C9E1}"/>
    <cellStyle name="Style 99 3 10 3" xfId="39452" xr:uid="{AD7D0EDD-F7D4-4051-8D13-152D8C451140}"/>
    <cellStyle name="Style 99 3 11" xfId="21081" xr:uid="{9BC6632E-802E-4CF9-B842-E595A2A3836C}"/>
    <cellStyle name="Style 99 3 11 2" xfId="21082" xr:uid="{A553F5B7-A00E-4CD5-8886-5B12E32E5673}"/>
    <cellStyle name="Style 99 3 11 2 2" xfId="39455" xr:uid="{B53FEA52-87FE-497C-B91F-7A75A4A13E4D}"/>
    <cellStyle name="Style 99 3 11 3" xfId="39454" xr:uid="{CA6BD7E2-1A3A-4880-857D-DA3277946957}"/>
    <cellStyle name="Style 99 3 12" xfId="21083" xr:uid="{22EF1276-7F52-4503-9299-EEFCF2DA73AF}"/>
    <cellStyle name="Style 99 3 12 2" xfId="21084" xr:uid="{17AEB386-9E05-43D4-8700-45918A16F4BF}"/>
    <cellStyle name="Style 99 3 12 2 2" xfId="39457" xr:uid="{2D11A70A-D4EE-40D7-A7F7-2C0D444614D3}"/>
    <cellStyle name="Style 99 3 12 3" xfId="39456" xr:uid="{2361DCAB-90E7-444B-86EE-033C7D660AD1}"/>
    <cellStyle name="Style 99 3 13" xfId="21085" xr:uid="{153F4DAD-6117-4478-8049-35BCFAC6D49A}"/>
    <cellStyle name="Style 99 3 13 2" xfId="39458" xr:uid="{078DC4DB-E9E4-44EE-85CD-45CA87F90ACF}"/>
    <cellStyle name="Style 99 3 14" xfId="21086" xr:uid="{82501D67-4CCA-4870-A58B-7254E0066A60}"/>
    <cellStyle name="Style 99 3 14 2" xfId="39459" xr:uid="{BCC2B2EF-0E08-426B-BDC4-86BCF8D061CD}"/>
    <cellStyle name="Style 99 3 2" xfId="3902" xr:uid="{E9AFB007-C398-4F4B-B4F1-8E8E7C890F4A}"/>
    <cellStyle name="Style 99 3 2 10" xfId="21087" xr:uid="{2C5216D8-546E-4D8D-A3C7-B00930C5FBDC}"/>
    <cellStyle name="Style 99 3 2 10 2" xfId="21088" xr:uid="{41757E25-A0EA-4C1E-9E49-001C51D42D90}"/>
    <cellStyle name="Style 99 3 2 10 2 2" xfId="39461" xr:uid="{6E77CEDF-4F0C-448D-960D-3FAC4DE24A4E}"/>
    <cellStyle name="Style 99 3 2 10 3" xfId="39460" xr:uid="{684F8560-A2A4-4169-8CBE-26A9A0129D59}"/>
    <cellStyle name="Style 99 3 2 11" xfId="21089" xr:uid="{4B761C37-78F6-48BC-BD48-3CD17B0237BD}"/>
    <cellStyle name="Style 99 3 2 11 2" xfId="21090" xr:uid="{974DB4E4-6E52-41C0-8FFF-C37E80449A3D}"/>
    <cellStyle name="Style 99 3 2 11 2 2" xfId="39463" xr:uid="{802D1911-AEF1-4684-A01F-E87DDCFA69B7}"/>
    <cellStyle name="Style 99 3 2 11 3" xfId="39462" xr:uid="{3CA650D0-CB39-4B40-9588-33F2118B3FCD}"/>
    <cellStyle name="Style 99 3 2 12" xfId="21091" xr:uid="{0181079F-580D-4EDD-995A-FA41CAE63994}"/>
    <cellStyle name="Style 99 3 2 12 2" xfId="39464" xr:uid="{65AF16BB-2F13-401D-94C0-122D48564FA6}"/>
    <cellStyle name="Style 99 3 2 13" xfId="21092" xr:uid="{D7B62EF4-410E-4718-85D8-8EE7B4CC6792}"/>
    <cellStyle name="Style 99 3 2 13 2" xfId="39465" xr:uid="{4996E501-5571-4099-BDCB-F0116EA0887B}"/>
    <cellStyle name="Style 99 3 2 2" xfId="3903" xr:uid="{B9AAB56F-B0D9-4D08-A3D2-B0D0C603166A}"/>
    <cellStyle name="Style 99 3 2 2 10" xfId="21093" xr:uid="{42E914F1-7B5C-4843-8705-E11054B04D19}"/>
    <cellStyle name="Style 99 3 2 2 10 2" xfId="21094" xr:uid="{945A6A27-59E3-4D10-B954-2688B29CA802}"/>
    <cellStyle name="Style 99 3 2 2 10 2 2" xfId="39467" xr:uid="{76944F60-1E0B-49A9-AF36-E8FF7AC5F4C6}"/>
    <cellStyle name="Style 99 3 2 2 10 3" xfId="39466" xr:uid="{0547092F-1F51-4412-980B-DE0DFBBEDE9D}"/>
    <cellStyle name="Style 99 3 2 2 11" xfId="21095" xr:uid="{672FDFFA-7EFF-4E8C-9FF0-E8580F7DF155}"/>
    <cellStyle name="Style 99 3 2 2 11 2" xfId="39468" xr:uid="{7E977D7B-BEDD-4294-8A8A-902937484ADE}"/>
    <cellStyle name="Style 99 3 2 2 12" xfId="21096" xr:uid="{04EC80B3-3B27-4C7F-8C70-4313AEE7799C}"/>
    <cellStyle name="Style 99 3 2 2 12 2" xfId="39469" xr:uid="{CD2899E9-9DE6-4693-AA5D-60A4CF77D231}"/>
    <cellStyle name="Style 99 3 2 2 2" xfId="3904" xr:uid="{3886CE02-0699-4892-991C-A8E7A2A008A2}"/>
    <cellStyle name="Style 99 3 2 2 2 10" xfId="21097" xr:uid="{C978F54B-D3AC-4E70-89EC-08849C659ED4}"/>
    <cellStyle name="Style 99 3 2 2 2 10 2" xfId="39470" xr:uid="{79AD3A25-719A-47B1-83BD-A61BE0AA0B01}"/>
    <cellStyle name="Style 99 3 2 2 2 11" xfId="21098" xr:uid="{85353595-9C16-4573-BCA4-F5224A49BD38}"/>
    <cellStyle name="Style 99 3 2 2 2 11 2" xfId="39471" xr:uid="{044ED8C1-FC80-4734-A942-FE0F120F37FC}"/>
    <cellStyle name="Style 99 3 2 2 2 12" xfId="24300" xr:uid="{162C6039-D665-41F8-BCD3-A225EB2478AE}"/>
    <cellStyle name="Style 99 3 2 2 2 2" xfId="3905" xr:uid="{A4674D99-24F1-406B-A33F-F0045C24F754}"/>
    <cellStyle name="Style 99 3 2 2 2 2 2" xfId="7883" xr:uid="{50BBB0E6-1B6C-4B2A-B4A2-391404031B92}"/>
    <cellStyle name="Style 99 3 2 2 2 2 2 2" xfId="21099" xr:uid="{C2EA62AE-DCB0-4C19-8B7F-0C7CE561BF46}"/>
    <cellStyle name="Style 99 3 2 2 2 2 2 2 2" xfId="21100" xr:uid="{9BB6BC5C-2756-4298-89FB-77942E2B8EC3}"/>
    <cellStyle name="Style 99 3 2 2 2 2 2 2 2 2" xfId="39473" xr:uid="{E6FD04F5-5C88-41E6-9804-9A9A925AE7FF}"/>
    <cellStyle name="Style 99 3 2 2 2 2 2 2 3" xfId="39472" xr:uid="{B0F5A699-6083-49E3-B906-D4BDE1A7D7D3}"/>
    <cellStyle name="Style 99 3 2 2 2 2 2 3" xfId="21101" xr:uid="{1A0C6D90-2944-4EC1-A635-584AB67200F9}"/>
    <cellStyle name="Style 99 3 2 2 2 2 2 3 2" xfId="21102" xr:uid="{67B12A47-0130-4B6B-A910-13BF6A1759C7}"/>
    <cellStyle name="Style 99 3 2 2 2 2 2 3 2 2" xfId="39475" xr:uid="{9243F098-9C30-41AE-9436-A129D0C23FC7}"/>
    <cellStyle name="Style 99 3 2 2 2 2 2 3 3" xfId="39474" xr:uid="{8FDEFADB-6B58-4EEF-BAB2-E329C6C8C0B2}"/>
    <cellStyle name="Style 99 3 2 2 2 2 2 4" xfId="21103" xr:uid="{E87408EA-8337-41A7-BE10-594B8035DA1D}"/>
    <cellStyle name="Style 99 3 2 2 2 2 2 4 2" xfId="21104" xr:uid="{7AC46ECC-3631-4003-8AD2-67F4EFD22F3E}"/>
    <cellStyle name="Style 99 3 2 2 2 2 2 4 2 2" xfId="39477" xr:uid="{E62B1070-1FF2-43A0-92C1-0382B4D59AD0}"/>
    <cellStyle name="Style 99 3 2 2 2 2 2 4 3" xfId="39476" xr:uid="{A475EC7D-E18E-4DFC-9D78-D5F06BA90A88}"/>
    <cellStyle name="Style 99 3 2 2 2 2 2 5" xfId="21105" xr:uid="{05658A76-4B66-44BD-94FB-50B6E1258228}"/>
    <cellStyle name="Style 99 3 2 2 2 2 2 5 2" xfId="21106" xr:uid="{78B20BA3-E4DC-4629-91B8-ED69B3B33758}"/>
    <cellStyle name="Style 99 3 2 2 2 2 2 5 2 2" xfId="39479" xr:uid="{CA0C272F-5BEF-4DAD-A698-8F8B46D359A3}"/>
    <cellStyle name="Style 99 3 2 2 2 2 2 5 3" xfId="39478" xr:uid="{74BADB36-7926-4F81-9031-3553AE00BBEA}"/>
    <cellStyle name="Style 99 3 2 2 2 2 2 6" xfId="21107" xr:uid="{EDE8BF77-C2DF-45CC-8B65-A35BDD0529AA}"/>
    <cellStyle name="Style 99 3 2 2 2 2 2 6 2" xfId="39480" xr:uid="{BF9EF68A-5251-4E9F-9443-441D1EE4DB26}"/>
    <cellStyle name="Style 99 3 2 2 2 2 2 7" xfId="21108" xr:uid="{04226AE0-760A-4195-AD71-F5F218A99DD7}"/>
    <cellStyle name="Style 99 3 2 2 2 2 2 7 2" xfId="39481" xr:uid="{68D65A80-E794-46E2-96E2-FA5154AA65CB}"/>
    <cellStyle name="Style 99 3 2 2 2 2 2 8" xfId="26208" xr:uid="{AF55FDAB-EBF7-4196-B741-4C51102B5D58}"/>
    <cellStyle name="Style 99 3 2 2 2 2 3" xfId="21109" xr:uid="{0501AAF2-1333-486B-A5FD-E93819392904}"/>
    <cellStyle name="Style 99 3 2 2 2 2 3 2" xfId="21110" xr:uid="{DF4B2826-9509-4131-A36E-A3AAF8BCC5E7}"/>
    <cellStyle name="Style 99 3 2 2 2 2 3 2 2" xfId="39482" xr:uid="{07D60CC6-38EE-4D33-841E-E11584D5E510}"/>
    <cellStyle name="Style 99 3 2 2 2 2 3 3" xfId="21111" xr:uid="{669B5634-B277-4232-973B-5AA994CAED6C}"/>
    <cellStyle name="Style 99 3 2 2 2 2 3 3 2" xfId="39483" xr:uid="{17AD2597-8410-48F4-93F3-AE1B4B2117EC}"/>
    <cellStyle name="Style 99 3 2 2 2 2 4" xfId="21112" xr:uid="{FB10D31C-1F0D-47CC-9E37-EC4F7C33002B}"/>
    <cellStyle name="Style 99 3 2 2 2 2 4 2" xfId="21113" xr:uid="{8A4C3D3E-FCE2-428C-BD7A-8D34C8EFA001}"/>
    <cellStyle name="Style 99 3 2 2 2 2 4 2 2" xfId="39485" xr:uid="{80573523-7A6E-4EA3-B9BA-C154E53D2D6C}"/>
    <cellStyle name="Style 99 3 2 2 2 2 4 3" xfId="39484" xr:uid="{29292C22-E750-47A5-8F94-3A0E00AE7FAC}"/>
    <cellStyle name="Style 99 3 2 2 2 2 5" xfId="21114" xr:uid="{D7D7F868-121A-44B0-8B02-99AD2A326DF2}"/>
    <cellStyle name="Style 99 3 2 2 2 2 5 2" xfId="21115" xr:uid="{AF0A3634-3E1F-46DB-8F98-0062812D28DB}"/>
    <cellStyle name="Style 99 3 2 2 2 2 5 2 2" xfId="39487" xr:uid="{3C1FDD6B-5636-45A0-A467-F6D3326B8AFA}"/>
    <cellStyle name="Style 99 3 2 2 2 2 5 3" xfId="39486" xr:uid="{8DAC722E-E8D8-4A7E-9064-BE581FD1B855}"/>
    <cellStyle name="Style 99 3 2 2 2 2 6" xfId="21116" xr:uid="{8DC4681B-588B-4E81-84AD-3D86AD0EB66C}"/>
    <cellStyle name="Style 99 3 2 2 2 2 6 2" xfId="21117" xr:uid="{1ABFB101-5B5C-44B1-88D2-628E8A1B3CFE}"/>
    <cellStyle name="Style 99 3 2 2 2 2 6 2 2" xfId="39489" xr:uid="{38CA70A4-1E27-4D91-A0A7-CD1BC1AA0585}"/>
    <cellStyle name="Style 99 3 2 2 2 2 6 3" xfId="39488" xr:uid="{D08E9A0E-31D2-494C-A4DF-FA69BB94ACCE}"/>
    <cellStyle name="Style 99 3 2 2 2 2 7" xfId="21118" xr:uid="{F1E0156E-F040-4688-9ECC-CBE360E54B4D}"/>
    <cellStyle name="Style 99 3 2 2 2 2 7 2" xfId="21119" xr:uid="{276D351D-31F9-4E65-A849-CA00995B58F2}"/>
    <cellStyle name="Style 99 3 2 2 2 2 7 2 2" xfId="39491" xr:uid="{795F5713-6BFC-4240-BABC-D05B894C8CCA}"/>
    <cellStyle name="Style 99 3 2 2 2 2 7 3" xfId="39490" xr:uid="{8BBF00ED-5E7D-4DC8-B273-96E1E1A6F2E2}"/>
    <cellStyle name="Style 99 3 2 2 2 2 8" xfId="21120" xr:uid="{5062293C-A500-4EB0-BD13-5CF7157D23FF}"/>
    <cellStyle name="Style 99 3 2 2 2 2 8 2" xfId="39492" xr:uid="{1E37B04D-7C8E-405A-91D8-4125E670A367}"/>
    <cellStyle name="Style 99 3 2 2 2 2 9" xfId="21121" xr:uid="{C3DF5581-9169-46AF-A429-8C5C8F16FC2B}"/>
    <cellStyle name="Style 99 3 2 2 2 2 9 2" xfId="39493" xr:uid="{06FF9CC0-7F2B-4C03-84A5-206E8FBF2448}"/>
    <cellStyle name="Style 99 3 2 2 2 3" xfId="7882" xr:uid="{8B412049-6FEE-4971-9C26-54C0FB72EA6B}"/>
    <cellStyle name="Style 99 3 2 2 2 3 2" xfId="21122" xr:uid="{D150F046-B978-4C1D-92DA-6327BF530CB6}"/>
    <cellStyle name="Style 99 3 2 2 2 3 2 2" xfId="21123" xr:uid="{CE5ED6FA-1333-4ED3-8D72-30FFF0BA692B}"/>
    <cellStyle name="Style 99 3 2 2 2 3 2 2 2" xfId="39495" xr:uid="{F7047AD4-20FB-4EA9-BAB4-6C5529823F31}"/>
    <cellStyle name="Style 99 3 2 2 2 3 2 3" xfId="39494" xr:uid="{7F674DC5-F39D-44BC-BE7B-D39710B6AF0B}"/>
    <cellStyle name="Style 99 3 2 2 2 3 3" xfId="21124" xr:uid="{F5FBA21F-8538-4EB3-867B-621BF1201F3E}"/>
    <cellStyle name="Style 99 3 2 2 2 3 3 2" xfId="21125" xr:uid="{943D7C2B-0469-41CA-AFAE-CDA30AF6856F}"/>
    <cellStyle name="Style 99 3 2 2 2 3 3 2 2" xfId="39497" xr:uid="{66543135-4767-4B98-BB09-057340D51FE2}"/>
    <cellStyle name="Style 99 3 2 2 2 3 3 3" xfId="39496" xr:uid="{6934F838-2CA6-4E83-A008-578EBA7AE0AD}"/>
    <cellStyle name="Style 99 3 2 2 2 3 4" xfId="21126" xr:uid="{6E861018-5BC4-4E7C-A8B4-638E6BDA9E29}"/>
    <cellStyle name="Style 99 3 2 2 2 3 4 2" xfId="21127" xr:uid="{F9C758E4-B770-4B05-A029-87020F65D272}"/>
    <cellStyle name="Style 99 3 2 2 2 3 4 2 2" xfId="39499" xr:uid="{2F2B66EE-8351-48BF-9386-AFFAB8E0DF9C}"/>
    <cellStyle name="Style 99 3 2 2 2 3 4 3" xfId="39498" xr:uid="{D2228D7D-374D-41EB-97D0-90ABCC5B05C5}"/>
    <cellStyle name="Style 99 3 2 2 2 3 5" xfId="21128" xr:uid="{24D9D812-5BE9-4ECA-A9AA-0A349BCB71BC}"/>
    <cellStyle name="Style 99 3 2 2 2 3 5 2" xfId="21129" xr:uid="{0329DAD0-128E-4899-ABA6-DBCC8818FD10}"/>
    <cellStyle name="Style 99 3 2 2 2 3 5 2 2" xfId="39501" xr:uid="{92C28BF8-8DF8-449C-8663-6A9BB0B5BA36}"/>
    <cellStyle name="Style 99 3 2 2 2 3 5 3" xfId="39500" xr:uid="{36428BC6-8741-4CC1-92FA-545A2272AE98}"/>
    <cellStyle name="Style 99 3 2 2 2 3 6" xfId="21130" xr:uid="{A53EBCAB-B99D-46B2-BB88-B9D06944E57F}"/>
    <cellStyle name="Style 99 3 2 2 2 3 6 2" xfId="39502" xr:uid="{BAE965E6-BE69-48DF-AA39-3BEAEDFD6245}"/>
    <cellStyle name="Style 99 3 2 2 2 3 7" xfId="21131" xr:uid="{96BBFD4D-8D17-42C3-9A5D-235C9B7771AE}"/>
    <cellStyle name="Style 99 3 2 2 2 3 7 2" xfId="39503" xr:uid="{130BA62E-3B2A-457F-A31A-F5F3F3968ACF}"/>
    <cellStyle name="Style 99 3 2 2 2 3 8" xfId="26207" xr:uid="{7E384E0C-0053-4DB7-BFE7-6EA6A4E8979B}"/>
    <cellStyle name="Style 99 3 2 2 2 4" xfId="21132" xr:uid="{6E159499-BE84-4FCF-B2F1-D517D9CC07F8}"/>
    <cellStyle name="Style 99 3 2 2 2 4 2" xfId="21133" xr:uid="{64C0071E-B9B0-48A7-9CC4-AE1A307BEA7C}"/>
    <cellStyle name="Style 99 3 2 2 2 4 2 2" xfId="39504" xr:uid="{3A4145D8-EFBB-4312-BB2C-0500628073FF}"/>
    <cellStyle name="Style 99 3 2 2 2 4 3" xfId="21134" xr:uid="{43EA7E8C-0440-4926-BCA9-1668E8BCB59A}"/>
    <cellStyle name="Style 99 3 2 2 2 4 3 2" xfId="39505" xr:uid="{6797B994-D260-4048-88EB-690497D1112F}"/>
    <cellStyle name="Style 99 3 2 2 2 5" xfId="21135" xr:uid="{84361B7E-7FB4-49AE-A0CC-7C4297A553E3}"/>
    <cellStyle name="Style 99 3 2 2 2 5 2" xfId="21136" xr:uid="{2CBA0317-033B-45C3-8DCE-628B9CBEEAA5}"/>
    <cellStyle name="Style 99 3 2 2 2 5 2 2" xfId="39507" xr:uid="{49905D74-A9E2-4B65-9D6C-44A85D47049D}"/>
    <cellStyle name="Style 99 3 2 2 2 5 3" xfId="39506" xr:uid="{99AA386E-8242-4ACA-A27E-968DEE2B1E3C}"/>
    <cellStyle name="Style 99 3 2 2 2 6" xfId="21137" xr:uid="{5C5552D5-7DD7-4790-82EC-6752A654DC9C}"/>
    <cellStyle name="Style 99 3 2 2 2 6 2" xfId="21138" xr:uid="{7BA0F79F-1BCD-4885-B02D-0004D6177CE8}"/>
    <cellStyle name="Style 99 3 2 2 2 6 2 2" xfId="39509" xr:uid="{7B1313C3-6F44-4DBB-9458-701B22D9D832}"/>
    <cellStyle name="Style 99 3 2 2 2 6 3" xfId="39508" xr:uid="{35BD5879-D4D4-4CA0-8D22-F8E84AE85E2B}"/>
    <cellStyle name="Style 99 3 2 2 2 7" xfId="21139" xr:uid="{FB4B8AD4-E0A3-464B-A07A-E4F946D54EA4}"/>
    <cellStyle name="Style 99 3 2 2 2 7 2" xfId="21140" xr:uid="{0F8A647E-0C2A-4AFA-8119-49CFD267CE43}"/>
    <cellStyle name="Style 99 3 2 2 2 7 2 2" xfId="39511" xr:uid="{A6B365C8-BEBC-4026-BA9C-437663D42E93}"/>
    <cellStyle name="Style 99 3 2 2 2 7 3" xfId="39510" xr:uid="{ABC04332-791D-4230-A3C4-36A7F690BF0B}"/>
    <cellStyle name="Style 99 3 2 2 2 8" xfId="21141" xr:uid="{4ED36D47-D27F-4AE4-AC2D-B4802163E10E}"/>
    <cellStyle name="Style 99 3 2 2 2 8 2" xfId="21142" xr:uid="{4B6A58EF-3FAF-4FD2-9951-E31238012E0C}"/>
    <cellStyle name="Style 99 3 2 2 2 8 2 2" xfId="39513" xr:uid="{1296E0D1-C8E4-4A39-93AB-8C739D4C0A28}"/>
    <cellStyle name="Style 99 3 2 2 2 8 3" xfId="39512" xr:uid="{A93B376D-8DC2-4C1D-9976-D3E7DC78282E}"/>
    <cellStyle name="Style 99 3 2 2 2 9" xfId="21143" xr:uid="{1CB1B2A0-568B-4722-B0A0-F09F75A21251}"/>
    <cellStyle name="Style 99 3 2 2 2 9 2" xfId="21144" xr:uid="{72EE0328-3F97-4BF8-B30D-E6112CB110B2}"/>
    <cellStyle name="Style 99 3 2 2 2 9 2 2" xfId="39515" xr:uid="{28E8D9AA-BA85-47E5-A4FB-21D0291169CA}"/>
    <cellStyle name="Style 99 3 2 2 2 9 3" xfId="39514" xr:uid="{72792907-74FD-4AA1-B932-A6C6E07022CE}"/>
    <cellStyle name="Style 99 3 2 2 3" xfId="3906" xr:uid="{A444258F-B1BA-4A18-8C66-072F858FCBBC}"/>
    <cellStyle name="Style 99 3 2 2 3 2" xfId="7884" xr:uid="{0E7EBD07-FB41-477D-82DD-EC245C509D84}"/>
    <cellStyle name="Style 99 3 2 2 3 2 2" xfId="21145" xr:uid="{40E46E0B-3E60-4657-A77D-C2464A002A2A}"/>
    <cellStyle name="Style 99 3 2 2 3 2 2 2" xfId="21146" xr:uid="{B4A4D60A-5F4F-4424-99AA-B78450932853}"/>
    <cellStyle name="Style 99 3 2 2 3 2 2 2 2" xfId="39517" xr:uid="{F5E9AFD5-370B-49AA-B2A9-1DAD04EA9791}"/>
    <cellStyle name="Style 99 3 2 2 3 2 2 3" xfId="39516" xr:uid="{3D2F516E-1D96-4FB0-A88A-C5179025AC15}"/>
    <cellStyle name="Style 99 3 2 2 3 2 3" xfId="21147" xr:uid="{D4437603-790E-454D-A14A-BB96BB8AD79E}"/>
    <cellStyle name="Style 99 3 2 2 3 2 3 2" xfId="21148" xr:uid="{C52A4A93-6131-4C97-B3F9-5A79F365CBD3}"/>
    <cellStyle name="Style 99 3 2 2 3 2 3 2 2" xfId="39519" xr:uid="{6EAF6B2A-0C84-4FEC-BC63-59CCC48FB72C}"/>
    <cellStyle name="Style 99 3 2 2 3 2 3 3" xfId="39518" xr:uid="{14F0A218-8421-4A5E-BEA7-A620AC42BDF8}"/>
    <cellStyle name="Style 99 3 2 2 3 2 4" xfId="21149" xr:uid="{82E27CC2-AB18-4AE3-A3A2-AD906EB8A943}"/>
    <cellStyle name="Style 99 3 2 2 3 2 4 2" xfId="21150" xr:uid="{426A8B3A-2A5C-4BF9-8114-0424122C57C6}"/>
    <cellStyle name="Style 99 3 2 2 3 2 4 2 2" xfId="39521" xr:uid="{5AA85745-D6F9-42B4-9F1B-1DD228DEF579}"/>
    <cellStyle name="Style 99 3 2 2 3 2 4 3" xfId="39520" xr:uid="{CF9968A8-6AB8-4DE0-9326-5585E7A4703D}"/>
    <cellStyle name="Style 99 3 2 2 3 2 5" xfId="21151" xr:uid="{02440E95-C78B-4747-9288-3F2F20234D55}"/>
    <cellStyle name="Style 99 3 2 2 3 2 5 2" xfId="21152" xr:uid="{636EA866-9408-44EF-A397-50A5A88998FF}"/>
    <cellStyle name="Style 99 3 2 2 3 2 5 2 2" xfId="39523" xr:uid="{26F36773-E68D-4632-BAF2-031F935ED466}"/>
    <cellStyle name="Style 99 3 2 2 3 2 5 3" xfId="39522" xr:uid="{BABCE503-6CAE-4F63-91BE-F216F27FC7CD}"/>
    <cellStyle name="Style 99 3 2 2 3 2 6" xfId="21153" xr:uid="{5D146F1C-33E5-41A3-873E-6F7495702427}"/>
    <cellStyle name="Style 99 3 2 2 3 2 6 2" xfId="39524" xr:uid="{A0187510-E83F-403B-AC2E-1CB39819B729}"/>
    <cellStyle name="Style 99 3 2 2 3 2 7" xfId="21154" xr:uid="{D91198E1-8751-4989-ADF2-90A8B33442D4}"/>
    <cellStyle name="Style 99 3 2 2 3 2 7 2" xfId="39525" xr:uid="{4D42582A-D654-4975-8AC4-5822258899EF}"/>
    <cellStyle name="Style 99 3 2 2 3 2 8" xfId="26209" xr:uid="{EA2CF806-E018-4C9E-A662-C776AC9112A0}"/>
    <cellStyle name="Style 99 3 2 2 3 3" xfId="21155" xr:uid="{3DAACECA-0404-43DE-9588-899F21250DEE}"/>
    <cellStyle name="Style 99 3 2 2 3 3 2" xfId="21156" xr:uid="{DF6ACA7E-9F06-46CA-B60E-C6E2E80E68F2}"/>
    <cellStyle name="Style 99 3 2 2 3 3 2 2" xfId="39526" xr:uid="{ABE2F076-25A2-405D-9FB8-A1D198BA0F8B}"/>
    <cellStyle name="Style 99 3 2 2 3 3 3" xfId="21157" xr:uid="{2834E4F8-EAA7-4001-B8AB-615B29C70586}"/>
    <cellStyle name="Style 99 3 2 2 3 3 3 2" xfId="39527" xr:uid="{3DA7744B-F468-4C57-BE0A-B13ED488847C}"/>
    <cellStyle name="Style 99 3 2 2 3 4" xfId="21158" xr:uid="{2CD16A21-EE20-4F58-BE0D-882A3F764607}"/>
    <cellStyle name="Style 99 3 2 2 3 4 2" xfId="21159" xr:uid="{1BF36834-4ADD-42A1-AB2C-84235D2C0766}"/>
    <cellStyle name="Style 99 3 2 2 3 4 2 2" xfId="39529" xr:uid="{E1B43298-A0AB-4A50-AB84-02EAA7DCECDD}"/>
    <cellStyle name="Style 99 3 2 2 3 4 3" xfId="39528" xr:uid="{FD502D76-9CC6-4307-A30D-154265576D30}"/>
    <cellStyle name="Style 99 3 2 2 3 5" xfId="21160" xr:uid="{E6C12892-9DBD-4A85-A380-EA8440C73F7C}"/>
    <cellStyle name="Style 99 3 2 2 3 5 2" xfId="21161" xr:uid="{9BABEC00-104E-457A-84B6-94C4E624032F}"/>
    <cellStyle name="Style 99 3 2 2 3 5 2 2" xfId="39531" xr:uid="{796B9438-C42F-4B61-BC23-3DB229D6B668}"/>
    <cellStyle name="Style 99 3 2 2 3 5 3" xfId="39530" xr:uid="{48D63E22-C078-4BA2-9140-1B342DBC5FB9}"/>
    <cellStyle name="Style 99 3 2 2 3 6" xfId="21162" xr:uid="{BB6B1CCD-7797-4514-B5F5-453BBE198DC8}"/>
    <cellStyle name="Style 99 3 2 2 3 6 2" xfId="21163" xr:uid="{B5D473F9-65AC-4BE3-A163-F26212112803}"/>
    <cellStyle name="Style 99 3 2 2 3 6 2 2" xfId="39533" xr:uid="{F73740CE-3A1F-4271-B0F3-A56B9534C67A}"/>
    <cellStyle name="Style 99 3 2 2 3 6 3" xfId="39532" xr:uid="{63BE624A-C413-4554-A343-1894155F8109}"/>
    <cellStyle name="Style 99 3 2 2 3 7" xfId="21164" xr:uid="{B6ED4F2B-A1E8-4059-BDA3-AB02D1A9CFC6}"/>
    <cellStyle name="Style 99 3 2 2 3 7 2" xfId="21165" xr:uid="{BEBD9905-0953-4BF8-9881-35C441590F27}"/>
    <cellStyle name="Style 99 3 2 2 3 7 2 2" xfId="39535" xr:uid="{48F904A4-5338-4A9C-A9FB-B58FEADA8DBB}"/>
    <cellStyle name="Style 99 3 2 2 3 7 3" xfId="39534" xr:uid="{6E70C0AA-E932-49AC-A60D-F04A5A983A57}"/>
    <cellStyle name="Style 99 3 2 2 3 8" xfId="21166" xr:uid="{AF4BD5DE-DC13-4A20-A1DE-BC3983621097}"/>
    <cellStyle name="Style 99 3 2 2 3 8 2" xfId="39536" xr:uid="{D3AE7977-ECA8-429D-8CAE-8F201C9A171F}"/>
    <cellStyle name="Style 99 3 2 2 3 9" xfId="21167" xr:uid="{E0AA04E1-91B7-4468-85C5-184DB7F32E2B}"/>
    <cellStyle name="Style 99 3 2 2 3 9 2" xfId="39537" xr:uid="{E880EA90-FA18-48C6-B444-F1A41C7D596D}"/>
    <cellStyle name="Style 99 3 2 2 4" xfId="4237" xr:uid="{5773308E-07F3-4B50-8394-A041BEA49B7A}"/>
    <cellStyle name="Style 99 3 2 2 4 2" xfId="21168" xr:uid="{9F4F2FAB-D745-45CB-BB20-92708BC6BC38}"/>
    <cellStyle name="Style 99 3 2 2 4 2 2" xfId="21169" xr:uid="{9DAB7F4C-FC34-4FD8-9987-DA2E02421232}"/>
    <cellStyle name="Style 99 3 2 2 4 2 2 2" xfId="39538" xr:uid="{DE87B2A5-2406-436A-A951-531004C36807}"/>
    <cellStyle name="Style 99 3 2 2 4 2 3" xfId="21170" xr:uid="{E2677A86-FD4F-4E8B-8C25-85838BF64F42}"/>
    <cellStyle name="Style 99 3 2 2 4 2 3 2" xfId="39539" xr:uid="{C8D6D197-9ED0-4D94-A3CD-514686A3F7D0}"/>
    <cellStyle name="Style 99 3 2 2 4 3" xfId="21171" xr:uid="{122CDD1C-8D98-481D-9091-C7526DCD0B78}"/>
    <cellStyle name="Style 99 3 2 2 4 3 2" xfId="21172" xr:uid="{6A7753F3-01CF-4EB0-B8A1-4D09E8412B51}"/>
    <cellStyle name="Style 99 3 2 2 4 3 2 2" xfId="39541" xr:uid="{0B2F5BAA-E2F5-4997-AF20-0738EDE260FB}"/>
    <cellStyle name="Style 99 3 2 2 4 3 3" xfId="39540" xr:uid="{7EE85512-AD3A-4C00-B9DA-64A66BA8EFB3}"/>
    <cellStyle name="Style 99 3 2 2 4 4" xfId="21173" xr:uid="{462D91A7-D133-449F-AB04-2A6F8CD2E10E}"/>
    <cellStyle name="Style 99 3 2 2 4 4 2" xfId="21174" xr:uid="{FF77BC3E-C70B-45EA-8D8E-69BD95F5845A}"/>
    <cellStyle name="Style 99 3 2 2 4 4 2 2" xfId="39543" xr:uid="{F8317C62-5478-4599-AEA3-68F3D170F851}"/>
    <cellStyle name="Style 99 3 2 2 4 4 3" xfId="39542" xr:uid="{B0DA1A0F-47EC-41E9-BDF9-838657FA3164}"/>
    <cellStyle name="Style 99 3 2 2 4 5" xfId="21175" xr:uid="{67B5363D-179A-44D1-A165-8571A6456DAE}"/>
    <cellStyle name="Style 99 3 2 2 4 5 2" xfId="21176" xr:uid="{503E0C14-9344-4145-919C-DF78FD30DC1C}"/>
    <cellStyle name="Style 99 3 2 2 4 5 2 2" xfId="39545" xr:uid="{80BFC6F2-CD5A-4A01-8892-499040ACD159}"/>
    <cellStyle name="Style 99 3 2 2 4 5 3" xfId="39544" xr:uid="{007A5F88-5C07-47FB-9F68-68B32F673621}"/>
    <cellStyle name="Style 99 3 2 2 4 6" xfId="21177" xr:uid="{68CA767E-BEA9-4412-8B4E-C10A259EAFAE}"/>
    <cellStyle name="Style 99 3 2 2 4 6 2" xfId="39546" xr:uid="{2FA5206D-5997-4FB2-A232-C4CD18A2D05C}"/>
    <cellStyle name="Style 99 3 2 2 4 7" xfId="21178" xr:uid="{69743EDC-01D0-412B-A914-44D6570EA605}"/>
    <cellStyle name="Style 99 3 2 2 4 7 2" xfId="39547" xr:uid="{EDCC02EB-D6E4-40BB-B1CF-735D09CC420A}"/>
    <cellStyle name="Style 99 3 2 2 4 8" xfId="26206" xr:uid="{0099A56E-FBC1-4252-9C2F-B76E03BEC920}"/>
    <cellStyle name="Style 99 3 2 2 5" xfId="7881" xr:uid="{451782A7-AD44-439B-B556-ACDF08EEF817}"/>
    <cellStyle name="Style 99 3 2 2 5 2" xfId="21179" xr:uid="{549E51D9-0A4F-478D-A283-A5D1E705207A}"/>
    <cellStyle name="Style 99 3 2 2 5 2 2" xfId="39548" xr:uid="{C89D3ECD-6CF3-4A69-8297-216B82ED82B2}"/>
    <cellStyle name="Style 99 3 2 2 5 3" xfId="21180" xr:uid="{79E576F8-B94A-47D7-96C0-926F68E01980}"/>
    <cellStyle name="Style 99 3 2 2 5 3 2" xfId="39549" xr:uid="{E769FA61-C4A1-4061-8FC9-AFC20AD6BB9A}"/>
    <cellStyle name="Style 99 3 2 2 6" xfId="21181" xr:uid="{4E1A156C-C338-454A-AB3D-88EF49286AE4}"/>
    <cellStyle name="Style 99 3 2 2 6 2" xfId="21182" xr:uid="{5FCA0C46-B7E9-4DAA-B80B-15321BF75C61}"/>
    <cellStyle name="Style 99 3 2 2 6 2 2" xfId="39551" xr:uid="{4120A543-CC0C-49EA-A68F-6F2D6873B77D}"/>
    <cellStyle name="Style 99 3 2 2 6 3" xfId="39550" xr:uid="{7B48163B-8A1D-4919-B1C9-E4F974DA516A}"/>
    <cellStyle name="Style 99 3 2 2 7" xfId="21183" xr:uid="{26EB8003-A85B-490A-AB81-ECC969A295FA}"/>
    <cellStyle name="Style 99 3 2 2 7 2" xfId="21184" xr:uid="{B2756528-F21B-496F-AFCC-E125BE725CF0}"/>
    <cellStyle name="Style 99 3 2 2 7 2 2" xfId="39553" xr:uid="{B1D1CEB3-2CAC-4917-A7C2-35D53CDF5282}"/>
    <cellStyle name="Style 99 3 2 2 7 3" xfId="39552" xr:uid="{9F9D49CB-871D-43AB-B5CB-BC590C1ED03F}"/>
    <cellStyle name="Style 99 3 2 2 8" xfId="21185" xr:uid="{B1000C9B-245A-4E4E-BDD1-9C456FC950F6}"/>
    <cellStyle name="Style 99 3 2 2 8 2" xfId="21186" xr:uid="{CB74A8B3-CF8F-44C8-9266-B3C7286EF867}"/>
    <cellStyle name="Style 99 3 2 2 8 2 2" xfId="39555" xr:uid="{45B025AC-18DD-4C2A-95CD-448646D298F6}"/>
    <cellStyle name="Style 99 3 2 2 8 3" xfId="39554" xr:uid="{15526623-8F06-4372-90CC-17533F28727E}"/>
    <cellStyle name="Style 99 3 2 2 9" xfId="21187" xr:uid="{1CA41029-23FA-41A5-A3B5-12C928D05278}"/>
    <cellStyle name="Style 99 3 2 2 9 2" xfId="21188" xr:uid="{D15C64E5-433E-46B6-A5FC-FC674E230D93}"/>
    <cellStyle name="Style 99 3 2 2 9 2 2" xfId="39557" xr:uid="{5EF58994-011D-44F5-9433-F6BA775A44D5}"/>
    <cellStyle name="Style 99 3 2 2 9 3" xfId="39556" xr:uid="{3E949864-252F-4ABC-9569-344168169765}"/>
    <cellStyle name="Style 99 3 2 3" xfId="3907" xr:uid="{E25D2DCE-688C-4FA6-8E01-2D6598A295C3}"/>
    <cellStyle name="Style 99 3 2 3 10" xfId="21189" xr:uid="{F215CA94-77B6-48BE-AE26-49493F7E650F}"/>
    <cellStyle name="Style 99 3 2 3 10 2" xfId="39558" xr:uid="{E512C26A-A1B4-4CEB-A0B9-66CC13BD2C41}"/>
    <cellStyle name="Style 99 3 2 3 11" xfId="21190" xr:uid="{E5969FDA-6D8D-41B6-BDFD-35D704272B86}"/>
    <cellStyle name="Style 99 3 2 3 11 2" xfId="39559" xr:uid="{540A53AA-0776-4479-B12D-213EFB77CB95}"/>
    <cellStyle name="Style 99 3 2 3 12" xfId="24301" xr:uid="{7A844084-CB5C-4357-AA4F-E92D08ED745E}"/>
    <cellStyle name="Style 99 3 2 3 2" xfId="3908" xr:uid="{A3D5DB43-9D61-4A42-9EC7-00563424551C}"/>
    <cellStyle name="Style 99 3 2 3 2 2" xfId="7886" xr:uid="{EDB41282-36FF-49A1-91EB-21771A8861F9}"/>
    <cellStyle name="Style 99 3 2 3 2 2 2" xfId="21191" xr:uid="{5970FB9F-4C9D-42CB-B9A2-A5150921373A}"/>
    <cellStyle name="Style 99 3 2 3 2 2 2 2" xfId="21192" xr:uid="{08214CFA-DE32-48DC-A12C-7F2FB3C43FC7}"/>
    <cellStyle name="Style 99 3 2 3 2 2 2 2 2" xfId="39561" xr:uid="{5B9F5939-EF44-4856-9803-B922A47CBAD4}"/>
    <cellStyle name="Style 99 3 2 3 2 2 2 3" xfId="39560" xr:uid="{0639CFA4-E3DF-4DC6-AF6F-2C15BDCFE9E7}"/>
    <cellStyle name="Style 99 3 2 3 2 2 3" xfId="21193" xr:uid="{8CB61D6C-555A-4EA1-B558-4D5144D2D4FA}"/>
    <cellStyle name="Style 99 3 2 3 2 2 3 2" xfId="21194" xr:uid="{56C96C9A-8985-4E98-AB4C-52EFA49C3481}"/>
    <cellStyle name="Style 99 3 2 3 2 2 3 2 2" xfId="39563" xr:uid="{0F331094-CB38-4502-9ABD-A41B3C2B4BF9}"/>
    <cellStyle name="Style 99 3 2 3 2 2 3 3" xfId="39562" xr:uid="{4AC858A6-7D63-4120-B5EC-DECD65B47FAD}"/>
    <cellStyle name="Style 99 3 2 3 2 2 4" xfId="21195" xr:uid="{8A6143E6-27B4-4AFF-840C-FD90C50F41AA}"/>
    <cellStyle name="Style 99 3 2 3 2 2 4 2" xfId="21196" xr:uid="{23524B67-78FD-42F0-9625-EDC17E976A5D}"/>
    <cellStyle name="Style 99 3 2 3 2 2 4 2 2" xfId="39565" xr:uid="{882C4434-A65F-4E6D-9F1F-4F43F74B2021}"/>
    <cellStyle name="Style 99 3 2 3 2 2 4 3" xfId="39564" xr:uid="{3A59AA1F-1600-485F-B6DE-6185A5DBCA15}"/>
    <cellStyle name="Style 99 3 2 3 2 2 5" xfId="21197" xr:uid="{7D523909-7FEA-43B7-BD1D-AD08FBBF3AD3}"/>
    <cellStyle name="Style 99 3 2 3 2 2 5 2" xfId="21198" xr:uid="{99D40412-CBBD-47BB-8213-D07DD34F17D7}"/>
    <cellStyle name="Style 99 3 2 3 2 2 5 2 2" xfId="39567" xr:uid="{A10B9871-7B17-428A-918C-700362E845A8}"/>
    <cellStyle name="Style 99 3 2 3 2 2 5 3" xfId="39566" xr:uid="{8435F7B6-22AE-4FCD-9AD9-46E07AD62025}"/>
    <cellStyle name="Style 99 3 2 3 2 2 6" xfId="21199" xr:uid="{A7F8982D-1D2B-4FD0-B167-C01D4A3DB2C2}"/>
    <cellStyle name="Style 99 3 2 3 2 2 6 2" xfId="39568" xr:uid="{A40A7714-1BB5-45C5-8A1D-6E11C8DBB134}"/>
    <cellStyle name="Style 99 3 2 3 2 2 7" xfId="21200" xr:uid="{92DA9F0C-C04C-4202-8946-2B0A156C3E61}"/>
    <cellStyle name="Style 99 3 2 3 2 2 7 2" xfId="39569" xr:uid="{A0C6DF07-A61A-4549-88B7-9BD0769BC65C}"/>
    <cellStyle name="Style 99 3 2 3 2 2 8" xfId="26211" xr:uid="{3D876700-58FF-4304-A99B-8B883A02AF5A}"/>
    <cellStyle name="Style 99 3 2 3 2 3" xfId="21201" xr:uid="{9A156188-36E5-41CB-B674-618557B88A5A}"/>
    <cellStyle name="Style 99 3 2 3 2 3 2" xfId="21202" xr:uid="{986264E4-ED90-4CD5-A662-3600A77422AE}"/>
    <cellStyle name="Style 99 3 2 3 2 3 2 2" xfId="39570" xr:uid="{FBF1CC91-C796-4522-A2FA-2BC35D4DCF99}"/>
    <cellStyle name="Style 99 3 2 3 2 3 3" xfId="21203" xr:uid="{4D90316D-4503-44DD-98BC-FA7B8C6A6436}"/>
    <cellStyle name="Style 99 3 2 3 2 3 3 2" xfId="39571" xr:uid="{8C8BD25D-3BC8-4CBB-A62D-1C966963C935}"/>
    <cellStyle name="Style 99 3 2 3 2 4" xfId="21204" xr:uid="{1F7F3A93-BA65-46ED-8D73-6DE6A8BC7263}"/>
    <cellStyle name="Style 99 3 2 3 2 4 2" xfId="21205" xr:uid="{80C824BD-1157-40D9-860C-F7FC4B01072A}"/>
    <cellStyle name="Style 99 3 2 3 2 4 2 2" xfId="39573" xr:uid="{C8C88F39-6BD2-4822-BB4A-3E49AC749A98}"/>
    <cellStyle name="Style 99 3 2 3 2 4 3" xfId="39572" xr:uid="{BA599219-23F0-4245-85B0-C31790D0BC72}"/>
    <cellStyle name="Style 99 3 2 3 2 5" xfId="21206" xr:uid="{276296B2-D69F-4B67-B07F-49BA022E8337}"/>
    <cellStyle name="Style 99 3 2 3 2 5 2" xfId="21207" xr:uid="{97478D41-7FD6-4136-B995-EB360FD3CA2B}"/>
    <cellStyle name="Style 99 3 2 3 2 5 2 2" xfId="39575" xr:uid="{403AF27D-6EAC-4515-9982-094BF14D9255}"/>
    <cellStyle name="Style 99 3 2 3 2 5 3" xfId="39574" xr:uid="{D0059267-B5C2-43DB-991C-C2319F1FE506}"/>
    <cellStyle name="Style 99 3 2 3 2 6" xfId="21208" xr:uid="{31587A6D-80E9-479D-BDB1-E22348FA6C53}"/>
    <cellStyle name="Style 99 3 2 3 2 6 2" xfId="21209" xr:uid="{EA97210D-3B22-4EE8-906A-72CAA3683795}"/>
    <cellStyle name="Style 99 3 2 3 2 6 2 2" xfId="39577" xr:uid="{A95A4E87-B5A4-41DA-8ADF-AA2D738001A2}"/>
    <cellStyle name="Style 99 3 2 3 2 6 3" xfId="39576" xr:uid="{0C61E048-DAB6-4AD9-B7A5-442BA9A525B6}"/>
    <cellStyle name="Style 99 3 2 3 2 7" xfId="21210" xr:uid="{0FC8D03C-E1C9-4642-AC42-FDE71D9FCED2}"/>
    <cellStyle name="Style 99 3 2 3 2 7 2" xfId="21211" xr:uid="{735ED24B-3E4B-4931-9D5F-5983D12CD68F}"/>
    <cellStyle name="Style 99 3 2 3 2 7 2 2" xfId="39579" xr:uid="{865329F8-1133-44F9-ACDF-232545EB260A}"/>
    <cellStyle name="Style 99 3 2 3 2 7 3" xfId="39578" xr:uid="{8A3A1A4E-9AC8-4E38-A45A-40D4EEF90317}"/>
    <cellStyle name="Style 99 3 2 3 2 8" xfId="21212" xr:uid="{4E6767A5-CA76-47B8-9784-DFC931114199}"/>
    <cellStyle name="Style 99 3 2 3 2 8 2" xfId="39580" xr:uid="{ACA3E454-9347-42ED-8FFC-87EE289B1079}"/>
    <cellStyle name="Style 99 3 2 3 2 9" xfId="21213" xr:uid="{F7526875-FF5B-47CC-9AB9-5551AA21AFC7}"/>
    <cellStyle name="Style 99 3 2 3 2 9 2" xfId="39581" xr:uid="{F9B92106-ADEE-4798-A1F6-D7FFC68FB43E}"/>
    <cellStyle name="Style 99 3 2 3 3" xfId="7885" xr:uid="{9AE4D775-DD78-4E6F-A43D-A4826039DD07}"/>
    <cellStyle name="Style 99 3 2 3 3 2" xfId="21214" xr:uid="{61B9BC79-4378-4E76-8AC0-875F2419D8F5}"/>
    <cellStyle name="Style 99 3 2 3 3 2 2" xfId="21215" xr:uid="{41D95F36-1056-4F48-8D13-B883CDD8EA00}"/>
    <cellStyle name="Style 99 3 2 3 3 2 2 2" xfId="39583" xr:uid="{73B85507-974C-4AB2-A84C-32D938074FD7}"/>
    <cellStyle name="Style 99 3 2 3 3 2 3" xfId="21216" xr:uid="{67C6A4E8-327B-4FF2-91DF-7BFBE60C01E6}"/>
    <cellStyle name="Style 99 3 2 3 3 2 3 2" xfId="39584" xr:uid="{F0B696CD-8E51-41FC-8D55-E2EA940EB036}"/>
    <cellStyle name="Style 99 3 2 3 3 2 4" xfId="39582" xr:uid="{D57B7971-4BC7-4B03-ABF4-3AD3718BB5D4}"/>
    <cellStyle name="Style 99 3 2 3 3 3" xfId="21217" xr:uid="{3F7CE9D0-3224-448B-9311-34F8A80AAB11}"/>
    <cellStyle name="Style 99 3 2 3 3 3 2" xfId="21218" xr:uid="{A7531FCA-690C-4C42-B393-DD433C44CD1A}"/>
    <cellStyle name="Style 99 3 2 3 3 3 2 2" xfId="39586" xr:uid="{E8991206-8841-4F77-852D-66712C9E9FFB}"/>
    <cellStyle name="Style 99 3 2 3 3 3 3" xfId="39585" xr:uid="{B78D34C7-2CA4-4BEE-834D-3CC1FB548587}"/>
    <cellStyle name="Style 99 3 2 3 3 4" xfId="21219" xr:uid="{E42CCF04-4F8B-4B4F-8622-59D376AC2995}"/>
    <cellStyle name="Style 99 3 2 3 3 4 2" xfId="21220" xr:uid="{66E7C00D-430B-4AC9-9ED0-1DACCC287325}"/>
    <cellStyle name="Style 99 3 2 3 3 4 2 2" xfId="39588" xr:uid="{E54D3BB9-B189-4CEA-A453-6D34DA9B7D45}"/>
    <cellStyle name="Style 99 3 2 3 3 4 3" xfId="39587" xr:uid="{270A94D7-37A1-4480-B8D0-12F9BAD240BB}"/>
    <cellStyle name="Style 99 3 2 3 3 5" xfId="21221" xr:uid="{DF9A040D-DCB7-49EF-B616-841E1FFF5B76}"/>
    <cellStyle name="Style 99 3 2 3 3 5 2" xfId="21222" xr:uid="{97312092-A62F-4FF5-A174-99079E07449F}"/>
    <cellStyle name="Style 99 3 2 3 3 5 2 2" xfId="39590" xr:uid="{41D3F5C6-AACC-48EB-8B53-FA73061989A8}"/>
    <cellStyle name="Style 99 3 2 3 3 5 3" xfId="39589" xr:uid="{927DCA89-0270-43B6-AD53-2F812DE8FF21}"/>
    <cellStyle name="Style 99 3 2 3 3 6" xfId="21223" xr:uid="{B9D49017-9F46-4021-81CD-31607305831C}"/>
    <cellStyle name="Style 99 3 2 3 3 6 2" xfId="39591" xr:uid="{65FC2761-25D6-45AA-BA19-B2DA15C72B2B}"/>
    <cellStyle name="Style 99 3 2 3 3 7" xfId="21224" xr:uid="{C7D01941-C0BF-41A3-B505-C7E121D4ACBA}"/>
    <cellStyle name="Style 99 3 2 3 3 7 2" xfId="39592" xr:uid="{D82C6CBA-71DD-4B37-A17E-6819D1385E13}"/>
    <cellStyle name="Style 99 3 2 3 3 8" xfId="26210" xr:uid="{7017C54F-A073-48CB-998D-8B9D83A57DA3}"/>
    <cellStyle name="Style 99 3 2 3 4" xfId="21225" xr:uid="{E50FF774-1352-49F5-BB12-5BC236AB780C}"/>
    <cellStyle name="Style 99 3 2 3 4 2" xfId="21226" xr:uid="{E49A2F20-18E1-4334-9C1A-BD1C9F479744}"/>
    <cellStyle name="Style 99 3 2 3 4 2 2" xfId="39593" xr:uid="{67B8385E-82AD-4A86-BCA3-11C09D0679A2}"/>
    <cellStyle name="Style 99 3 2 3 4 3" xfId="21227" xr:uid="{F5A138D0-F90A-4C69-B200-1F78048ABE02}"/>
    <cellStyle name="Style 99 3 2 3 4 3 2" xfId="39594" xr:uid="{4927D8B8-46A5-4983-B0EA-B35B016A3AC8}"/>
    <cellStyle name="Style 99 3 2 3 4 4" xfId="21228" xr:uid="{D73C4BB4-4189-47B5-A17A-1108EB8F5FA2}"/>
    <cellStyle name="Style 99 3 2 3 4 4 2" xfId="39595" xr:uid="{33CE42E2-F089-4AF9-9F95-A794F559B142}"/>
    <cellStyle name="Style 99 3 2 3 5" xfId="21229" xr:uid="{49C8372A-407D-4774-837C-B310B1731A22}"/>
    <cellStyle name="Style 99 3 2 3 5 2" xfId="21230" xr:uid="{7C4A36F8-B5C9-4B22-B6B9-9DADC4A72386}"/>
    <cellStyle name="Style 99 3 2 3 5 2 2" xfId="39597" xr:uid="{23F93296-0B93-47D9-84E4-356FF49C4B3D}"/>
    <cellStyle name="Style 99 3 2 3 5 3" xfId="39596" xr:uid="{28088216-EE3D-46FF-AB74-014735DC70F7}"/>
    <cellStyle name="Style 99 3 2 3 6" xfId="21231" xr:uid="{5B8D8A93-2E84-4BC1-B71F-11A0FD161FA4}"/>
    <cellStyle name="Style 99 3 2 3 6 2" xfId="21232" xr:uid="{9E4A355F-9349-4682-83EB-1D954D1E3D95}"/>
    <cellStyle name="Style 99 3 2 3 6 2 2" xfId="39599" xr:uid="{DA3E07F2-14F5-462E-8D07-03CEE0479EFD}"/>
    <cellStyle name="Style 99 3 2 3 6 3" xfId="39598" xr:uid="{C7DE5BAD-85CD-4531-BB88-5A59FF2C1DFE}"/>
    <cellStyle name="Style 99 3 2 3 7" xfId="21233" xr:uid="{AE759A37-B875-4172-9235-891FB273C719}"/>
    <cellStyle name="Style 99 3 2 3 7 2" xfId="21234" xr:uid="{81ADE502-18B5-4D9F-B129-D85D9E163273}"/>
    <cellStyle name="Style 99 3 2 3 7 2 2" xfId="39601" xr:uid="{EEC7F47F-47D7-490C-A819-A6AD11E091DC}"/>
    <cellStyle name="Style 99 3 2 3 7 3" xfId="39600" xr:uid="{787AAACD-89EF-4065-B029-782561E93E3D}"/>
    <cellStyle name="Style 99 3 2 3 8" xfId="21235" xr:uid="{D2ADDF57-D7C9-4DC6-8EAB-DF5396B3690D}"/>
    <cellStyle name="Style 99 3 2 3 8 2" xfId="21236" xr:uid="{B0E1C2FD-B371-48EF-8231-D10D4FDC7CF4}"/>
    <cellStyle name="Style 99 3 2 3 8 2 2" xfId="39603" xr:uid="{F5164F89-9605-44EE-B703-6BCADCD0616B}"/>
    <cellStyle name="Style 99 3 2 3 8 3" xfId="39602" xr:uid="{5CCDA26B-EBC2-4AF9-87FB-86EA4691E975}"/>
    <cellStyle name="Style 99 3 2 3 9" xfId="21237" xr:uid="{50A52EF1-82FA-4A8C-89FC-E8DD6E63367B}"/>
    <cellStyle name="Style 99 3 2 3 9 2" xfId="21238" xr:uid="{16D93C94-229D-404A-A2E3-73EDDC696422}"/>
    <cellStyle name="Style 99 3 2 3 9 2 2" xfId="39605" xr:uid="{0FF5F602-2EBA-4701-B5CE-1137B017F46C}"/>
    <cellStyle name="Style 99 3 2 3 9 3" xfId="39604" xr:uid="{D30A2E1F-843D-4C9D-8902-51622C04D84A}"/>
    <cellStyle name="Style 99 3 2 4" xfId="3909" xr:uid="{F11577B7-01D8-4DEE-B981-F1CE1041F354}"/>
    <cellStyle name="Style 99 3 2 4 2" xfId="7887" xr:uid="{DCA68A2D-8A83-44CC-A34D-BC3323BB4C5A}"/>
    <cellStyle name="Style 99 3 2 4 2 2" xfId="21239" xr:uid="{5EAB97AF-3EDB-4703-A761-3949C0EAB32F}"/>
    <cellStyle name="Style 99 3 2 4 2 2 2" xfId="21240" xr:uid="{768EB31D-D0CB-4091-92AC-5866D9BF7A16}"/>
    <cellStyle name="Style 99 3 2 4 2 2 2 2" xfId="39607" xr:uid="{50717958-3016-4269-B139-D0F789285436}"/>
    <cellStyle name="Style 99 3 2 4 2 2 3" xfId="39606" xr:uid="{EAFA41C3-D0E4-4EB2-876F-8D2F87CFD5F4}"/>
    <cellStyle name="Style 99 3 2 4 2 3" xfId="21241" xr:uid="{1EA2FE22-6692-4D79-9584-78F554B10710}"/>
    <cellStyle name="Style 99 3 2 4 2 3 2" xfId="21242" xr:uid="{3DCB1B12-A268-40C2-B4D2-07A97E1E15BA}"/>
    <cellStyle name="Style 99 3 2 4 2 3 2 2" xfId="39609" xr:uid="{2A05C7AB-D43D-4C1D-8200-5A7DFB7B1B83}"/>
    <cellStyle name="Style 99 3 2 4 2 3 3" xfId="39608" xr:uid="{071B4DB8-83EB-4F18-8A66-31F7A7C3FAF7}"/>
    <cellStyle name="Style 99 3 2 4 2 4" xfId="21243" xr:uid="{907525E1-F8A7-47ED-96AD-CBA761206F75}"/>
    <cellStyle name="Style 99 3 2 4 2 4 2" xfId="21244" xr:uid="{DE477DD6-75B6-4104-AA38-6A87CF81250E}"/>
    <cellStyle name="Style 99 3 2 4 2 4 2 2" xfId="39611" xr:uid="{4C2FBAB5-30E9-4805-A634-3839A32AD971}"/>
    <cellStyle name="Style 99 3 2 4 2 4 3" xfId="39610" xr:uid="{75E5D09C-135A-4D22-8290-7FEB207B9589}"/>
    <cellStyle name="Style 99 3 2 4 2 5" xfId="21245" xr:uid="{F4D9F727-F251-42A2-AE13-33B125D57317}"/>
    <cellStyle name="Style 99 3 2 4 2 5 2" xfId="21246" xr:uid="{4727FDB5-19EA-42FD-9395-3A4926068CA2}"/>
    <cellStyle name="Style 99 3 2 4 2 5 2 2" xfId="39613" xr:uid="{799A57CF-AB54-4417-A6E2-50428615C1D8}"/>
    <cellStyle name="Style 99 3 2 4 2 5 3" xfId="39612" xr:uid="{1BD67944-DFBC-455E-B6D1-792F05DBDD89}"/>
    <cellStyle name="Style 99 3 2 4 2 6" xfId="21247" xr:uid="{7102F93B-9FDF-4DC5-801A-65C300523F42}"/>
    <cellStyle name="Style 99 3 2 4 2 6 2" xfId="39614" xr:uid="{E2262806-FD06-478D-AEDC-31B2CD52F67C}"/>
    <cellStyle name="Style 99 3 2 4 2 7" xfId="21248" xr:uid="{103679EC-D8F4-4F43-AA4E-3E21E71A8D0A}"/>
    <cellStyle name="Style 99 3 2 4 2 7 2" xfId="39615" xr:uid="{2A2CB42C-35F9-4B7F-B33E-FC5E08BEC5CD}"/>
    <cellStyle name="Style 99 3 2 4 2 8" xfId="26212" xr:uid="{B6A6F837-61AD-4210-900A-FF3D4FE8DA98}"/>
    <cellStyle name="Style 99 3 2 4 3" xfId="21249" xr:uid="{9E9B22BA-339E-4615-AC63-E44A3F16F199}"/>
    <cellStyle name="Style 99 3 2 4 3 2" xfId="21250" xr:uid="{D9C8D531-B373-4C4C-81BC-5940DC205356}"/>
    <cellStyle name="Style 99 3 2 4 3 2 2" xfId="39616" xr:uid="{A6E4829E-F6BA-4631-8892-F9DE70AC4115}"/>
    <cellStyle name="Style 99 3 2 4 3 3" xfId="21251" xr:uid="{1ECF0744-A197-4597-9295-805626FAA842}"/>
    <cellStyle name="Style 99 3 2 4 3 3 2" xfId="39617" xr:uid="{DBDC9E59-5CCC-4679-AAED-07195D5F49C4}"/>
    <cellStyle name="Style 99 3 2 4 4" xfId="21252" xr:uid="{CDA37DAF-FA03-44C6-99EB-FAFD94F4C2EF}"/>
    <cellStyle name="Style 99 3 2 4 4 2" xfId="21253" xr:uid="{407CEFE5-8758-42BC-925A-C92B14A1B0CC}"/>
    <cellStyle name="Style 99 3 2 4 4 2 2" xfId="39619" xr:uid="{C6879CCC-CD4A-487E-8648-345CBF25374B}"/>
    <cellStyle name="Style 99 3 2 4 4 3" xfId="39618" xr:uid="{0019F2B1-E6FA-4FA7-93FC-9837F559A041}"/>
    <cellStyle name="Style 99 3 2 4 5" xfId="21254" xr:uid="{6F7718B4-EFC8-4E5A-83C2-FFE971D8EAB5}"/>
    <cellStyle name="Style 99 3 2 4 5 2" xfId="21255" xr:uid="{A23FC4DA-B5BF-4166-B85F-5266CA0E2248}"/>
    <cellStyle name="Style 99 3 2 4 5 2 2" xfId="39621" xr:uid="{7BB111F3-FE2A-412F-AB53-55248A665BE6}"/>
    <cellStyle name="Style 99 3 2 4 5 3" xfId="39620" xr:uid="{47DB3A3D-B596-4B93-A182-5F426F7D06B7}"/>
    <cellStyle name="Style 99 3 2 4 6" xfId="21256" xr:uid="{1C7686D1-D43A-4535-B622-243818737C26}"/>
    <cellStyle name="Style 99 3 2 4 6 2" xfId="21257" xr:uid="{666C7183-89C1-4618-8E23-52833ADFCCC9}"/>
    <cellStyle name="Style 99 3 2 4 6 2 2" xfId="39623" xr:uid="{EC3D1F24-9C11-485C-AC84-26196C1F52DB}"/>
    <cellStyle name="Style 99 3 2 4 6 3" xfId="39622" xr:uid="{3C488946-0EE3-486F-81B4-849F671A3504}"/>
    <cellStyle name="Style 99 3 2 4 7" xfId="21258" xr:uid="{92E120A3-29AE-4B9F-B566-312CFD59FCDE}"/>
    <cellStyle name="Style 99 3 2 4 7 2" xfId="21259" xr:uid="{E11CD5DA-2AD9-4249-B67C-001CA37FCBBA}"/>
    <cellStyle name="Style 99 3 2 4 7 2 2" xfId="39625" xr:uid="{D1ABC523-A7F7-41CE-ABBF-94BE25C0921F}"/>
    <cellStyle name="Style 99 3 2 4 7 3" xfId="39624" xr:uid="{7AFCE423-EE87-4BB3-A2FC-40C180001803}"/>
    <cellStyle name="Style 99 3 2 4 8" xfId="21260" xr:uid="{CA274A5A-348C-4749-8E5C-585F55490C54}"/>
    <cellStyle name="Style 99 3 2 4 8 2" xfId="39626" xr:uid="{CEBA78BB-A2A5-4CE9-82CA-0CCADC1980AA}"/>
    <cellStyle name="Style 99 3 2 4 9" xfId="21261" xr:uid="{9BC640AE-88D8-44D5-8DBD-6FC3F43941B3}"/>
    <cellStyle name="Style 99 3 2 4 9 2" xfId="39627" xr:uid="{252BF759-2F43-4C01-9918-EB7DB06EF454}"/>
    <cellStyle name="Style 99 3 2 5" xfId="4236" xr:uid="{0EC217FB-8B00-43AA-BFF1-FE2AA2F34D37}"/>
    <cellStyle name="Style 99 3 2 5 2" xfId="21262" xr:uid="{31B20432-DAD6-4418-A469-229C1BB25184}"/>
    <cellStyle name="Style 99 3 2 5 2 2" xfId="21263" xr:uid="{0CD61380-A9C6-42FA-B7CB-87FB7AF17020}"/>
    <cellStyle name="Style 99 3 2 5 2 2 2" xfId="39628" xr:uid="{2633DE03-86E4-48CF-85A7-4EF85BCE94A0}"/>
    <cellStyle name="Style 99 3 2 5 2 3" xfId="21264" xr:uid="{A32EF32A-A187-4A20-ADC5-3EA66FBF2284}"/>
    <cellStyle name="Style 99 3 2 5 2 3 2" xfId="39629" xr:uid="{E40A5B77-1D19-4989-B1F7-4FCCACBA1C35}"/>
    <cellStyle name="Style 99 3 2 5 3" xfId="21265" xr:uid="{7F492E3B-1574-437F-BDF9-D673CAE2D879}"/>
    <cellStyle name="Style 99 3 2 5 3 2" xfId="21266" xr:uid="{12F2ED87-E6C1-4144-862D-14803B879DDD}"/>
    <cellStyle name="Style 99 3 2 5 3 2 2" xfId="39631" xr:uid="{59EEB7FF-086F-4CB3-981F-D2DFA67729ED}"/>
    <cellStyle name="Style 99 3 2 5 3 3" xfId="39630" xr:uid="{8EC8B120-8A4A-4ACC-B2A7-1312D4FA4FEA}"/>
    <cellStyle name="Style 99 3 2 5 4" xfId="21267" xr:uid="{5AAAB5F7-B21B-4DC5-AEB3-8C5EDD695DA2}"/>
    <cellStyle name="Style 99 3 2 5 4 2" xfId="21268" xr:uid="{7E0EC9E3-CF01-4E99-BB73-F0A4E9FA5CC3}"/>
    <cellStyle name="Style 99 3 2 5 4 2 2" xfId="39633" xr:uid="{B545049B-FB0C-43F2-9FE7-80C30F31D6E8}"/>
    <cellStyle name="Style 99 3 2 5 4 3" xfId="39632" xr:uid="{FF2A467B-D1E3-4EFF-9946-4DF06411636B}"/>
    <cellStyle name="Style 99 3 2 5 5" xfId="21269" xr:uid="{896C11B0-E94C-4EA4-B211-9B7EBE794D61}"/>
    <cellStyle name="Style 99 3 2 5 5 2" xfId="21270" xr:uid="{5E8C29C9-E197-457F-8975-0F52FA7D8421}"/>
    <cellStyle name="Style 99 3 2 5 5 2 2" xfId="39635" xr:uid="{1E0862C0-117F-47E4-A696-CE97C7E9100C}"/>
    <cellStyle name="Style 99 3 2 5 5 3" xfId="39634" xr:uid="{435302D4-34FF-4C3F-8F74-FF3D7A86B034}"/>
    <cellStyle name="Style 99 3 2 5 6" xfId="21271" xr:uid="{EA422247-8789-4A07-BA00-0A320B883119}"/>
    <cellStyle name="Style 99 3 2 5 6 2" xfId="39636" xr:uid="{B4B4DF61-F9D6-4129-9243-0C2A5DEEAA5A}"/>
    <cellStyle name="Style 99 3 2 5 7" xfId="21272" xr:uid="{1DE0739F-291B-4EB9-8644-98B1FCAA889A}"/>
    <cellStyle name="Style 99 3 2 5 7 2" xfId="39637" xr:uid="{ECEDB9C1-AC25-45CC-AFD2-77E7B8F184D7}"/>
    <cellStyle name="Style 99 3 2 5 8" xfId="26205" xr:uid="{03AED434-4847-4CE4-A647-3C435E5D4C58}"/>
    <cellStyle name="Style 99 3 2 6" xfId="7880" xr:uid="{42BF05DE-4D99-4659-AF4C-EAB316C332B8}"/>
    <cellStyle name="Style 99 3 2 6 2" xfId="21273" xr:uid="{59E7055D-721B-422C-B9B7-06A4E84E34DB}"/>
    <cellStyle name="Style 99 3 2 6 2 2" xfId="39638" xr:uid="{EAD62981-7626-4350-9BF7-93890A485841}"/>
    <cellStyle name="Style 99 3 2 6 3" xfId="21274" xr:uid="{1922DBB3-4617-4917-B052-E0F7646475B1}"/>
    <cellStyle name="Style 99 3 2 6 3 2" xfId="39639" xr:uid="{8A74DC44-C8F5-479E-8E71-F5D4937A834D}"/>
    <cellStyle name="Style 99 3 2 7" xfId="21275" xr:uid="{530DD9A5-F2C4-4372-8067-7EE5085C0AF4}"/>
    <cellStyle name="Style 99 3 2 7 2" xfId="21276" xr:uid="{E4C08A2E-8C7D-424F-9EF9-624FF8CF3315}"/>
    <cellStyle name="Style 99 3 2 7 2 2" xfId="39641" xr:uid="{BE92CE4F-03ED-49ED-BFEE-3448975840C4}"/>
    <cellStyle name="Style 99 3 2 7 3" xfId="39640" xr:uid="{1B96D068-7E36-4D94-BD97-BFDDD11041BF}"/>
    <cellStyle name="Style 99 3 2 8" xfId="21277" xr:uid="{25597AAB-5584-4823-A30D-13B773ADB3A6}"/>
    <cellStyle name="Style 99 3 2 8 2" xfId="21278" xr:uid="{D79BBCD8-942E-4469-9C6E-BEC5E3324441}"/>
    <cellStyle name="Style 99 3 2 8 2 2" xfId="39643" xr:uid="{C35ACBF2-B281-45DC-8D0B-9FAB940399FB}"/>
    <cellStyle name="Style 99 3 2 8 3" xfId="39642" xr:uid="{56C9ACF1-BB5A-4487-B41C-D177CF9AD839}"/>
    <cellStyle name="Style 99 3 2 9" xfId="21279" xr:uid="{D2D88E32-2B68-4E18-815B-49DA003B934E}"/>
    <cellStyle name="Style 99 3 2 9 2" xfId="21280" xr:uid="{05F20196-8F3C-4CE8-A685-050E62C7AEC7}"/>
    <cellStyle name="Style 99 3 2 9 2 2" xfId="39645" xr:uid="{B92EBA90-C3B3-44FF-9FBE-071D522189D1}"/>
    <cellStyle name="Style 99 3 2 9 3" xfId="39644" xr:uid="{8432C6C3-4FE5-467E-A4FF-1F95ADA24B3A}"/>
    <cellStyle name="Style 99 3 3" xfId="3910" xr:uid="{9DF94EFD-E074-4BF6-B6BB-22CEDD7E8AAB}"/>
    <cellStyle name="Style 99 3 3 10" xfId="21281" xr:uid="{6EE4C291-50C7-4CE0-AB3E-6890E18B2091}"/>
    <cellStyle name="Style 99 3 3 10 2" xfId="21282" xr:uid="{6143A9F5-D469-4DBF-86BD-A0B9D180197A}"/>
    <cellStyle name="Style 99 3 3 10 2 2" xfId="39647" xr:uid="{756E1E11-84A7-46EC-9B31-A814AAA004CD}"/>
    <cellStyle name="Style 99 3 3 10 3" xfId="39646" xr:uid="{415D99F3-47B8-4D2A-B7DA-A55781841B82}"/>
    <cellStyle name="Style 99 3 3 11" xfId="21283" xr:uid="{DB9C20B0-DD95-4201-9B7E-C7AE3CF7C81E}"/>
    <cellStyle name="Style 99 3 3 11 2" xfId="39648" xr:uid="{85EB895D-5430-4BF2-AA38-B9B629A25409}"/>
    <cellStyle name="Style 99 3 3 12" xfId="21284" xr:uid="{B532C470-B813-4877-A2C0-19DEB249800C}"/>
    <cellStyle name="Style 99 3 3 12 2" xfId="39649" xr:uid="{FED36E83-20E7-40B3-9FE4-325C2CFC3689}"/>
    <cellStyle name="Style 99 3 3 2" xfId="3911" xr:uid="{D6F7A8A3-6E0C-4895-A067-6BD2168AEDA1}"/>
    <cellStyle name="Style 99 3 3 2 10" xfId="21285" xr:uid="{24FCC251-ACD6-4354-9A91-EB7B2CED3FB8}"/>
    <cellStyle name="Style 99 3 3 2 10 2" xfId="21286" xr:uid="{3A33173A-0D71-4B05-A4CB-ACFF0713E390}"/>
    <cellStyle name="Style 99 3 3 2 10 2 2" xfId="39651" xr:uid="{FBAD7937-7804-4401-A772-FE8D1D75429F}"/>
    <cellStyle name="Style 99 3 3 2 10 3" xfId="39650" xr:uid="{E8F21695-A426-42C9-ABA9-3915A9110152}"/>
    <cellStyle name="Style 99 3 3 2 11" xfId="21287" xr:uid="{3A203444-36D9-4A5B-8834-BAF14869A319}"/>
    <cellStyle name="Style 99 3 3 2 11 2" xfId="39652" xr:uid="{8859DCA5-9960-44DE-83A9-42B34D73D39B}"/>
    <cellStyle name="Style 99 3 3 2 12" xfId="21288" xr:uid="{DC5B2184-CAB9-47D4-B1E6-FAD8AC138BA0}"/>
    <cellStyle name="Style 99 3 3 2 12 2" xfId="39653" xr:uid="{3EA45AE9-4965-4DA5-B976-AFA0070018DF}"/>
    <cellStyle name="Style 99 3 3 2 2" xfId="3912" xr:uid="{7F87BEBF-663F-4CFD-8B22-A2B6FD34E9F2}"/>
    <cellStyle name="Style 99 3 3 2 2 10" xfId="21289" xr:uid="{7AAC2BEE-389C-4FF6-83C1-2F1A2EE25F01}"/>
    <cellStyle name="Style 99 3 3 2 2 10 2" xfId="39654" xr:uid="{35572328-5D60-4D03-B534-E5E293E799A9}"/>
    <cellStyle name="Style 99 3 3 2 2 11" xfId="21290" xr:uid="{D3DCA818-5303-4266-9D3D-0892EE81C3B8}"/>
    <cellStyle name="Style 99 3 3 2 2 11 2" xfId="39655" xr:uid="{702A9E5C-59BC-451B-A422-4909A3A71F93}"/>
    <cellStyle name="Style 99 3 3 2 2 12" xfId="24302" xr:uid="{F41B7A64-B65E-40C7-8110-7FE8FE900537}"/>
    <cellStyle name="Style 99 3 3 2 2 2" xfId="3913" xr:uid="{4E7D0744-841E-484B-BBFC-AF7C3E60F30C}"/>
    <cellStyle name="Style 99 3 3 2 2 2 2" xfId="7891" xr:uid="{C4192E71-929B-4A96-BFA2-209D88398F89}"/>
    <cellStyle name="Style 99 3 3 2 2 2 2 2" xfId="21291" xr:uid="{601D8E3B-DB2F-40B4-8F16-2DF4AC3BF47D}"/>
    <cellStyle name="Style 99 3 3 2 2 2 2 2 2" xfId="21292" xr:uid="{69D45AA1-09D1-420C-AEFC-D20E1B9D31A0}"/>
    <cellStyle name="Style 99 3 3 2 2 2 2 2 2 2" xfId="39657" xr:uid="{E45B8A5C-B338-4115-9A88-E9335E1F391C}"/>
    <cellStyle name="Style 99 3 3 2 2 2 2 2 3" xfId="39656" xr:uid="{560EE973-3BA0-40B6-BA7B-5718BF6B398F}"/>
    <cellStyle name="Style 99 3 3 2 2 2 2 3" xfId="21293" xr:uid="{03383231-F700-43AB-913D-D81FA1E3EAF9}"/>
    <cellStyle name="Style 99 3 3 2 2 2 2 3 2" xfId="21294" xr:uid="{55B7B8B5-B0FF-4A11-AF99-AB1587784CDD}"/>
    <cellStyle name="Style 99 3 3 2 2 2 2 3 2 2" xfId="39659" xr:uid="{AC2A4FEE-3C1F-46DA-A465-E8AB5D5F8068}"/>
    <cellStyle name="Style 99 3 3 2 2 2 2 3 3" xfId="39658" xr:uid="{A44DA0FA-E9C4-4856-A555-9142F5408D3E}"/>
    <cellStyle name="Style 99 3 3 2 2 2 2 4" xfId="21295" xr:uid="{3D25519C-8F33-4261-837D-F14ABB2199AE}"/>
    <cellStyle name="Style 99 3 3 2 2 2 2 4 2" xfId="21296" xr:uid="{2F923B53-6780-442D-8833-0B03BE924164}"/>
    <cellStyle name="Style 99 3 3 2 2 2 2 4 2 2" xfId="39661" xr:uid="{3EB2E7BB-77B8-4032-B5FD-69BEC01E01BC}"/>
    <cellStyle name="Style 99 3 3 2 2 2 2 4 3" xfId="39660" xr:uid="{6B83ADED-6BD2-4B05-A24D-911002FCBDAA}"/>
    <cellStyle name="Style 99 3 3 2 2 2 2 5" xfId="21297" xr:uid="{86F76385-6DC2-41A2-AD54-BBC855DB0DFA}"/>
    <cellStyle name="Style 99 3 3 2 2 2 2 5 2" xfId="21298" xr:uid="{569B4236-015F-4AEF-8AA0-1F53ED777442}"/>
    <cellStyle name="Style 99 3 3 2 2 2 2 5 2 2" xfId="39663" xr:uid="{D38F0A4E-CE76-4351-816D-4819C735093A}"/>
    <cellStyle name="Style 99 3 3 2 2 2 2 5 3" xfId="39662" xr:uid="{6966D301-21F1-4E08-A6FD-BDDF967A8FAE}"/>
    <cellStyle name="Style 99 3 3 2 2 2 2 6" xfId="21299" xr:uid="{31B4579D-489D-49B4-BFF6-B81E1F30C0B3}"/>
    <cellStyle name="Style 99 3 3 2 2 2 2 6 2" xfId="39664" xr:uid="{C4D816DF-CE78-4253-9216-4FA6978C51F7}"/>
    <cellStyle name="Style 99 3 3 2 2 2 2 7" xfId="21300" xr:uid="{3D03620C-FD45-4FE3-9D85-80F0B22CF2C5}"/>
    <cellStyle name="Style 99 3 3 2 2 2 2 7 2" xfId="39665" xr:uid="{B03FFA9E-9AC7-4191-B511-C93568C59C32}"/>
    <cellStyle name="Style 99 3 3 2 2 2 2 8" xfId="26215" xr:uid="{EB8B7E48-666B-4677-9F50-27B63843F44C}"/>
    <cellStyle name="Style 99 3 3 2 2 2 3" xfId="21301" xr:uid="{0DB4E6CB-9C1E-4AE2-A93F-63D6EC36B8D2}"/>
    <cellStyle name="Style 99 3 3 2 2 2 3 2" xfId="21302" xr:uid="{FB7467FF-86ED-4DF0-AF72-16E7D9C1B1CA}"/>
    <cellStyle name="Style 99 3 3 2 2 2 3 2 2" xfId="39666" xr:uid="{2C542E66-9F44-474D-AA98-F64C6AAF36BE}"/>
    <cellStyle name="Style 99 3 3 2 2 2 3 3" xfId="21303" xr:uid="{A4878526-BBB2-4C38-A5A9-2A9DB656144A}"/>
    <cellStyle name="Style 99 3 3 2 2 2 3 3 2" xfId="39667" xr:uid="{7A646B2C-C84D-40C8-A94B-A1CCA121D1B6}"/>
    <cellStyle name="Style 99 3 3 2 2 2 4" xfId="21304" xr:uid="{5CF7E569-AA6D-4B4D-81E6-C1000A98B051}"/>
    <cellStyle name="Style 99 3 3 2 2 2 4 2" xfId="21305" xr:uid="{45ED1FDB-ADDB-4BBA-A2E0-8BB46A431F91}"/>
    <cellStyle name="Style 99 3 3 2 2 2 4 2 2" xfId="39669" xr:uid="{A43553BC-33DB-4AE0-8627-092CD4F205D9}"/>
    <cellStyle name="Style 99 3 3 2 2 2 4 3" xfId="39668" xr:uid="{4C2C41AD-5973-402E-8B29-FF8ABE746ECD}"/>
    <cellStyle name="Style 99 3 3 2 2 2 5" xfId="21306" xr:uid="{94307912-E52B-41A7-A319-30EC7C047D56}"/>
    <cellStyle name="Style 99 3 3 2 2 2 5 2" xfId="21307" xr:uid="{93478BF0-5077-4844-9D93-144C89A5A91C}"/>
    <cellStyle name="Style 99 3 3 2 2 2 5 2 2" xfId="39671" xr:uid="{D612ACDE-ACFF-46CC-96A8-2FB0CEB36DB2}"/>
    <cellStyle name="Style 99 3 3 2 2 2 5 3" xfId="39670" xr:uid="{3B993F3A-9BD5-4110-B67E-A9F77526E0F4}"/>
    <cellStyle name="Style 99 3 3 2 2 2 6" xfId="21308" xr:uid="{C9861B86-C599-4291-88A4-1E16CA0F871B}"/>
    <cellStyle name="Style 99 3 3 2 2 2 6 2" xfId="21309" xr:uid="{748A0492-9756-45C6-B3AF-9F0F158B6F8F}"/>
    <cellStyle name="Style 99 3 3 2 2 2 6 2 2" xfId="39673" xr:uid="{DCB6051A-6E54-4741-8235-09F69210DC19}"/>
    <cellStyle name="Style 99 3 3 2 2 2 6 3" xfId="39672" xr:uid="{707BE538-27F2-4F32-8762-2F9CDDF7957D}"/>
    <cellStyle name="Style 99 3 3 2 2 2 7" xfId="21310" xr:uid="{6C599EBC-0959-4B72-8F7B-E6559200B48B}"/>
    <cellStyle name="Style 99 3 3 2 2 2 7 2" xfId="21311" xr:uid="{36097A4C-ACDF-4FE9-ADD6-60F604FE2212}"/>
    <cellStyle name="Style 99 3 3 2 2 2 7 2 2" xfId="39675" xr:uid="{9923D52B-E2BA-4E70-81FC-B9AD80F46989}"/>
    <cellStyle name="Style 99 3 3 2 2 2 7 3" xfId="39674" xr:uid="{F63589F3-A6E8-4876-B56D-BA757C6A65A7}"/>
    <cellStyle name="Style 99 3 3 2 2 2 8" xfId="21312" xr:uid="{FC9AC7F2-76A3-4EA4-AEDF-326DBF2CA0E4}"/>
    <cellStyle name="Style 99 3 3 2 2 2 8 2" xfId="39676" xr:uid="{0F58DD60-8C90-4C22-81DF-A2C9376239A1}"/>
    <cellStyle name="Style 99 3 3 2 2 2 9" xfId="21313" xr:uid="{5BD2431F-807E-4D99-A88D-70517CD24D7C}"/>
    <cellStyle name="Style 99 3 3 2 2 2 9 2" xfId="39677" xr:uid="{772F96AD-E8AE-4194-8560-CE6E1D809AB1}"/>
    <cellStyle name="Style 99 3 3 2 2 3" xfId="7890" xr:uid="{52A3894C-E9AA-401C-A905-538BF01C8961}"/>
    <cellStyle name="Style 99 3 3 2 2 3 2" xfId="21314" xr:uid="{358FE229-1966-4E97-8573-F64BC40153A0}"/>
    <cellStyle name="Style 99 3 3 2 2 3 2 2" xfId="21315" xr:uid="{21E27107-024B-4278-A50B-DBEA89952B6A}"/>
    <cellStyle name="Style 99 3 3 2 2 3 2 2 2" xfId="39679" xr:uid="{868AF032-5A44-4E5D-AB6C-F744199CA92F}"/>
    <cellStyle name="Style 99 3 3 2 2 3 2 3" xfId="21316" xr:uid="{4E37AA6D-C762-4203-B7CA-564EFCBC3E73}"/>
    <cellStyle name="Style 99 3 3 2 2 3 2 3 2" xfId="39680" xr:uid="{4BE156A7-0A6F-4EAA-AAFA-0ADED3C14AD2}"/>
    <cellStyle name="Style 99 3 3 2 2 3 2 4" xfId="39678" xr:uid="{BC496C3B-37A4-47B9-8DE6-3D460B162873}"/>
    <cellStyle name="Style 99 3 3 2 2 3 3" xfId="21317" xr:uid="{76C8889B-59B4-4A22-9DB7-26CACE1DF45F}"/>
    <cellStyle name="Style 99 3 3 2 2 3 3 2" xfId="21318" xr:uid="{B9293992-13C1-4397-9C9A-E99B4B567E09}"/>
    <cellStyle name="Style 99 3 3 2 2 3 3 2 2" xfId="39682" xr:uid="{F068E521-61A2-4AC8-BCCB-23946954AC5B}"/>
    <cellStyle name="Style 99 3 3 2 2 3 3 3" xfId="39681" xr:uid="{3F60F8CD-A27A-4635-A525-10AB5E3C1C0D}"/>
    <cellStyle name="Style 99 3 3 2 2 3 4" xfId="21319" xr:uid="{AA823178-D8DE-47D9-8CA9-AC7ECEC305A1}"/>
    <cellStyle name="Style 99 3 3 2 2 3 4 2" xfId="21320" xr:uid="{2178DD1A-7DDE-427C-9CE0-84A714502CF4}"/>
    <cellStyle name="Style 99 3 3 2 2 3 4 2 2" xfId="39684" xr:uid="{27D9E79B-F68E-44CA-B081-7448D03CE9DF}"/>
    <cellStyle name="Style 99 3 3 2 2 3 4 3" xfId="39683" xr:uid="{2070B4C6-748B-423F-BC40-F699BE5580F6}"/>
    <cellStyle name="Style 99 3 3 2 2 3 5" xfId="21321" xr:uid="{2DA3539F-56C8-42CA-8617-772188C7950D}"/>
    <cellStyle name="Style 99 3 3 2 2 3 5 2" xfId="21322" xr:uid="{5D663088-EB1B-4D38-BDFC-6002AB9F3BA6}"/>
    <cellStyle name="Style 99 3 3 2 2 3 5 2 2" xfId="39686" xr:uid="{3B82AE14-A9C9-492F-A5AF-BD3EB9174874}"/>
    <cellStyle name="Style 99 3 3 2 2 3 5 3" xfId="39685" xr:uid="{247F3B10-3EFB-498E-8471-E26F41335A11}"/>
    <cellStyle name="Style 99 3 3 2 2 3 6" xfId="21323" xr:uid="{31E13FBB-2D25-47FC-B9CC-0E29551730D0}"/>
    <cellStyle name="Style 99 3 3 2 2 3 6 2" xfId="39687" xr:uid="{64E93331-D3C6-4873-9C19-F674C6CFC3E8}"/>
    <cellStyle name="Style 99 3 3 2 2 3 7" xfId="21324" xr:uid="{C03A10AD-A07F-459B-8804-2C2B82080240}"/>
    <cellStyle name="Style 99 3 3 2 2 3 7 2" xfId="39688" xr:uid="{CC04E8D0-980F-4B97-9C9D-5C620D3128D7}"/>
    <cellStyle name="Style 99 3 3 2 2 3 8" xfId="26214" xr:uid="{264E2E23-39E6-44F7-B470-ECD59B84D9CC}"/>
    <cellStyle name="Style 99 3 3 2 2 4" xfId="21325" xr:uid="{62E1D7E0-3B0D-484E-80D3-BED49BBF813B}"/>
    <cellStyle name="Style 99 3 3 2 2 4 2" xfId="21326" xr:uid="{9AF58C62-8BE4-47E4-8FC0-894B01789DA1}"/>
    <cellStyle name="Style 99 3 3 2 2 4 2 2" xfId="39689" xr:uid="{60EC6F4D-613B-48FB-8B03-CFAED8ACEBCA}"/>
    <cellStyle name="Style 99 3 3 2 2 4 3" xfId="21327" xr:uid="{D4183A43-8F96-44FB-B3F5-96AAF6C7E05E}"/>
    <cellStyle name="Style 99 3 3 2 2 4 3 2" xfId="39690" xr:uid="{AD81558E-5EC0-44D0-BC07-5F890272BCE3}"/>
    <cellStyle name="Style 99 3 3 2 2 4 4" xfId="21328" xr:uid="{9AC12525-0223-407E-8C68-BD27A7D0D4A1}"/>
    <cellStyle name="Style 99 3 3 2 2 4 4 2" xfId="39691" xr:uid="{3005F686-5727-4CF1-B93B-FEE91977C0DC}"/>
    <cellStyle name="Style 99 3 3 2 2 5" xfId="21329" xr:uid="{0928940D-B76D-4608-B1EC-B7EB99E75645}"/>
    <cellStyle name="Style 99 3 3 2 2 5 2" xfId="21330" xr:uid="{426D2576-CB81-4558-8F83-76E64D3AE206}"/>
    <cellStyle name="Style 99 3 3 2 2 5 2 2" xfId="39693" xr:uid="{0CA84EBF-6A0F-4831-8161-F4E6B03BF568}"/>
    <cellStyle name="Style 99 3 3 2 2 5 3" xfId="39692" xr:uid="{767DF2EA-66B2-4820-968A-8312DE6DE813}"/>
    <cellStyle name="Style 99 3 3 2 2 6" xfId="21331" xr:uid="{6F4B32EA-E71B-4169-8EFF-682F495D5295}"/>
    <cellStyle name="Style 99 3 3 2 2 6 2" xfId="21332" xr:uid="{12351179-F0CD-4A41-9590-027F9D83113C}"/>
    <cellStyle name="Style 99 3 3 2 2 6 2 2" xfId="39695" xr:uid="{01E83290-249A-423B-8833-5BBB0BD32B27}"/>
    <cellStyle name="Style 99 3 3 2 2 6 3" xfId="39694" xr:uid="{3CC5725D-6611-4E4E-A33A-9B2671B3A051}"/>
    <cellStyle name="Style 99 3 3 2 2 7" xfId="21333" xr:uid="{B0C849EF-5FBC-4F70-86F9-99E789AB33C8}"/>
    <cellStyle name="Style 99 3 3 2 2 7 2" xfId="21334" xr:uid="{22C0C6BF-C1D1-4B1F-BC23-6583F2D4239E}"/>
    <cellStyle name="Style 99 3 3 2 2 7 2 2" xfId="39697" xr:uid="{6443E4C4-313E-4714-B12B-0883791450F1}"/>
    <cellStyle name="Style 99 3 3 2 2 7 3" xfId="39696" xr:uid="{B002F529-A0F9-4864-A4B0-803C4D27D3A2}"/>
    <cellStyle name="Style 99 3 3 2 2 8" xfId="21335" xr:uid="{46B2723B-0289-4F10-8DC4-36D71987D91B}"/>
    <cellStyle name="Style 99 3 3 2 2 8 2" xfId="21336" xr:uid="{D4B46005-5464-4E68-8D67-36D403531D6F}"/>
    <cellStyle name="Style 99 3 3 2 2 8 2 2" xfId="39699" xr:uid="{10825B58-B436-40EB-AF15-EBFE18FFA03C}"/>
    <cellStyle name="Style 99 3 3 2 2 8 3" xfId="39698" xr:uid="{F269A99E-690F-407D-9583-B21ECBE6D6AB}"/>
    <cellStyle name="Style 99 3 3 2 2 9" xfId="21337" xr:uid="{BDDB812F-0960-4FED-8AFF-200AA9C0994D}"/>
    <cellStyle name="Style 99 3 3 2 2 9 2" xfId="21338" xr:uid="{13AF6976-D5EC-4090-BF28-58B14986BD1D}"/>
    <cellStyle name="Style 99 3 3 2 2 9 2 2" xfId="39701" xr:uid="{51BF73A4-8DDF-48F5-8FA9-34C98E20BC7E}"/>
    <cellStyle name="Style 99 3 3 2 2 9 3" xfId="39700" xr:uid="{6F292929-E414-45DB-BCE4-18057AAA5E47}"/>
    <cellStyle name="Style 99 3 3 2 3" xfId="3914" xr:uid="{7DC7829B-46BD-41D5-9223-471B3300E89C}"/>
    <cellStyle name="Style 99 3 3 2 3 2" xfId="7892" xr:uid="{FC8D8473-094E-41CB-99FC-64FFEE657479}"/>
    <cellStyle name="Style 99 3 3 2 3 2 2" xfId="21339" xr:uid="{25048A4C-1AA0-4D50-83A5-97ED55AD09C8}"/>
    <cellStyle name="Style 99 3 3 2 3 2 2 2" xfId="21340" xr:uid="{EEB33D59-4FB5-460C-AEE0-C6D9F0A9DCF9}"/>
    <cellStyle name="Style 99 3 3 2 3 2 2 2 2" xfId="39703" xr:uid="{4B19F18D-4A66-47EC-9044-161F1B4EDBF5}"/>
    <cellStyle name="Style 99 3 3 2 3 2 2 3" xfId="39702" xr:uid="{EC35E9D3-7C3B-44B9-8870-BFCD06BF3069}"/>
    <cellStyle name="Style 99 3 3 2 3 2 3" xfId="21341" xr:uid="{2F667565-049F-412C-BDEB-2BC9D7592D7E}"/>
    <cellStyle name="Style 99 3 3 2 3 2 3 2" xfId="21342" xr:uid="{CF6A65CB-A1E8-4C4D-9F51-40A75507C4E9}"/>
    <cellStyle name="Style 99 3 3 2 3 2 3 2 2" xfId="39705" xr:uid="{97EBA275-3D60-458F-865A-58804FD08AE6}"/>
    <cellStyle name="Style 99 3 3 2 3 2 3 3" xfId="39704" xr:uid="{17C3DA05-6C15-43C3-9DDD-A822E9EDA5F6}"/>
    <cellStyle name="Style 99 3 3 2 3 2 4" xfId="21343" xr:uid="{CCB955C5-F81B-48D0-BFBA-8DDD1079C96D}"/>
    <cellStyle name="Style 99 3 3 2 3 2 4 2" xfId="21344" xr:uid="{9DA2A37A-554C-4B39-9E78-7DAB5CF98AD3}"/>
    <cellStyle name="Style 99 3 3 2 3 2 4 2 2" xfId="39707" xr:uid="{55E0EA74-424F-4672-9C87-0C9F9B2BE11E}"/>
    <cellStyle name="Style 99 3 3 2 3 2 4 3" xfId="39706" xr:uid="{AB441D5A-BA14-4E47-8231-47D9C9AD1D94}"/>
    <cellStyle name="Style 99 3 3 2 3 2 5" xfId="21345" xr:uid="{12E4E30F-830B-4533-9302-0FBB82EED686}"/>
    <cellStyle name="Style 99 3 3 2 3 2 5 2" xfId="21346" xr:uid="{66E5C8B8-3926-4F13-B1B5-B804F8B9789E}"/>
    <cellStyle name="Style 99 3 3 2 3 2 5 2 2" xfId="39709" xr:uid="{B4ADA28A-0814-47C8-9BED-F4F18001A51E}"/>
    <cellStyle name="Style 99 3 3 2 3 2 5 3" xfId="39708" xr:uid="{09B8F9B2-1135-4291-B09B-47E6D6D9E1E7}"/>
    <cellStyle name="Style 99 3 3 2 3 2 6" xfId="21347" xr:uid="{91DD5EB4-7CD6-4E03-BE6E-79849A542039}"/>
    <cellStyle name="Style 99 3 3 2 3 2 6 2" xfId="39710" xr:uid="{0712BE21-3C77-4144-B9F0-699F7E61DCEB}"/>
    <cellStyle name="Style 99 3 3 2 3 2 7" xfId="21348" xr:uid="{FA213C3F-8DAB-409B-B26A-39ACAE163882}"/>
    <cellStyle name="Style 99 3 3 2 3 2 7 2" xfId="39711" xr:uid="{8C11757E-4F6C-47F6-A8CE-0BD7636CA57D}"/>
    <cellStyle name="Style 99 3 3 2 3 2 8" xfId="26216" xr:uid="{5029112C-3A4D-4DF3-9956-9CF09F83AE0F}"/>
    <cellStyle name="Style 99 3 3 2 3 3" xfId="21349" xr:uid="{918BBBBB-571E-48EB-984D-07013DADF99C}"/>
    <cellStyle name="Style 99 3 3 2 3 3 2" xfId="21350" xr:uid="{12A0F5CB-9F29-4EEC-A1E0-ECC0424D0949}"/>
    <cellStyle name="Style 99 3 3 2 3 3 2 2" xfId="39712" xr:uid="{5C916B02-9457-4C08-82D8-25690391C217}"/>
    <cellStyle name="Style 99 3 3 2 3 3 3" xfId="21351" xr:uid="{6E280F0A-EC13-467B-A706-3598236AB4F5}"/>
    <cellStyle name="Style 99 3 3 2 3 3 3 2" xfId="39713" xr:uid="{8A1023E6-78F2-4229-8248-6E88A440BBC9}"/>
    <cellStyle name="Style 99 3 3 2 3 4" xfId="21352" xr:uid="{018E5C73-A58A-4C87-8101-7A47AE356817}"/>
    <cellStyle name="Style 99 3 3 2 3 4 2" xfId="21353" xr:uid="{45A6D412-A612-4093-B6A9-58EFBD7C9150}"/>
    <cellStyle name="Style 99 3 3 2 3 4 2 2" xfId="39715" xr:uid="{C3AF6FD6-679D-4907-B0A0-CC80564AB09D}"/>
    <cellStyle name="Style 99 3 3 2 3 4 3" xfId="39714" xr:uid="{78BEA499-BB28-43D1-8D79-0833E6B249ED}"/>
    <cellStyle name="Style 99 3 3 2 3 5" xfId="21354" xr:uid="{471706B8-6D0A-4993-953A-6FD604658056}"/>
    <cellStyle name="Style 99 3 3 2 3 5 2" xfId="21355" xr:uid="{6415D8AC-00D4-432C-AF69-9A1A3B5FE049}"/>
    <cellStyle name="Style 99 3 3 2 3 5 2 2" xfId="39717" xr:uid="{BD12B5A9-A3F7-4053-90EF-5D6AFBD3BBC7}"/>
    <cellStyle name="Style 99 3 3 2 3 5 3" xfId="39716" xr:uid="{3827A44C-9804-44C5-A1BB-51BE085D3A90}"/>
    <cellStyle name="Style 99 3 3 2 3 6" xfId="21356" xr:uid="{8F0A33E2-C5EE-49FE-AF79-ECB52C73CD2B}"/>
    <cellStyle name="Style 99 3 3 2 3 6 2" xfId="21357" xr:uid="{1C1B1719-6614-4040-B37C-C239E57F4AAE}"/>
    <cellStyle name="Style 99 3 3 2 3 6 2 2" xfId="39719" xr:uid="{96DB5242-359D-41E9-8EEE-DBF6C65BC7AC}"/>
    <cellStyle name="Style 99 3 3 2 3 6 3" xfId="39718" xr:uid="{2B7E4CBA-898E-4BEB-864B-BDB7468F08EB}"/>
    <cellStyle name="Style 99 3 3 2 3 7" xfId="21358" xr:uid="{629453B0-C36F-42FB-9FF6-09BEE6BF95EC}"/>
    <cellStyle name="Style 99 3 3 2 3 7 2" xfId="21359" xr:uid="{8689891E-558D-47F0-B61B-70E9E94AF182}"/>
    <cellStyle name="Style 99 3 3 2 3 7 2 2" xfId="39721" xr:uid="{5321D534-F81D-43A5-9786-681E99AE8DD6}"/>
    <cellStyle name="Style 99 3 3 2 3 7 3" xfId="39720" xr:uid="{676E94E9-859C-487F-9346-A094D08BEBBE}"/>
    <cellStyle name="Style 99 3 3 2 3 8" xfId="21360" xr:uid="{1F624816-B5BF-4D77-9A44-D9E094941A7C}"/>
    <cellStyle name="Style 99 3 3 2 3 8 2" xfId="39722" xr:uid="{C3080E4E-B13E-49E0-B726-182149295247}"/>
    <cellStyle name="Style 99 3 3 2 3 9" xfId="21361" xr:uid="{F5AF6D7A-62A4-489A-AAE4-9102FBDC609A}"/>
    <cellStyle name="Style 99 3 3 2 3 9 2" xfId="39723" xr:uid="{B9CFED0E-EAFB-48DC-A9DC-C6005004531F}"/>
    <cellStyle name="Style 99 3 3 2 4" xfId="4239" xr:uid="{66B4BA68-85E3-426A-8210-1A3AEA14FC53}"/>
    <cellStyle name="Style 99 3 3 2 4 2" xfId="21362" xr:uid="{1F5C2271-CE09-4CC4-BFE5-B5B194AC3124}"/>
    <cellStyle name="Style 99 3 3 2 4 2 2" xfId="21363" xr:uid="{25D42991-6A16-449F-BD62-7A61175CBE5F}"/>
    <cellStyle name="Style 99 3 3 2 4 2 2 2" xfId="39724" xr:uid="{5A36DC4B-E51C-4922-AC0D-6E7BDBCC0A3A}"/>
    <cellStyle name="Style 99 3 3 2 4 2 3" xfId="21364" xr:uid="{B78D0A53-90DB-45C6-B70B-DC59B201EE06}"/>
    <cellStyle name="Style 99 3 3 2 4 2 3 2" xfId="39725" xr:uid="{CF0BB894-006B-46B3-9FDF-2D7FFDB092CE}"/>
    <cellStyle name="Style 99 3 3 2 4 2 4" xfId="21365" xr:uid="{6BBB8A77-3400-4FCF-9714-7C4BB8F738ED}"/>
    <cellStyle name="Style 99 3 3 2 4 2 4 2" xfId="39726" xr:uid="{BF3AAEFD-12F9-40CA-806D-9F4C61150396}"/>
    <cellStyle name="Style 99 3 3 2 4 3" xfId="21366" xr:uid="{8517513C-1107-4A6B-A531-29A7B4A427BF}"/>
    <cellStyle name="Style 99 3 3 2 4 3 2" xfId="21367" xr:uid="{08A14482-70CD-47D6-9CA0-98774DCCFD33}"/>
    <cellStyle name="Style 99 3 3 2 4 3 2 2" xfId="39728" xr:uid="{3BCF51A4-A56C-4B1B-B7D1-F6CAE28A1D67}"/>
    <cellStyle name="Style 99 3 3 2 4 3 3" xfId="39727" xr:uid="{0BF8E369-522B-45F1-9482-8BB78D226B59}"/>
    <cellStyle name="Style 99 3 3 2 4 4" xfId="21368" xr:uid="{F2184D62-9DB5-4F90-88B9-5E9766EB4A99}"/>
    <cellStyle name="Style 99 3 3 2 4 4 2" xfId="21369" xr:uid="{BB2E062C-2ED5-46F5-9C9A-19216D50B890}"/>
    <cellStyle name="Style 99 3 3 2 4 4 2 2" xfId="39730" xr:uid="{FC7D7EBF-D964-47CE-B340-049058BD6B5F}"/>
    <cellStyle name="Style 99 3 3 2 4 4 3" xfId="39729" xr:uid="{00452356-9916-4B2C-94FA-A4BEFD48D2C0}"/>
    <cellStyle name="Style 99 3 3 2 4 5" xfId="21370" xr:uid="{71B9088A-B9E7-465A-A4D2-FD09B330A74F}"/>
    <cellStyle name="Style 99 3 3 2 4 5 2" xfId="21371" xr:uid="{5597B04B-9A29-4731-8958-B27F881E476E}"/>
    <cellStyle name="Style 99 3 3 2 4 5 2 2" xfId="39732" xr:uid="{65F02345-A446-41B6-B877-DDE9FD4D8B00}"/>
    <cellStyle name="Style 99 3 3 2 4 5 3" xfId="39731" xr:uid="{68713131-BB0E-4A96-B6BB-131F9012DD05}"/>
    <cellStyle name="Style 99 3 3 2 4 6" xfId="21372" xr:uid="{4267F647-D7F5-45FC-A27C-139B5D9C0144}"/>
    <cellStyle name="Style 99 3 3 2 4 6 2" xfId="39733" xr:uid="{BEC23037-BFAA-4C74-A989-5DEB389EDF7A}"/>
    <cellStyle name="Style 99 3 3 2 4 7" xfId="21373" xr:uid="{46A7CFE1-77FD-42BE-971E-4228608AE1B7}"/>
    <cellStyle name="Style 99 3 3 2 4 7 2" xfId="39734" xr:uid="{2B7787A4-6000-453E-87D3-F4F2880DC47C}"/>
    <cellStyle name="Style 99 3 3 2 4 8" xfId="26213" xr:uid="{BB60CF59-D986-42A3-977D-C6216A9C20F0}"/>
    <cellStyle name="Style 99 3 3 2 5" xfId="7889" xr:uid="{B57D7650-6420-4141-A0E1-B8BEE2E5F6A9}"/>
    <cellStyle name="Style 99 3 3 2 5 2" xfId="21374" xr:uid="{51E1133F-975E-46A3-A8F6-B6E3D4E1B584}"/>
    <cellStyle name="Style 99 3 3 2 5 2 2" xfId="39735" xr:uid="{E11791C8-B518-4879-B93F-649AC0911D32}"/>
    <cellStyle name="Style 99 3 3 2 5 3" xfId="21375" xr:uid="{48D33BEB-9A5F-4FC7-9EF6-1ED4029E32CE}"/>
    <cellStyle name="Style 99 3 3 2 5 3 2" xfId="39736" xr:uid="{8423E322-1063-4FC8-B19D-3EBCC16F3C21}"/>
    <cellStyle name="Style 99 3 3 2 5 4" xfId="21376" xr:uid="{BEC4CD07-01DD-4572-99C7-366CC946D2DB}"/>
    <cellStyle name="Style 99 3 3 2 5 4 2" xfId="39737" xr:uid="{4E77EC5A-CDCC-4B58-9F84-80FB0FDD3D74}"/>
    <cellStyle name="Style 99 3 3 2 6" xfId="21377" xr:uid="{F28408D8-930D-4A47-8126-21A51A24B24C}"/>
    <cellStyle name="Style 99 3 3 2 6 2" xfId="21378" xr:uid="{2591E774-A37A-47CB-BDBC-06EA850296E3}"/>
    <cellStyle name="Style 99 3 3 2 6 2 2" xfId="39739" xr:uid="{AFD41F2B-51BD-43A0-992E-8CE5BF71AF03}"/>
    <cellStyle name="Style 99 3 3 2 6 3" xfId="39738" xr:uid="{BD8C100A-5391-4954-AE27-1A474AF4FD59}"/>
    <cellStyle name="Style 99 3 3 2 7" xfId="21379" xr:uid="{E9324680-BBB9-4213-861F-6F6321194D4E}"/>
    <cellStyle name="Style 99 3 3 2 7 2" xfId="21380" xr:uid="{D758D5AC-355E-4958-AE3F-02564EEA9EB4}"/>
    <cellStyle name="Style 99 3 3 2 7 2 2" xfId="39741" xr:uid="{05F03DE0-2B8C-48B1-866F-C6ADBF8B1D2D}"/>
    <cellStyle name="Style 99 3 3 2 7 3" xfId="39740" xr:uid="{368B734E-66E6-4DE5-833C-58F843A6CE0B}"/>
    <cellStyle name="Style 99 3 3 2 8" xfId="21381" xr:uid="{FCFBC3B0-3464-47AB-BD0D-1DEC3A322EC0}"/>
    <cellStyle name="Style 99 3 3 2 8 2" xfId="21382" xr:uid="{B9361F46-395B-40F6-8F71-E8BA7CE935F3}"/>
    <cellStyle name="Style 99 3 3 2 8 2 2" xfId="39743" xr:uid="{4898D8B3-CFAE-45C8-8B23-A7EE6AA069FC}"/>
    <cellStyle name="Style 99 3 3 2 8 3" xfId="39742" xr:uid="{C09B7E32-3519-4D7F-B1A2-7176D6204E83}"/>
    <cellStyle name="Style 99 3 3 2 9" xfId="21383" xr:uid="{83ADC305-B579-4FE9-B6BD-996C2ABADB96}"/>
    <cellStyle name="Style 99 3 3 2 9 2" xfId="21384" xr:uid="{E45F0E69-B718-4F3B-B23B-C8EF0BE3D88B}"/>
    <cellStyle name="Style 99 3 3 2 9 2 2" xfId="39745" xr:uid="{9B36C519-63CC-433C-A52C-4A2FBBCC8D24}"/>
    <cellStyle name="Style 99 3 3 2 9 3" xfId="39744" xr:uid="{24341EB3-5BF2-4960-A757-7EF955175398}"/>
    <cellStyle name="Style 99 3 3 3" xfId="3915" xr:uid="{80AD637F-2B89-4248-BCDC-7AEA162E06A6}"/>
    <cellStyle name="Style 99 3 3 3 10" xfId="24303" xr:uid="{32D1E007-3A84-4091-887F-58D152CD128B}"/>
    <cellStyle name="Style 99 3 3 3 2" xfId="7894" xr:uid="{B6DD1E03-7E6B-4B28-8FAD-C2AFF5D6C559}"/>
    <cellStyle name="Style 99 3 3 3 2 2" xfId="21385" xr:uid="{25F4E716-0278-4B1A-8B74-6930EDE66F4B}"/>
    <cellStyle name="Style 99 3 3 3 2 2 2" xfId="21386" xr:uid="{904D2DCF-F527-4CCD-952E-46C27A0502B1}"/>
    <cellStyle name="Style 99 3 3 3 2 2 2 2" xfId="39746" xr:uid="{24F61722-4075-40DC-AE4D-7A3CC4D87112}"/>
    <cellStyle name="Style 99 3 3 3 2 2 3" xfId="21387" xr:uid="{C82B3531-BD30-40CC-94D4-4B359D80F4EC}"/>
    <cellStyle name="Style 99 3 3 3 2 2 3 2" xfId="39747" xr:uid="{087D5E50-5F85-4098-8291-24A9C9EB3CFE}"/>
    <cellStyle name="Style 99 3 3 3 2 2 4" xfId="21388" xr:uid="{715B1305-4D19-4047-A4C7-B332A7582DB4}"/>
    <cellStyle name="Style 99 3 3 3 2 2 4 2" xfId="39748" xr:uid="{BF971542-5A7E-4904-9673-A9FF80853930}"/>
    <cellStyle name="Style 99 3 3 3 2 3" xfId="21389" xr:uid="{A452D059-80F9-4CED-BC0C-51523180DCD3}"/>
    <cellStyle name="Style 99 3 3 3 2 3 2" xfId="21390" xr:uid="{D124F55B-E4A3-4AA0-BA24-2B90F0E5DFE4}"/>
    <cellStyle name="Style 99 3 3 3 2 3 2 2" xfId="39750" xr:uid="{CABE5ABB-A3AE-4A77-8304-5B9FAD406025}"/>
    <cellStyle name="Style 99 3 3 3 2 3 3" xfId="39749" xr:uid="{C9103D7F-328A-4D08-B4AE-5039F289CEB6}"/>
    <cellStyle name="Style 99 3 3 3 2 4" xfId="21391" xr:uid="{28D9F597-3A59-40CF-A23D-150DB0784FE7}"/>
    <cellStyle name="Style 99 3 3 3 2 4 2" xfId="21392" xr:uid="{9528972E-8E1B-4798-A306-094E165F8065}"/>
    <cellStyle name="Style 99 3 3 3 2 4 2 2" xfId="39752" xr:uid="{36872F4B-5E57-45F2-900D-15C006148F31}"/>
    <cellStyle name="Style 99 3 3 3 2 4 3" xfId="39751" xr:uid="{4867DDAC-1272-4889-990E-E9B85535AEB7}"/>
    <cellStyle name="Style 99 3 3 3 2 5" xfId="21393" xr:uid="{8EE218E0-4B00-4C3A-83EE-5DA7BF2301A9}"/>
    <cellStyle name="Style 99 3 3 3 2 5 2" xfId="21394" xr:uid="{091E562A-3DF7-41D5-86FE-AA7677E30F06}"/>
    <cellStyle name="Style 99 3 3 3 2 5 2 2" xfId="39754" xr:uid="{89CC814E-AC63-4028-9FD8-32C56BD4D628}"/>
    <cellStyle name="Style 99 3 3 3 2 5 3" xfId="39753" xr:uid="{CD825CD5-7360-46B6-9986-C4CAA6FEAEC6}"/>
    <cellStyle name="Style 99 3 3 3 2 6" xfId="21395" xr:uid="{E08805FB-0911-442D-BBC5-23EDB8EFE70E}"/>
    <cellStyle name="Style 99 3 3 3 2 6 2" xfId="39755" xr:uid="{D9913A9E-F90D-473C-99D8-D0413E18BA5D}"/>
    <cellStyle name="Style 99 3 3 3 2 7" xfId="21396" xr:uid="{5CE74C1E-1E6A-4062-B235-662DC81CAD02}"/>
    <cellStyle name="Style 99 3 3 3 2 7 2" xfId="39756" xr:uid="{9FC76816-E16A-4109-AFA0-5F096CFEC13A}"/>
    <cellStyle name="Style 99 3 3 3 3" xfId="7893" xr:uid="{41246717-8CCA-4FF9-A193-8C4F4D7BB07E}"/>
    <cellStyle name="Style 99 3 3 3 3 2" xfId="21397" xr:uid="{164B820F-2653-4ECE-8E58-5655A83589E4}"/>
    <cellStyle name="Style 99 3 3 3 3 2 2" xfId="39757" xr:uid="{85B168CA-201C-451C-A3C5-CC7DFDDA2520}"/>
    <cellStyle name="Style 99 3 3 3 3 3" xfId="21398" xr:uid="{659F75EF-10F2-4F4F-962E-BA2461FF50A8}"/>
    <cellStyle name="Style 99 3 3 3 3 3 2" xfId="39758" xr:uid="{09602585-73AB-4B6C-862C-ECDA325AB9C1}"/>
    <cellStyle name="Style 99 3 3 3 3 4" xfId="21399" xr:uid="{3C5171AE-5B64-4903-BFEE-219DFA8BDF3B}"/>
    <cellStyle name="Style 99 3 3 3 3 4 2" xfId="39759" xr:uid="{7136C6C6-26CE-43CC-8560-181A7AE02346}"/>
    <cellStyle name="Style 99 3 3 3 4" xfId="21400" xr:uid="{E76114CF-6A4C-454E-8B0D-7F21664D086D}"/>
    <cellStyle name="Style 99 3 3 3 4 2" xfId="21401" xr:uid="{AA515952-1061-4F23-BEFD-6B05093724B1}"/>
    <cellStyle name="Style 99 3 3 3 4 2 2" xfId="39761" xr:uid="{F2B7CDD5-8389-4670-BAB7-607EF0BF2543}"/>
    <cellStyle name="Style 99 3 3 3 4 3" xfId="39760" xr:uid="{4E26D1CC-42E0-430B-B826-4B72BEA73B98}"/>
    <cellStyle name="Style 99 3 3 3 5" xfId="21402" xr:uid="{9523843F-8D1A-4324-8FC3-369A55A96534}"/>
    <cellStyle name="Style 99 3 3 3 5 2" xfId="21403" xr:uid="{B4C9842B-F5C9-4BFF-B299-0FF076717301}"/>
    <cellStyle name="Style 99 3 3 3 5 2 2" xfId="39763" xr:uid="{7AD5C152-48C8-45F8-A9FE-32F8417ED9E9}"/>
    <cellStyle name="Style 99 3 3 3 5 3" xfId="39762" xr:uid="{C84B08A4-AF75-4E57-9D30-C89C663D885F}"/>
    <cellStyle name="Style 99 3 3 3 6" xfId="21404" xr:uid="{FB9E37C1-1025-4074-8C9D-026F9D24142E}"/>
    <cellStyle name="Style 99 3 3 3 6 2" xfId="21405" xr:uid="{1106036B-D01F-4BF6-8EF4-17E47F4A602E}"/>
    <cellStyle name="Style 99 3 3 3 6 2 2" xfId="39765" xr:uid="{A55286FB-B282-4D9E-8A45-BFD9B490C3CC}"/>
    <cellStyle name="Style 99 3 3 3 6 3" xfId="39764" xr:uid="{B70C38C2-B32A-49F3-9638-F6C93B39B945}"/>
    <cellStyle name="Style 99 3 3 3 7" xfId="21406" xr:uid="{8EA785D2-D62E-446C-A812-9793DBAA2632}"/>
    <cellStyle name="Style 99 3 3 3 7 2" xfId="21407" xr:uid="{6A026A23-7C12-4A19-B144-58885C248290}"/>
    <cellStyle name="Style 99 3 3 3 7 2 2" xfId="39767" xr:uid="{C05DECDD-21DC-4F01-82AC-17CB5C2CD9AC}"/>
    <cellStyle name="Style 99 3 3 3 7 3" xfId="39766" xr:uid="{202398C1-67B6-4023-8D4A-75F1C955CA17}"/>
    <cellStyle name="Style 99 3 3 3 8" xfId="21408" xr:uid="{44CA4876-5734-402C-880D-DBBE7523B59D}"/>
    <cellStyle name="Style 99 3 3 3 8 2" xfId="39768" xr:uid="{BA7B1702-4C0E-4D5E-8D69-DF7816D2B43E}"/>
    <cellStyle name="Style 99 3 3 3 9" xfId="21409" xr:uid="{5B884F44-68F8-4CA1-A1E9-8D232D55D6D1}"/>
    <cellStyle name="Style 99 3 3 3 9 2" xfId="39769" xr:uid="{A03FE5C0-8286-47C9-A2AC-1FF9419F8036}"/>
    <cellStyle name="Style 99 3 3 4" xfId="4238" xr:uid="{E8882794-3330-4CD9-BF04-F259FB68E088}"/>
    <cellStyle name="Style 99 3 3 4 2" xfId="7895" xr:uid="{F0F52175-03BC-4CD5-B963-129660B4B622}"/>
    <cellStyle name="Style 99 3 3 4 2 2" xfId="21410" xr:uid="{4A697E96-2451-4BB9-9EC3-E6A4C6F3214A}"/>
    <cellStyle name="Style 99 3 3 4 2 2 2" xfId="39770" xr:uid="{EF87ABC1-2ABD-4D43-980D-92CC71858ABB}"/>
    <cellStyle name="Style 99 3 3 4 2 3" xfId="21411" xr:uid="{4E3D3F5B-6943-487D-875C-4C846DFFB415}"/>
    <cellStyle name="Style 99 3 3 4 2 3 2" xfId="39771" xr:uid="{9745B190-8B8C-4CA2-95E6-970AE4629E16}"/>
    <cellStyle name="Style 99 3 3 4 2 4" xfId="21412" xr:uid="{98F14E7F-4ED0-4CD3-B333-A15D45A59D4D}"/>
    <cellStyle name="Style 99 3 3 4 2 4 2" xfId="39772" xr:uid="{F80D1FD7-455B-45BC-8200-AD75E523749C}"/>
    <cellStyle name="Style 99 3 3 4 3" xfId="21413" xr:uid="{B45D3C1C-FC2E-4796-825B-38F8DDB42664}"/>
    <cellStyle name="Style 99 3 3 4 3 2" xfId="21414" xr:uid="{6C9F16B8-32E9-480C-9D0D-F7AAA097C241}"/>
    <cellStyle name="Style 99 3 3 4 3 2 2" xfId="39773" xr:uid="{E0B8E215-A1CD-420B-818E-37574D7457A2}"/>
    <cellStyle name="Style 99 3 3 4 3 3" xfId="21415" xr:uid="{431221F9-1ABB-4E25-BA3F-BD20C8FC4A6B}"/>
    <cellStyle name="Style 99 3 3 4 3 3 2" xfId="39774" xr:uid="{3DFE3B1A-3C44-4650-AA4A-EBF809CF221A}"/>
    <cellStyle name="Style 99 3 3 4 4" xfId="21416" xr:uid="{096949EF-3BBB-4E17-89F2-7AAD6C7EDDA5}"/>
    <cellStyle name="Style 99 3 3 4 4 2" xfId="21417" xr:uid="{FCA060DD-23A2-4E0F-B454-162FD9B06302}"/>
    <cellStyle name="Style 99 3 3 4 4 2 2" xfId="39776" xr:uid="{D6C1F6E0-9EAD-426A-AB95-3B8DC35BA0F9}"/>
    <cellStyle name="Style 99 3 3 4 4 3" xfId="39775" xr:uid="{46B3EB52-CE33-4EAC-A06D-85D8A1B18DB7}"/>
    <cellStyle name="Style 99 3 3 4 5" xfId="21418" xr:uid="{2569FF20-54C2-4676-98F0-8EF4CE1D01D9}"/>
    <cellStyle name="Style 99 3 3 4 5 2" xfId="21419" xr:uid="{5D7FBD6A-DA53-4D76-8D76-DF3038B12070}"/>
    <cellStyle name="Style 99 3 3 4 5 2 2" xfId="39778" xr:uid="{7ADA0554-29D5-439C-879B-A7B99C264838}"/>
    <cellStyle name="Style 99 3 3 4 5 3" xfId="39777" xr:uid="{480ECDCD-5602-481F-B2E8-45D747DB504D}"/>
    <cellStyle name="Style 99 3 3 4 6" xfId="21420" xr:uid="{744B6D46-4476-434E-9FA8-6EBCFF76CECD}"/>
    <cellStyle name="Style 99 3 3 4 6 2" xfId="39779" xr:uid="{ED937090-9AC0-4286-94A6-EAB5B1C29631}"/>
    <cellStyle name="Style 99 3 3 4 7" xfId="21421" xr:uid="{AB4CF3E9-7447-4502-8FE0-6854E32D6313}"/>
    <cellStyle name="Style 99 3 3 4 7 2" xfId="39780" xr:uid="{AC116A12-AA3E-4D34-A246-BE471E11B478}"/>
    <cellStyle name="Style 99 3 3 5" xfId="7896" xr:uid="{C33DA703-3DFF-46C3-BCB4-0F6B177401D3}"/>
    <cellStyle name="Style 99 3 3 5 2" xfId="21422" xr:uid="{1BF37A5C-59E9-40A3-BCC6-23AFBA837C3A}"/>
    <cellStyle name="Style 99 3 3 5 2 2" xfId="39781" xr:uid="{D09C37DE-B51F-487A-BD98-F3E15CBA56D2}"/>
    <cellStyle name="Style 99 3 3 5 3" xfId="21423" xr:uid="{7E0B3F27-E1C3-4710-A335-CD7D82F982A3}"/>
    <cellStyle name="Style 99 3 3 5 3 2" xfId="39782" xr:uid="{AD48076F-6512-4554-941D-6D0DC777E3E5}"/>
    <cellStyle name="Style 99 3 3 5 4" xfId="21424" xr:uid="{C46DEDCD-66F6-45D4-9604-CD7A2FB2AC69}"/>
    <cellStyle name="Style 99 3 3 5 4 2" xfId="39783" xr:uid="{7C4E118A-A966-49A5-89F5-C531E11B41AB}"/>
    <cellStyle name="Style 99 3 3 6" xfId="7888" xr:uid="{E513885F-494B-4F7B-941F-4386AC74D3DC}"/>
    <cellStyle name="Style 99 3 3 6 2" xfId="21425" xr:uid="{ABD96CA5-94FE-4C20-8D82-56F2F0A2D16D}"/>
    <cellStyle name="Style 99 3 3 6 2 2" xfId="39784" xr:uid="{8E157F78-2A9C-4271-9635-FD8B9FD8A86B}"/>
    <cellStyle name="Style 99 3 3 6 3" xfId="21426" xr:uid="{6895B3BB-E983-4E91-B16C-7E5121B68CB9}"/>
    <cellStyle name="Style 99 3 3 6 3 2" xfId="39785" xr:uid="{07084C7E-9F31-4170-80C5-C3BA1B5ABCBF}"/>
    <cellStyle name="Style 99 3 3 7" xfId="21427" xr:uid="{E45BD987-3C06-4231-9092-66FAD89BB9E3}"/>
    <cellStyle name="Style 99 3 3 7 2" xfId="21428" xr:uid="{0F1E4E41-0153-43B7-B1E2-583E3A71CD09}"/>
    <cellStyle name="Style 99 3 3 7 2 2" xfId="39787" xr:uid="{E19351EE-36EA-49DD-85A5-142B410D5AE2}"/>
    <cellStyle name="Style 99 3 3 7 3" xfId="39786" xr:uid="{D3D296E8-1A4D-4F32-8AA8-778F0E066205}"/>
    <cellStyle name="Style 99 3 3 8" xfId="21429" xr:uid="{064FFB1D-A240-4AFB-AD4C-A67241F3843B}"/>
    <cellStyle name="Style 99 3 3 8 2" xfId="21430" xr:uid="{F4422571-3723-4F7F-8C30-13D97EB0F93D}"/>
    <cellStyle name="Style 99 3 3 8 2 2" xfId="39789" xr:uid="{84E0A49D-C43B-4805-8AE1-DDC088BD3305}"/>
    <cellStyle name="Style 99 3 3 8 3" xfId="39788" xr:uid="{01FB234E-AED5-4875-B7F0-39BC02485E14}"/>
    <cellStyle name="Style 99 3 3 9" xfId="21431" xr:uid="{FEEF1CB5-CF3E-462D-8586-36FF51CE5E43}"/>
    <cellStyle name="Style 99 3 3 9 2" xfId="21432" xr:uid="{430932F5-06DC-42F1-A5A0-0E72BB68AE14}"/>
    <cellStyle name="Style 99 3 3 9 2 2" xfId="39791" xr:uid="{739BFA3D-88DB-48DF-B22F-EB883BF14635}"/>
    <cellStyle name="Style 99 3 3 9 3" xfId="39790" xr:uid="{45ED0B9D-798A-44D3-8E60-559C32A861E2}"/>
    <cellStyle name="Style 99 3 4" xfId="3916" xr:uid="{947E1737-98E5-4245-8092-67A047C3677A}"/>
    <cellStyle name="Style 99 3 4 10" xfId="21433" xr:uid="{147DFB35-9359-4FF8-B8C8-3DDD342466FE}"/>
    <cellStyle name="Style 99 3 4 10 2" xfId="39792" xr:uid="{34E96A6D-F555-48EC-B1D2-D44267E8A783}"/>
    <cellStyle name="Style 99 3 4 11" xfId="21434" xr:uid="{1EF66DD0-C1F6-4DCA-AF34-D7D463E6A99F}"/>
    <cellStyle name="Style 99 3 4 11 2" xfId="39793" xr:uid="{C69CE5A7-1796-4556-9199-BCF7DE83BA33}"/>
    <cellStyle name="Style 99 3 4 2" xfId="3917" xr:uid="{74A742F7-98C0-43DC-BFE7-2DA58DBC72CE}"/>
    <cellStyle name="Style 99 3 4 2 2" xfId="7898" xr:uid="{5F0906A3-5718-488C-ACBA-8B0C6777E028}"/>
    <cellStyle name="Style 99 3 4 2 2 2" xfId="21435" xr:uid="{E702381D-735E-43F4-A048-82A17C45DDF5}"/>
    <cellStyle name="Style 99 3 4 2 2 2 2" xfId="21436" xr:uid="{A251915A-5E33-4454-80A8-51B5A131CEFC}"/>
    <cellStyle name="Style 99 3 4 2 2 2 2 2" xfId="39795" xr:uid="{6EAA5DC6-FDD9-4EBD-BA73-B1CD2A268951}"/>
    <cellStyle name="Style 99 3 4 2 2 2 3" xfId="39794" xr:uid="{887BC704-BDEC-45A2-A2A1-804F2AFC8415}"/>
    <cellStyle name="Style 99 3 4 2 2 3" xfId="21437" xr:uid="{65589747-9BD4-4A95-B0E1-74B62F9E6BCD}"/>
    <cellStyle name="Style 99 3 4 2 2 3 2" xfId="21438" xr:uid="{159DB965-9BC1-4D54-A450-A26AE496CAEB}"/>
    <cellStyle name="Style 99 3 4 2 2 3 2 2" xfId="39797" xr:uid="{42B1CDDF-465D-48A5-82CC-11FBD2C6F917}"/>
    <cellStyle name="Style 99 3 4 2 2 3 3" xfId="39796" xr:uid="{6D291EC8-0E66-4439-A826-BBE3C83256A3}"/>
    <cellStyle name="Style 99 3 4 2 2 4" xfId="21439" xr:uid="{B9502D03-08FF-445E-8343-5779FB0D4D30}"/>
    <cellStyle name="Style 99 3 4 2 2 4 2" xfId="21440" xr:uid="{8E0DA81A-1C1B-4EEC-A7E7-B0A82591049D}"/>
    <cellStyle name="Style 99 3 4 2 2 4 2 2" xfId="39799" xr:uid="{8F2E65CC-3744-40F6-81AB-9A590EDDEAB7}"/>
    <cellStyle name="Style 99 3 4 2 2 4 3" xfId="39798" xr:uid="{EBBE8B0F-E12C-41DB-BC31-51A9A33AC8A5}"/>
    <cellStyle name="Style 99 3 4 2 2 5" xfId="21441" xr:uid="{C31FB565-14A8-4522-B245-D5776AC7B32A}"/>
    <cellStyle name="Style 99 3 4 2 2 5 2" xfId="21442" xr:uid="{1BB796DA-CEEA-4491-A169-D2E059CD782A}"/>
    <cellStyle name="Style 99 3 4 2 2 5 2 2" xfId="39801" xr:uid="{93FB3DD5-4C97-42F7-A608-E4D253C98E2D}"/>
    <cellStyle name="Style 99 3 4 2 2 5 3" xfId="39800" xr:uid="{3BAB08BD-8698-4DD7-ABB3-3D5165937BA7}"/>
    <cellStyle name="Style 99 3 4 2 2 6" xfId="21443" xr:uid="{07523BA9-91AC-4A5B-80B0-2EA607573BFD}"/>
    <cellStyle name="Style 99 3 4 2 2 6 2" xfId="39802" xr:uid="{D0402BD5-605B-4DB9-B250-7F9C9BB5AF43}"/>
    <cellStyle name="Style 99 3 4 2 2 7" xfId="21444" xr:uid="{3F4ACEC9-D9AE-489F-9AEE-4EAC82643F9C}"/>
    <cellStyle name="Style 99 3 4 2 2 7 2" xfId="39803" xr:uid="{AA5618E8-371B-4E48-B1EB-1754A4F0E188}"/>
    <cellStyle name="Style 99 3 4 2 2 8" xfId="26218" xr:uid="{27BBBC0B-4581-49C1-ADFA-BD38588916B8}"/>
    <cellStyle name="Style 99 3 4 2 3" xfId="21445" xr:uid="{96F14B4D-62DF-4883-9D43-685D51E0119E}"/>
    <cellStyle name="Style 99 3 4 2 3 2" xfId="21446" xr:uid="{CDD55CB5-9FF7-422E-8F31-FA1751F3CD25}"/>
    <cellStyle name="Style 99 3 4 2 3 2 2" xfId="39804" xr:uid="{F345DCA1-7F54-443F-8620-2CE2EE74C119}"/>
    <cellStyle name="Style 99 3 4 2 3 3" xfId="21447" xr:uid="{9F894F41-BA13-43F5-86B5-5068AFF02DCB}"/>
    <cellStyle name="Style 99 3 4 2 3 3 2" xfId="39805" xr:uid="{A60A1424-D1C8-41E0-85AD-18C31E083FA6}"/>
    <cellStyle name="Style 99 3 4 2 4" xfId="21448" xr:uid="{88897F47-899F-4045-AD94-B179854A48DD}"/>
    <cellStyle name="Style 99 3 4 2 4 2" xfId="21449" xr:uid="{57506D9E-D02A-4750-9032-FAC3203DCF31}"/>
    <cellStyle name="Style 99 3 4 2 4 2 2" xfId="39807" xr:uid="{5D50BD78-C072-4058-82EC-8D6F53FE163E}"/>
    <cellStyle name="Style 99 3 4 2 4 3" xfId="39806" xr:uid="{E30C9D7E-20D9-4028-957C-43CD3E0CE866}"/>
    <cellStyle name="Style 99 3 4 2 5" xfId="21450" xr:uid="{E25B9507-E07B-43BA-8766-2156EFF8444D}"/>
    <cellStyle name="Style 99 3 4 2 5 2" xfId="21451" xr:uid="{DFA118E2-4094-43A1-B8DE-AF7AF50D66F5}"/>
    <cellStyle name="Style 99 3 4 2 5 2 2" xfId="39809" xr:uid="{FB620E84-3BFE-4FB5-BEEC-5265DFC56296}"/>
    <cellStyle name="Style 99 3 4 2 5 3" xfId="39808" xr:uid="{9586BBE4-1FC8-4BDE-9DAD-E6B11EF4193C}"/>
    <cellStyle name="Style 99 3 4 2 6" xfId="21452" xr:uid="{4CD38B39-CCCE-4405-BC93-E1D541E8292A}"/>
    <cellStyle name="Style 99 3 4 2 6 2" xfId="21453" xr:uid="{5D55EDC7-9BF3-4A65-8CCB-AE719175E081}"/>
    <cellStyle name="Style 99 3 4 2 6 2 2" xfId="39811" xr:uid="{825C8632-7453-4018-A51F-38F2C7C5310F}"/>
    <cellStyle name="Style 99 3 4 2 6 3" xfId="39810" xr:uid="{A216B473-BAA9-499F-A80D-A394FD9BF957}"/>
    <cellStyle name="Style 99 3 4 2 7" xfId="21454" xr:uid="{B08EA8A0-9E47-4FA5-BF16-69D340E27FD9}"/>
    <cellStyle name="Style 99 3 4 2 7 2" xfId="21455" xr:uid="{A3F5D8CF-9189-4879-B0DF-2E58F50A1193}"/>
    <cellStyle name="Style 99 3 4 2 7 2 2" xfId="39813" xr:uid="{AD5E92B3-591E-4C6D-9CAD-DC252EFBD138}"/>
    <cellStyle name="Style 99 3 4 2 7 3" xfId="39812" xr:uid="{C82800C7-2913-4734-AD9D-5265A15894D4}"/>
    <cellStyle name="Style 99 3 4 2 8" xfId="21456" xr:uid="{627B2D46-9506-4741-B4ED-15460AABBA86}"/>
    <cellStyle name="Style 99 3 4 2 8 2" xfId="39814" xr:uid="{C38104A9-97D3-4B64-811A-B68346403DE4}"/>
    <cellStyle name="Style 99 3 4 2 9" xfId="21457" xr:uid="{060FE7CD-37CE-4D74-81E4-B6AEB5CE6D08}"/>
    <cellStyle name="Style 99 3 4 2 9 2" xfId="39815" xr:uid="{E5E6D86D-BAC5-4D1F-B90C-92271ACAA503}"/>
    <cellStyle name="Style 99 3 4 3" xfId="4240" xr:uid="{6553917A-FD5F-474A-9400-E0DB0474CEB0}"/>
    <cellStyle name="Style 99 3 4 3 2" xfId="21458" xr:uid="{4F873117-E1FA-4623-A329-97DDB073F155}"/>
    <cellStyle name="Style 99 3 4 3 2 2" xfId="21459" xr:uid="{291461B3-ABD2-437B-946F-5FFEA610E550}"/>
    <cellStyle name="Style 99 3 4 3 2 2 2" xfId="39816" xr:uid="{C8ABDB28-1E93-49A0-A33F-2AB9381CA2A6}"/>
    <cellStyle name="Style 99 3 4 3 2 3" xfId="21460" xr:uid="{03911E53-B080-4891-8DC0-5C88F3010C29}"/>
    <cellStyle name="Style 99 3 4 3 2 3 2" xfId="39817" xr:uid="{4FEF556B-A59C-4448-9BF6-588A351B01FD}"/>
    <cellStyle name="Style 99 3 4 3 2 4" xfId="21461" xr:uid="{742601C7-94AB-40B3-B630-BF416CC25B53}"/>
    <cellStyle name="Style 99 3 4 3 2 4 2" xfId="39818" xr:uid="{F912F660-BAC4-453A-BDEC-487BB9749829}"/>
    <cellStyle name="Style 99 3 4 3 3" xfId="21462" xr:uid="{AF9E39DF-BD47-41EA-8046-C900F45D5C52}"/>
    <cellStyle name="Style 99 3 4 3 3 2" xfId="21463" xr:uid="{08674E2C-426E-4F22-A5CB-AD4F13566B1C}"/>
    <cellStyle name="Style 99 3 4 3 3 2 2" xfId="39820" xr:uid="{BC68BCD4-C000-496B-9C96-CB7D32F155E3}"/>
    <cellStyle name="Style 99 3 4 3 3 3" xfId="39819" xr:uid="{3E887591-188D-44ED-A765-7AB9B8236876}"/>
    <cellStyle name="Style 99 3 4 3 4" xfId="21464" xr:uid="{943B511E-7048-47EA-B97E-31BD730CB11E}"/>
    <cellStyle name="Style 99 3 4 3 4 2" xfId="21465" xr:uid="{5FD3F755-DF4F-42D8-804B-528AB8E04D3C}"/>
    <cellStyle name="Style 99 3 4 3 4 2 2" xfId="39822" xr:uid="{698FAE2D-36B4-4C6B-AACF-71FDEBBAF9B4}"/>
    <cellStyle name="Style 99 3 4 3 4 3" xfId="39821" xr:uid="{5CA917FC-4A0E-4FF7-9B96-6403F10F8237}"/>
    <cellStyle name="Style 99 3 4 3 5" xfId="21466" xr:uid="{DD8ADB56-A0AC-45D2-9E38-E00B85E89BCF}"/>
    <cellStyle name="Style 99 3 4 3 5 2" xfId="21467" xr:uid="{EF979247-5219-4F3C-B7FA-9C11B2D7EDD5}"/>
    <cellStyle name="Style 99 3 4 3 5 2 2" xfId="39824" xr:uid="{45EBDC7F-B203-45FF-AF1E-0B1FBAD2A6FC}"/>
    <cellStyle name="Style 99 3 4 3 5 3" xfId="39823" xr:uid="{1E9AF170-0C75-4101-8CE0-880C47894FCC}"/>
    <cellStyle name="Style 99 3 4 3 6" xfId="21468" xr:uid="{0D1E2704-54D8-479D-9ED4-6C56B8C3029A}"/>
    <cellStyle name="Style 99 3 4 3 6 2" xfId="39825" xr:uid="{46EB608F-60AD-423F-A0EE-07F88CE2FBBA}"/>
    <cellStyle name="Style 99 3 4 3 7" xfId="21469" xr:uid="{045D3336-00AD-454E-84EE-22A52E48946B}"/>
    <cellStyle name="Style 99 3 4 3 7 2" xfId="39826" xr:uid="{A0952505-F9A7-4BAC-979E-4932FA9DA102}"/>
    <cellStyle name="Style 99 3 4 3 8" xfId="26217" xr:uid="{23B6B214-2C9F-4CF3-962C-BC8FB0C9AD09}"/>
    <cellStyle name="Style 99 3 4 4" xfId="7897" xr:uid="{C8FC963F-E2C0-4522-A144-0E760CD4ECCD}"/>
    <cellStyle name="Style 99 3 4 4 2" xfId="21470" xr:uid="{4E0A5DA1-3161-4C4C-B751-1461F86E4241}"/>
    <cellStyle name="Style 99 3 4 4 2 2" xfId="39827" xr:uid="{F242386F-A368-48CC-8772-4E5152C461B6}"/>
    <cellStyle name="Style 99 3 4 4 3" xfId="21471" xr:uid="{10C4C3B5-0B4B-45A8-8D19-730E2B7950C3}"/>
    <cellStyle name="Style 99 3 4 4 3 2" xfId="39828" xr:uid="{EA777D02-22B6-4AF1-B75A-2BFB593500F0}"/>
    <cellStyle name="Style 99 3 4 4 4" xfId="21472" xr:uid="{812A4650-63E7-4CF9-8BB7-62B08B6E3DB8}"/>
    <cellStyle name="Style 99 3 4 4 4 2" xfId="39829" xr:uid="{D39576B1-6DA0-4282-B88A-3F136013414F}"/>
    <cellStyle name="Style 99 3 4 5" xfId="21473" xr:uid="{E9278DFD-D2F9-4E55-A2A6-A9CD37B5F7EB}"/>
    <cellStyle name="Style 99 3 4 5 2" xfId="21474" xr:uid="{AF7FCF15-2DCA-4704-8F13-5E3BA90DDEE7}"/>
    <cellStyle name="Style 99 3 4 5 2 2" xfId="39831" xr:uid="{6CDBEBC2-A0B1-4338-99D2-8D2B1D3D19E6}"/>
    <cellStyle name="Style 99 3 4 5 3" xfId="39830" xr:uid="{F3B6CE00-555C-4CF9-82BB-09F1C35A4495}"/>
    <cellStyle name="Style 99 3 4 6" xfId="21475" xr:uid="{8388CDD9-9B12-4365-8709-329FD41A24DA}"/>
    <cellStyle name="Style 99 3 4 6 2" xfId="21476" xr:uid="{31017649-9B63-473C-B6D0-AA203B2E8DD1}"/>
    <cellStyle name="Style 99 3 4 6 2 2" xfId="39833" xr:uid="{D57BDC8C-5D95-4725-8289-517D20514337}"/>
    <cellStyle name="Style 99 3 4 6 3" xfId="39832" xr:uid="{1012411D-EAC7-44CE-BF2B-84DDC951CD9E}"/>
    <cellStyle name="Style 99 3 4 7" xfId="21477" xr:uid="{D27CD3A7-A078-4416-98D1-86128397E6AC}"/>
    <cellStyle name="Style 99 3 4 7 2" xfId="21478" xr:uid="{C0A2A761-E038-4718-8490-37D30E4BC3F4}"/>
    <cellStyle name="Style 99 3 4 7 2 2" xfId="39835" xr:uid="{7A9D96DE-DDD3-47F9-965F-C9AAF46354E6}"/>
    <cellStyle name="Style 99 3 4 7 3" xfId="39834" xr:uid="{8C744D3C-1BD5-435C-A8CB-E5BE034D3DF4}"/>
    <cellStyle name="Style 99 3 4 8" xfId="21479" xr:uid="{7FAC328F-50A1-4A83-A9E3-E3EF579B2A12}"/>
    <cellStyle name="Style 99 3 4 8 2" xfId="21480" xr:uid="{1E12D83B-FFDA-4AE8-9B17-076B54C9D736}"/>
    <cellStyle name="Style 99 3 4 8 2 2" xfId="39837" xr:uid="{4EE7A6EB-D136-4646-BFEE-25DA6979285D}"/>
    <cellStyle name="Style 99 3 4 8 3" xfId="39836" xr:uid="{55A0F4D3-DB1D-4E47-A38C-9EAEF331C4B5}"/>
    <cellStyle name="Style 99 3 4 9" xfId="21481" xr:uid="{6B3BFC8B-25BC-45DD-BFE7-C290174EAD09}"/>
    <cellStyle name="Style 99 3 4 9 2" xfId="21482" xr:uid="{3DAA9D6A-FB3F-4524-81B4-F6BCE0B18421}"/>
    <cellStyle name="Style 99 3 4 9 2 2" xfId="39839" xr:uid="{71EDD229-C07C-4617-8751-52CE3558D75C}"/>
    <cellStyle name="Style 99 3 4 9 3" xfId="39838" xr:uid="{76368967-3617-449E-B1B3-2B16822BA6E7}"/>
    <cellStyle name="Style 99 3 5" xfId="3918" xr:uid="{CFFE3397-A667-4A3E-84D0-C544D1EACD25}"/>
    <cellStyle name="Style 99 3 5 2" xfId="7899" xr:uid="{84BE6F12-2983-402B-910E-798B19A53892}"/>
    <cellStyle name="Style 99 3 5 2 2" xfId="21483" xr:uid="{B004D274-B370-4E13-BFF8-10AB2C63C912}"/>
    <cellStyle name="Style 99 3 5 2 2 2" xfId="21484" xr:uid="{D09DFC84-2419-4001-882B-9A601D284F04}"/>
    <cellStyle name="Style 99 3 5 2 2 2 2" xfId="39841" xr:uid="{3621E903-C9EA-4B82-873B-7265BF90F5F6}"/>
    <cellStyle name="Style 99 3 5 2 2 3" xfId="21485" xr:uid="{F5BE2559-7CDB-4C8B-9BE6-29347240D163}"/>
    <cellStyle name="Style 99 3 5 2 2 3 2" xfId="39842" xr:uid="{3E8C3AB3-E869-4049-9C81-6E0413EE4369}"/>
    <cellStyle name="Style 99 3 5 2 2 4" xfId="39840" xr:uid="{5A67C7C5-346E-4826-AD6C-7C45B6A5026D}"/>
    <cellStyle name="Style 99 3 5 2 3" xfId="21486" xr:uid="{1A458C47-41B3-472F-8509-7D94EC72CD78}"/>
    <cellStyle name="Style 99 3 5 2 3 2" xfId="21487" xr:uid="{685B44A9-7D88-47ED-8345-6775C7297306}"/>
    <cellStyle name="Style 99 3 5 2 3 2 2" xfId="39844" xr:uid="{1AAC8D35-51C9-4D50-A966-8483B585A396}"/>
    <cellStyle name="Style 99 3 5 2 3 3" xfId="39843" xr:uid="{E095328C-75F6-4F13-BE6F-A7459E36B6CD}"/>
    <cellStyle name="Style 99 3 5 2 4" xfId="21488" xr:uid="{026A9BB2-8CBD-4B4C-A48D-5037ACD5DA7A}"/>
    <cellStyle name="Style 99 3 5 2 4 2" xfId="21489" xr:uid="{F32D8280-6166-4C5E-AAFA-37FA677C45B6}"/>
    <cellStyle name="Style 99 3 5 2 4 2 2" xfId="39846" xr:uid="{627E8291-9B7B-46B6-A8B4-2F9A58DD90C9}"/>
    <cellStyle name="Style 99 3 5 2 4 3" xfId="39845" xr:uid="{347FAA28-65D3-4E1C-9D9D-E1DAE9788EF1}"/>
    <cellStyle name="Style 99 3 5 2 5" xfId="21490" xr:uid="{5680AADC-80D1-411C-AC3B-75EBAC2B58AB}"/>
    <cellStyle name="Style 99 3 5 2 5 2" xfId="21491" xr:uid="{72B38ADD-538C-4543-8617-DD67A4321034}"/>
    <cellStyle name="Style 99 3 5 2 5 2 2" xfId="39848" xr:uid="{311234A7-9857-4342-AA82-3103FEAE2E9C}"/>
    <cellStyle name="Style 99 3 5 2 5 3" xfId="39847" xr:uid="{829CBD7F-4FB4-4B2C-8021-17F5DE759A2A}"/>
    <cellStyle name="Style 99 3 5 2 6" xfId="21492" xr:uid="{A4F478C9-756F-4CCF-AE07-18E061641CD9}"/>
    <cellStyle name="Style 99 3 5 2 6 2" xfId="39849" xr:uid="{DA11EA4E-84D7-4F80-864F-D09D63789A65}"/>
    <cellStyle name="Style 99 3 5 2 7" xfId="21493" xr:uid="{1D770F25-E0DA-46DC-B47E-F8DAA23B34DD}"/>
    <cellStyle name="Style 99 3 5 2 7 2" xfId="39850" xr:uid="{73F3F3E2-873C-4E7A-AE70-2B1959C620D7}"/>
    <cellStyle name="Style 99 3 5 2 8" xfId="26219" xr:uid="{8AEE0F1A-510D-4D28-94BF-1D063E5212D9}"/>
    <cellStyle name="Style 99 3 5 3" xfId="21494" xr:uid="{387C0299-0878-4ABA-A85B-17D09571DC5A}"/>
    <cellStyle name="Style 99 3 5 3 2" xfId="21495" xr:uid="{C4DF6CBE-1F68-4624-827F-7DA968892CA0}"/>
    <cellStyle name="Style 99 3 5 3 2 2" xfId="39851" xr:uid="{DFE0EA85-26AF-43D8-8A25-A149DF41BA51}"/>
    <cellStyle name="Style 99 3 5 3 3" xfId="21496" xr:uid="{2038929D-6367-4306-B733-391B9139890A}"/>
    <cellStyle name="Style 99 3 5 3 3 2" xfId="39852" xr:uid="{9710EDA8-858A-497C-900D-6AAEF51C3E7B}"/>
    <cellStyle name="Style 99 3 5 3 4" xfId="21497" xr:uid="{095223CE-5BC7-405B-86F2-D9BCD891CA3D}"/>
    <cellStyle name="Style 99 3 5 3 4 2" xfId="39853" xr:uid="{34A05C5B-439F-4CB2-9AFA-05255D9AC6F7}"/>
    <cellStyle name="Style 99 3 5 4" xfId="21498" xr:uid="{04FF45F6-039C-4F20-B1F9-7045986C51DE}"/>
    <cellStyle name="Style 99 3 5 4 2" xfId="21499" xr:uid="{5B68982B-9377-4F7F-B4EE-566628F7C76F}"/>
    <cellStyle name="Style 99 3 5 4 2 2" xfId="39855" xr:uid="{427078B6-04A0-4175-A96B-E1012D3AABFE}"/>
    <cellStyle name="Style 99 3 5 4 3" xfId="39854" xr:uid="{CCBF36EA-A317-472C-99AE-0B71642E832E}"/>
    <cellStyle name="Style 99 3 5 5" xfId="21500" xr:uid="{9B3A7EA0-F8DD-4D39-9510-ACB870A608C8}"/>
    <cellStyle name="Style 99 3 5 5 2" xfId="21501" xr:uid="{4C2FE50A-D1ED-4B1E-B90C-1D0288C30F12}"/>
    <cellStyle name="Style 99 3 5 5 2 2" xfId="39857" xr:uid="{57A5A12F-5AEA-4456-B854-B5D069FFA429}"/>
    <cellStyle name="Style 99 3 5 5 3" xfId="39856" xr:uid="{01641A3B-C160-419C-8BA8-52F4F83239CD}"/>
    <cellStyle name="Style 99 3 5 6" xfId="21502" xr:uid="{7C0837EF-9FE2-434B-81B6-2E644CAE4FBC}"/>
    <cellStyle name="Style 99 3 5 6 2" xfId="21503" xr:uid="{DD0B5FE7-33AC-4505-8C43-56CA0EDC2D2C}"/>
    <cellStyle name="Style 99 3 5 6 2 2" xfId="39859" xr:uid="{A5D5920E-C776-494D-8562-F1150B9126E4}"/>
    <cellStyle name="Style 99 3 5 6 3" xfId="39858" xr:uid="{C57D54A5-F78E-4C61-A69D-27AA8A9BFEAF}"/>
    <cellStyle name="Style 99 3 5 7" xfId="21504" xr:uid="{1480E3AB-BEBE-417B-83F3-962786458ADC}"/>
    <cellStyle name="Style 99 3 5 7 2" xfId="21505" xr:uid="{006CB7CB-7052-46D1-B674-36EE0B208542}"/>
    <cellStyle name="Style 99 3 5 7 2 2" xfId="39861" xr:uid="{6C9650E8-026B-40B8-A036-E329BFD8553F}"/>
    <cellStyle name="Style 99 3 5 7 3" xfId="39860" xr:uid="{E9BC896C-17BC-4DBA-9396-9F30F9A34BF7}"/>
    <cellStyle name="Style 99 3 5 8" xfId="21506" xr:uid="{14A69392-D45B-4145-9DFB-C04CB8DE0B63}"/>
    <cellStyle name="Style 99 3 5 8 2" xfId="39862" xr:uid="{D3ABEEAD-B242-4C7F-856F-A45F081DAC70}"/>
    <cellStyle name="Style 99 3 5 9" xfId="21507" xr:uid="{705AB68A-459A-4C00-9FC5-259653DC868E}"/>
    <cellStyle name="Style 99 3 5 9 2" xfId="39863" xr:uid="{34C8CF03-EE70-40AB-AA89-2D0A024701D6}"/>
    <cellStyle name="Style 99 3 6" xfId="4235" xr:uid="{79074E0E-3BB0-4B05-B437-5DE1ED1DDAED}"/>
    <cellStyle name="Style 99 3 6 2" xfId="7900" xr:uid="{5F5F0C1B-3135-4EAB-A864-E842EFC98794}"/>
    <cellStyle name="Style 99 3 6 2 2" xfId="21508" xr:uid="{137E73CE-AC17-499B-9F9B-CA3302FE7EDD}"/>
    <cellStyle name="Style 99 3 6 2 2 2" xfId="39864" xr:uid="{98113A7C-1BAE-4FF6-81F1-C17F8607980B}"/>
    <cellStyle name="Style 99 3 6 2 3" xfId="21509" xr:uid="{351E81AF-C043-4DCC-B242-0CBC91B254FE}"/>
    <cellStyle name="Style 99 3 6 2 3 2" xfId="39865" xr:uid="{59F8F3B9-DAE5-4ADF-9815-2A31B60C7FB0}"/>
    <cellStyle name="Style 99 3 6 3" xfId="21510" xr:uid="{6C6B1465-D21C-4B66-995A-C9C96338A541}"/>
    <cellStyle name="Style 99 3 6 3 2" xfId="21511" xr:uid="{DE45920A-8A50-4CD0-990F-981DCA0825BE}"/>
    <cellStyle name="Style 99 3 6 3 2 2" xfId="39866" xr:uid="{75CC22E9-E658-4BB2-8778-3C56D887F8FF}"/>
    <cellStyle name="Style 99 3 6 3 3" xfId="21512" xr:uid="{42596EAA-0517-4840-AD9C-30735B97F6B3}"/>
    <cellStyle name="Style 99 3 6 3 3 2" xfId="39867" xr:uid="{98A4B845-8DE5-40CB-B990-105491E06375}"/>
    <cellStyle name="Style 99 3 6 4" xfId="21513" xr:uid="{3A7BFEC0-9109-4D67-8A3C-BC7A59590D58}"/>
    <cellStyle name="Style 99 3 6 4 2" xfId="21514" xr:uid="{CC6E2683-B261-49F9-8F14-7A6257CC055F}"/>
    <cellStyle name="Style 99 3 6 4 2 2" xfId="39869" xr:uid="{602CD407-AA04-44BD-BD96-3B661964DD7B}"/>
    <cellStyle name="Style 99 3 6 4 3" xfId="39868" xr:uid="{282A485C-BAB5-49BE-B502-7AE56EC10DC1}"/>
    <cellStyle name="Style 99 3 6 5" xfId="21515" xr:uid="{7A3AEE0D-AE88-4F52-86F8-3691AB9D07BB}"/>
    <cellStyle name="Style 99 3 6 5 2" xfId="21516" xr:uid="{75A322EC-6617-4115-B620-E419B3F14518}"/>
    <cellStyle name="Style 99 3 6 5 2 2" xfId="39871" xr:uid="{8572FCC1-59DA-424C-A73E-4E4946FC2FE9}"/>
    <cellStyle name="Style 99 3 6 5 3" xfId="39870" xr:uid="{7B6B0F28-8CAE-4E93-B66C-31748D1D4437}"/>
    <cellStyle name="Style 99 3 6 6" xfId="21517" xr:uid="{904EEB17-EEE7-40A8-80E0-17C4022FCBB8}"/>
    <cellStyle name="Style 99 3 6 6 2" xfId="39872" xr:uid="{B35A4E36-9E1F-4F23-A92F-9353845B5324}"/>
    <cellStyle name="Style 99 3 6 7" xfId="21518" xr:uid="{CEE384B6-AA5C-4CFB-BCE8-F9C4D8A53941}"/>
    <cellStyle name="Style 99 3 6 7 2" xfId="39873" xr:uid="{D7B512D6-7A0E-4C25-9FFA-FF9F5974683A}"/>
    <cellStyle name="Style 99 3 7" xfId="7879" xr:uid="{A2840B95-88F3-47F6-B60D-545954C76438}"/>
    <cellStyle name="Style 99 3 7 2" xfId="21519" xr:uid="{1BB99184-70E8-4FE7-8BE4-DDCAA05FD497}"/>
    <cellStyle name="Style 99 3 7 2 2" xfId="39874" xr:uid="{A367FA83-85C6-4606-ADF9-6FD05EC017AB}"/>
    <cellStyle name="Style 99 3 7 3" xfId="21520" xr:uid="{FF047E1A-36B2-4D45-9CF0-581BC7BEBA72}"/>
    <cellStyle name="Style 99 3 7 3 2" xfId="39875" xr:uid="{6B37DCFD-439E-4F26-8446-7C981487D231}"/>
    <cellStyle name="Style 99 3 8" xfId="21521" xr:uid="{0FF3B814-0AE0-4458-975E-9B920BD8C0B7}"/>
    <cellStyle name="Style 99 3 8 2" xfId="21522" xr:uid="{10395F84-682F-45FE-993F-0A4E632544D9}"/>
    <cellStyle name="Style 99 3 8 2 2" xfId="39877" xr:uid="{4D844513-E1D4-4C0D-87B3-AA215B702BC3}"/>
    <cellStyle name="Style 99 3 8 3" xfId="39876" xr:uid="{3D104B38-9925-410D-9DFD-BE0F02BF02DC}"/>
    <cellStyle name="Style 99 3 9" xfId="21523" xr:uid="{E61CE456-02CF-47AF-B375-E7F2D5C34280}"/>
    <cellStyle name="Style 99 3 9 2" xfId="21524" xr:uid="{64C94D25-83A9-41DE-81B3-0A1620069372}"/>
    <cellStyle name="Style 99 3 9 2 2" xfId="39879" xr:uid="{6CC83302-C7F9-4C9E-847E-860BD58344D8}"/>
    <cellStyle name="Style 99 3 9 3" xfId="39878" xr:uid="{529763C9-DC84-4CF0-A82C-DDFB07AB15C2}"/>
    <cellStyle name="Style 99 4" xfId="3919" xr:uid="{46FB1255-B3EB-46F1-BDFF-DF6B758C552E}"/>
    <cellStyle name="Style 99 4 10" xfId="21525" xr:uid="{6DFA015F-C05F-4E42-9A50-5C43C3940B2A}"/>
    <cellStyle name="Style 99 4 10 2" xfId="21526" xr:uid="{E7B25B5F-E05F-49A1-9A91-BD8FAE6E5B1A}"/>
    <cellStyle name="Style 99 4 10 2 2" xfId="39881" xr:uid="{62B3E8FE-32D1-41D7-B886-781F66649E25}"/>
    <cellStyle name="Style 99 4 10 3" xfId="39880" xr:uid="{C1E33FBB-D535-4E94-A299-F0DE222D425D}"/>
    <cellStyle name="Style 99 4 11" xfId="21527" xr:uid="{E96B73D0-F246-46D0-837D-900ED5B3ACCF}"/>
    <cellStyle name="Style 99 4 11 2" xfId="39882" xr:uid="{835680EA-CD2A-4D35-8A65-93D2FB43AF96}"/>
    <cellStyle name="Style 99 4 12" xfId="21528" xr:uid="{421D3288-63AA-48CD-92AD-4563AEF4F683}"/>
    <cellStyle name="Style 99 4 12 2" xfId="39883" xr:uid="{45872832-0EEE-415D-85E3-3E8FC0ABB56B}"/>
    <cellStyle name="Style 99 4 2" xfId="3920" xr:uid="{F9F31155-F747-4513-8136-7A1D6A4A4131}"/>
    <cellStyle name="Style 99 4 2 10" xfId="21529" xr:uid="{92A2E4BC-C5C2-45C2-8D5D-69689E4537A0}"/>
    <cellStyle name="Style 99 4 2 10 2" xfId="21530" xr:uid="{6BF6CCC0-2281-4613-9E65-2264E688BFF5}"/>
    <cellStyle name="Style 99 4 2 10 2 2" xfId="39885" xr:uid="{40919164-D450-4C9E-A6FB-9D2093D291E4}"/>
    <cellStyle name="Style 99 4 2 10 3" xfId="39884" xr:uid="{BD8E905D-6571-42B1-9456-E1CBBD4BEED9}"/>
    <cellStyle name="Style 99 4 2 11" xfId="21531" xr:uid="{04CE158D-367E-4A9A-A2A9-947768B99A38}"/>
    <cellStyle name="Style 99 4 2 11 2" xfId="39886" xr:uid="{F8FB1BDF-88C3-4E8D-B407-85DF253F5629}"/>
    <cellStyle name="Style 99 4 2 12" xfId="21532" xr:uid="{5770FA6B-105D-4F0B-8EE1-8A261090465A}"/>
    <cellStyle name="Style 99 4 2 12 2" xfId="39887" xr:uid="{A92146B3-A143-4453-B332-231BB2E3E4E5}"/>
    <cellStyle name="Style 99 4 2 2" xfId="3921" xr:uid="{280DA467-921B-4A5E-A235-25D700E844B8}"/>
    <cellStyle name="Style 99 4 2 2 10" xfId="21533" xr:uid="{481CFBC5-A041-4BAD-81FC-264660C034F3}"/>
    <cellStyle name="Style 99 4 2 2 10 2" xfId="39888" xr:uid="{18DC186F-DB4B-471E-BE9D-BA5AF5EF8884}"/>
    <cellStyle name="Style 99 4 2 2 11" xfId="21534" xr:uid="{A07B3D23-43BF-42EF-9D47-47F872058B14}"/>
    <cellStyle name="Style 99 4 2 2 11 2" xfId="39889" xr:uid="{B170EFB5-64C2-440C-9152-5045C26BE478}"/>
    <cellStyle name="Style 99 4 2 2 12" xfId="24304" xr:uid="{AD5F113B-8B0C-43ED-AF88-EE70600EB3C6}"/>
    <cellStyle name="Style 99 4 2 2 2" xfId="3922" xr:uid="{10505EE4-84F6-4D96-B674-E87520B6CC9A}"/>
    <cellStyle name="Style 99 4 2 2 2 2" xfId="7904" xr:uid="{8A833BC2-3B46-4F68-9E9B-14178EBA7789}"/>
    <cellStyle name="Style 99 4 2 2 2 2 2" xfId="21535" xr:uid="{DFF46845-97F7-4C8A-A5E2-35C09A8A2C0D}"/>
    <cellStyle name="Style 99 4 2 2 2 2 2 2" xfId="21536" xr:uid="{94B475F3-8FE1-4722-8C60-9813B7FDDC2B}"/>
    <cellStyle name="Style 99 4 2 2 2 2 2 2 2" xfId="39891" xr:uid="{E4727D70-D371-48AF-882D-326377074421}"/>
    <cellStyle name="Style 99 4 2 2 2 2 2 3" xfId="39890" xr:uid="{3152CB74-2772-484A-8FCB-5933B3944147}"/>
    <cellStyle name="Style 99 4 2 2 2 2 3" xfId="21537" xr:uid="{5AB6AA49-C92E-4B0F-A6E2-AA1F2A19C717}"/>
    <cellStyle name="Style 99 4 2 2 2 2 3 2" xfId="21538" xr:uid="{8E1B8B69-C59D-48F9-A83B-31AA557B74C7}"/>
    <cellStyle name="Style 99 4 2 2 2 2 3 2 2" xfId="39893" xr:uid="{B3ED611A-1F85-4BAB-B32A-392970C8BF0B}"/>
    <cellStyle name="Style 99 4 2 2 2 2 3 3" xfId="39892" xr:uid="{FFACA352-282F-4EFF-80AE-F0881F331A63}"/>
    <cellStyle name="Style 99 4 2 2 2 2 4" xfId="21539" xr:uid="{8336F6C4-A46A-48D2-A1FD-5CD3E347D476}"/>
    <cellStyle name="Style 99 4 2 2 2 2 4 2" xfId="21540" xr:uid="{52954D59-48E4-4E00-B7F9-D2625855D479}"/>
    <cellStyle name="Style 99 4 2 2 2 2 4 2 2" xfId="39895" xr:uid="{509E7329-3230-4B09-AE36-2E0FD52F5E9A}"/>
    <cellStyle name="Style 99 4 2 2 2 2 4 3" xfId="39894" xr:uid="{CD003959-FF27-40EE-88C6-4C543754ADF8}"/>
    <cellStyle name="Style 99 4 2 2 2 2 5" xfId="21541" xr:uid="{C3BF2C9B-E742-4028-A851-D0EF8CCBC3AB}"/>
    <cellStyle name="Style 99 4 2 2 2 2 5 2" xfId="21542" xr:uid="{86FBF3E3-5E85-40A8-AC31-27BEB9EAE4AF}"/>
    <cellStyle name="Style 99 4 2 2 2 2 5 2 2" xfId="39897" xr:uid="{1947A92A-1E64-4790-906F-49D2B16A20C2}"/>
    <cellStyle name="Style 99 4 2 2 2 2 5 3" xfId="39896" xr:uid="{2C24838F-A1D7-4293-8C8F-A1D006A2D478}"/>
    <cellStyle name="Style 99 4 2 2 2 2 6" xfId="21543" xr:uid="{8602C920-9B07-4F8C-995E-6AAFEAA74F84}"/>
    <cellStyle name="Style 99 4 2 2 2 2 6 2" xfId="39898" xr:uid="{93E3E5FB-FD05-46CE-9118-023722F218B7}"/>
    <cellStyle name="Style 99 4 2 2 2 2 7" xfId="21544" xr:uid="{C5CDD1FD-F550-4DA2-9A7F-351B0BEBA708}"/>
    <cellStyle name="Style 99 4 2 2 2 2 7 2" xfId="39899" xr:uid="{0992D578-8BB1-4B73-9674-45B1B63E30CB}"/>
    <cellStyle name="Style 99 4 2 2 2 2 8" xfId="26222" xr:uid="{B7308846-1B6D-49D0-B73D-2169537A53BD}"/>
    <cellStyle name="Style 99 4 2 2 2 3" xfId="21545" xr:uid="{FCE930D3-7B2F-458C-96BD-C45A30E68B01}"/>
    <cellStyle name="Style 99 4 2 2 2 3 2" xfId="21546" xr:uid="{3084A7BA-99B2-4CF9-9B6F-2D1148A53EAC}"/>
    <cellStyle name="Style 99 4 2 2 2 3 2 2" xfId="39900" xr:uid="{8022F3DD-9C18-459C-A11A-D33BD92A9807}"/>
    <cellStyle name="Style 99 4 2 2 2 3 3" xfId="21547" xr:uid="{CB1533E8-AB06-49C3-9FEE-8025D1C5D54F}"/>
    <cellStyle name="Style 99 4 2 2 2 3 3 2" xfId="39901" xr:uid="{25BF77E7-0039-49FB-BDD5-AC1E3832C3DF}"/>
    <cellStyle name="Style 99 4 2 2 2 4" xfId="21548" xr:uid="{9A237E8C-6F19-43C9-825F-93326ED36D82}"/>
    <cellStyle name="Style 99 4 2 2 2 4 2" xfId="21549" xr:uid="{D4445907-F91C-4B67-BF44-8B5DB4EE45D2}"/>
    <cellStyle name="Style 99 4 2 2 2 4 2 2" xfId="39903" xr:uid="{B92E3046-C513-45F6-A9F6-D97663412149}"/>
    <cellStyle name="Style 99 4 2 2 2 4 3" xfId="39902" xr:uid="{8CD892C3-D624-42CF-AB1E-3211954B62C9}"/>
    <cellStyle name="Style 99 4 2 2 2 5" xfId="21550" xr:uid="{E2E19FCF-3D67-47D2-9291-26E8464A0CA0}"/>
    <cellStyle name="Style 99 4 2 2 2 5 2" xfId="21551" xr:uid="{6CD52925-9ADB-4499-85BA-5263D55016E9}"/>
    <cellStyle name="Style 99 4 2 2 2 5 2 2" xfId="39905" xr:uid="{BCDBE19D-E2CE-4A39-B565-57C702B8B344}"/>
    <cellStyle name="Style 99 4 2 2 2 5 3" xfId="39904" xr:uid="{6ED1D663-34FF-4DD5-964C-744CFC835EAD}"/>
    <cellStyle name="Style 99 4 2 2 2 6" xfId="21552" xr:uid="{09B14F16-C38D-44C7-A3AD-356E286A531B}"/>
    <cellStyle name="Style 99 4 2 2 2 6 2" xfId="21553" xr:uid="{BA251C2F-5B07-445E-9C06-724DF568530A}"/>
    <cellStyle name="Style 99 4 2 2 2 6 2 2" xfId="39907" xr:uid="{4249F9BD-9499-4667-9A89-2B5992BEC5F9}"/>
    <cellStyle name="Style 99 4 2 2 2 6 3" xfId="39906" xr:uid="{A550E535-3890-4BE2-8BE1-ED9E47745665}"/>
    <cellStyle name="Style 99 4 2 2 2 7" xfId="21554" xr:uid="{099A42AF-C207-46BE-8EF3-2CF6740495A7}"/>
    <cellStyle name="Style 99 4 2 2 2 7 2" xfId="21555" xr:uid="{619E4F2D-A8D4-4D72-B29A-AC5F3BDCB0A8}"/>
    <cellStyle name="Style 99 4 2 2 2 7 2 2" xfId="39909" xr:uid="{13DE117C-7D8B-49D7-8D62-0683C46F9953}"/>
    <cellStyle name="Style 99 4 2 2 2 7 3" xfId="39908" xr:uid="{79CB8295-7ABA-4F7E-891F-93AEBE92A3DB}"/>
    <cellStyle name="Style 99 4 2 2 2 8" xfId="21556" xr:uid="{81CE3137-249D-4712-94FF-7179D234C1EC}"/>
    <cellStyle name="Style 99 4 2 2 2 8 2" xfId="39910" xr:uid="{DD707446-66D3-4B21-A1EA-A9354319E7F9}"/>
    <cellStyle name="Style 99 4 2 2 2 9" xfId="21557" xr:uid="{F638F4E2-043E-4137-83D4-B62CBB795A40}"/>
    <cellStyle name="Style 99 4 2 2 2 9 2" xfId="39911" xr:uid="{92A5D46E-79D6-4CF5-AA4F-CD22DC6BA102}"/>
    <cellStyle name="Style 99 4 2 2 3" xfId="7903" xr:uid="{2203F3AC-A105-4691-925D-ED1878F84392}"/>
    <cellStyle name="Style 99 4 2 2 3 2" xfId="21558" xr:uid="{CEB095D3-6940-4FEE-9A95-026E27B04083}"/>
    <cellStyle name="Style 99 4 2 2 3 2 2" xfId="21559" xr:uid="{051B1276-539B-4A43-8E1C-D33F01FA3A77}"/>
    <cellStyle name="Style 99 4 2 2 3 2 2 2" xfId="39913" xr:uid="{81604031-AD34-479F-A927-A6F4521660AB}"/>
    <cellStyle name="Style 99 4 2 2 3 2 3" xfId="21560" xr:uid="{F3A88C25-9EC9-4107-9214-85B1E048AB73}"/>
    <cellStyle name="Style 99 4 2 2 3 2 3 2" xfId="39914" xr:uid="{411DF96F-6500-477D-AF68-81218EEFD148}"/>
    <cellStyle name="Style 99 4 2 2 3 2 4" xfId="39912" xr:uid="{636D59E7-9B46-47C3-BDB0-041EA2219EA5}"/>
    <cellStyle name="Style 99 4 2 2 3 3" xfId="21561" xr:uid="{40B5D20B-16D8-4D4F-BB30-1D4D3F6E06EA}"/>
    <cellStyle name="Style 99 4 2 2 3 3 2" xfId="21562" xr:uid="{5CA09F5D-2B99-499C-BC26-CE967C20FCFE}"/>
    <cellStyle name="Style 99 4 2 2 3 3 2 2" xfId="39916" xr:uid="{89139614-638E-4F17-AA0A-DAF8E4B12A2B}"/>
    <cellStyle name="Style 99 4 2 2 3 3 3" xfId="39915" xr:uid="{5C2CDA43-41A0-4B9F-A972-719A66DA93DF}"/>
    <cellStyle name="Style 99 4 2 2 3 4" xfId="21563" xr:uid="{E4BBFD01-E163-489B-88AC-104245A0E0A6}"/>
    <cellStyle name="Style 99 4 2 2 3 4 2" xfId="21564" xr:uid="{D44157F8-7F72-46E1-923C-DB3ED817C791}"/>
    <cellStyle name="Style 99 4 2 2 3 4 2 2" xfId="39918" xr:uid="{F0F31996-8BCB-41BB-9BE4-6528AFD2EA27}"/>
    <cellStyle name="Style 99 4 2 2 3 4 3" xfId="39917" xr:uid="{08B5E777-7A00-4842-BEA8-25B78C7965CC}"/>
    <cellStyle name="Style 99 4 2 2 3 5" xfId="21565" xr:uid="{0E629444-3C35-4138-B500-5D8877192AC7}"/>
    <cellStyle name="Style 99 4 2 2 3 5 2" xfId="21566" xr:uid="{1025E9A8-86C0-44EF-A13D-E4027C0BC3B3}"/>
    <cellStyle name="Style 99 4 2 2 3 5 2 2" xfId="39920" xr:uid="{EC79827C-A37C-4CAA-9D5F-6762F3F1FF52}"/>
    <cellStyle name="Style 99 4 2 2 3 5 3" xfId="39919" xr:uid="{B75D9C4D-852D-42D5-B809-FBE63D45A920}"/>
    <cellStyle name="Style 99 4 2 2 3 6" xfId="21567" xr:uid="{05F3B4AB-BE53-40DB-A98F-F97CE3A18D3C}"/>
    <cellStyle name="Style 99 4 2 2 3 6 2" xfId="39921" xr:uid="{62975D6D-702F-48B2-B7B1-028CA9171566}"/>
    <cellStyle name="Style 99 4 2 2 3 7" xfId="21568" xr:uid="{C3955682-315A-40A7-BBBC-C83FA9B93D9B}"/>
    <cellStyle name="Style 99 4 2 2 3 7 2" xfId="39922" xr:uid="{90347699-0675-41EF-BE44-5FDDB6ED92D1}"/>
    <cellStyle name="Style 99 4 2 2 3 8" xfId="26221" xr:uid="{5F40579E-63E5-46D9-9121-DB1A1992E0EF}"/>
    <cellStyle name="Style 99 4 2 2 4" xfId="21569" xr:uid="{A8339C12-4873-4BE8-A548-E8124CA4B567}"/>
    <cellStyle name="Style 99 4 2 2 4 2" xfId="21570" xr:uid="{4F4F421F-5ABB-431B-B680-57960BA66D19}"/>
    <cellStyle name="Style 99 4 2 2 4 2 2" xfId="39923" xr:uid="{301D9DA5-A863-4F4B-9BEF-9BB313526924}"/>
    <cellStyle name="Style 99 4 2 2 4 3" xfId="21571" xr:uid="{0D14088A-50A8-4B80-BF72-63918168CFE7}"/>
    <cellStyle name="Style 99 4 2 2 4 3 2" xfId="39924" xr:uid="{BB63E1E0-695E-4E1B-AC99-71C6180DBD78}"/>
    <cellStyle name="Style 99 4 2 2 4 4" xfId="21572" xr:uid="{8CD4C55C-303D-4FA7-8BA0-CC93DC7CCAC0}"/>
    <cellStyle name="Style 99 4 2 2 4 4 2" xfId="39925" xr:uid="{869A7362-5026-4BC3-8D46-891C45A610D2}"/>
    <cellStyle name="Style 99 4 2 2 5" xfId="21573" xr:uid="{EA74865E-3CB1-4910-8B4F-F10AD8D1D0EB}"/>
    <cellStyle name="Style 99 4 2 2 5 2" xfId="21574" xr:uid="{5F89247C-AD89-44D7-BD41-E44FFBCB5A8C}"/>
    <cellStyle name="Style 99 4 2 2 5 2 2" xfId="39927" xr:uid="{F931CF5D-A5AA-43B6-A5C3-3BCA2CD74CF7}"/>
    <cellStyle name="Style 99 4 2 2 5 3" xfId="39926" xr:uid="{ED272D2F-591D-41FF-BBDC-93FD721A1279}"/>
    <cellStyle name="Style 99 4 2 2 6" xfId="21575" xr:uid="{A93599C2-C321-4D2C-AFC2-9D2AB80231FC}"/>
    <cellStyle name="Style 99 4 2 2 6 2" xfId="21576" xr:uid="{73509F8A-2C35-4F8C-9FF5-5CADAC035181}"/>
    <cellStyle name="Style 99 4 2 2 6 2 2" xfId="39929" xr:uid="{A40B0296-436F-4A48-9C51-BA2F565B137F}"/>
    <cellStyle name="Style 99 4 2 2 6 3" xfId="39928" xr:uid="{2D0490AE-850C-4637-8858-9434AE9AEE5E}"/>
    <cellStyle name="Style 99 4 2 2 7" xfId="21577" xr:uid="{90A2C5D3-26C3-4CE9-8022-7BDFD8807043}"/>
    <cellStyle name="Style 99 4 2 2 7 2" xfId="21578" xr:uid="{2AB8D009-D04C-411D-BD85-672A7E2CFE78}"/>
    <cellStyle name="Style 99 4 2 2 7 2 2" xfId="39931" xr:uid="{E44C8C1B-E4DB-4222-847A-2331D8E92907}"/>
    <cellStyle name="Style 99 4 2 2 7 3" xfId="39930" xr:uid="{673DBDEE-1447-47C3-8BCE-E3B868D17982}"/>
    <cellStyle name="Style 99 4 2 2 8" xfId="21579" xr:uid="{2CE36F57-E36A-421F-874D-FA28DFF58F0C}"/>
    <cellStyle name="Style 99 4 2 2 8 2" xfId="21580" xr:uid="{79373832-E6E4-469D-8293-DA3129978B84}"/>
    <cellStyle name="Style 99 4 2 2 8 2 2" xfId="39933" xr:uid="{60C9C2ED-08F8-47D8-9AFC-2514DD9512AA}"/>
    <cellStyle name="Style 99 4 2 2 8 3" xfId="39932" xr:uid="{19E9E036-82E0-4F71-ACC6-EC782D5862EB}"/>
    <cellStyle name="Style 99 4 2 2 9" xfId="21581" xr:uid="{0FD5A1ED-546F-4A82-8957-CBEBC81E1B9A}"/>
    <cellStyle name="Style 99 4 2 2 9 2" xfId="21582" xr:uid="{62E00FB9-1F1F-4B74-BE8C-BD90B945EF3F}"/>
    <cellStyle name="Style 99 4 2 2 9 2 2" xfId="39935" xr:uid="{31B1D209-DA8E-43F5-9112-A9225C8F9C02}"/>
    <cellStyle name="Style 99 4 2 2 9 3" xfId="39934" xr:uid="{E87457AC-C91B-4E4E-A105-D902424EC9B2}"/>
    <cellStyle name="Style 99 4 2 3" xfId="3923" xr:uid="{E639635E-2AA0-4175-AB87-B851C4E44B6F}"/>
    <cellStyle name="Style 99 4 2 3 2" xfId="7905" xr:uid="{4A09DE1F-D85C-4801-81CA-F082391D6C95}"/>
    <cellStyle name="Style 99 4 2 3 2 2" xfId="21583" xr:uid="{B7C68824-6181-4577-92FD-541A606A6CFE}"/>
    <cellStyle name="Style 99 4 2 3 2 2 2" xfId="21584" xr:uid="{A398F63E-C021-44FB-B924-076926FEE968}"/>
    <cellStyle name="Style 99 4 2 3 2 2 2 2" xfId="39937" xr:uid="{D40067DA-81EB-49E0-AC90-F54A92E1F2DB}"/>
    <cellStyle name="Style 99 4 2 3 2 2 3" xfId="39936" xr:uid="{AB48F646-A190-430F-BB3A-5E90D48A2188}"/>
    <cellStyle name="Style 99 4 2 3 2 3" xfId="21585" xr:uid="{10412150-EA76-4D68-86F5-E63E285DD42E}"/>
    <cellStyle name="Style 99 4 2 3 2 3 2" xfId="21586" xr:uid="{6BB977E1-4430-4318-9555-6EFEC25A9597}"/>
    <cellStyle name="Style 99 4 2 3 2 3 2 2" xfId="39939" xr:uid="{12E634CF-E7D6-4464-8880-EB7777028FCE}"/>
    <cellStyle name="Style 99 4 2 3 2 3 3" xfId="39938" xr:uid="{79DDF1B9-AF12-4371-80AD-260085AC5A55}"/>
    <cellStyle name="Style 99 4 2 3 2 4" xfId="21587" xr:uid="{EA515C60-BB32-4233-849A-A3AEDB4E341C}"/>
    <cellStyle name="Style 99 4 2 3 2 4 2" xfId="21588" xr:uid="{D8F0F378-DB6B-48E5-B16B-181BF0C770CC}"/>
    <cellStyle name="Style 99 4 2 3 2 4 2 2" xfId="39941" xr:uid="{096B9A7A-FF04-4C67-B0E6-5B095FD74668}"/>
    <cellStyle name="Style 99 4 2 3 2 4 3" xfId="39940" xr:uid="{D120403E-AA5E-43B4-B1C6-FC0A1768A852}"/>
    <cellStyle name="Style 99 4 2 3 2 5" xfId="21589" xr:uid="{3C3C49A8-5227-4650-AFE7-DA37A62C7822}"/>
    <cellStyle name="Style 99 4 2 3 2 5 2" xfId="21590" xr:uid="{9770C25C-5C6E-4E81-97D5-C3261447A116}"/>
    <cellStyle name="Style 99 4 2 3 2 5 2 2" xfId="39943" xr:uid="{4D1E3D87-96D1-40CB-A106-1EE0C82CC0F1}"/>
    <cellStyle name="Style 99 4 2 3 2 5 3" xfId="39942" xr:uid="{D68AE414-CFEC-4133-B93A-D06961A81636}"/>
    <cellStyle name="Style 99 4 2 3 2 6" xfId="21591" xr:uid="{67221AB6-F6C0-43C9-9BC3-70D71CA10919}"/>
    <cellStyle name="Style 99 4 2 3 2 6 2" xfId="39944" xr:uid="{6182F370-2657-4355-BAFE-A5CE0206EE04}"/>
    <cellStyle name="Style 99 4 2 3 2 7" xfId="21592" xr:uid="{922B3523-9863-4BDF-996E-64B0A00BF756}"/>
    <cellStyle name="Style 99 4 2 3 2 7 2" xfId="39945" xr:uid="{CF3C4FAA-15FB-420D-9931-5737DA334345}"/>
    <cellStyle name="Style 99 4 2 3 2 8" xfId="26223" xr:uid="{576D659F-3EC8-46D2-80A6-B819E5BDD9F9}"/>
    <cellStyle name="Style 99 4 2 3 3" xfId="21593" xr:uid="{C3166B25-4734-4E80-955E-190A4F90AF45}"/>
    <cellStyle name="Style 99 4 2 3 3 2" xfId="21594" xr:uid="{24281891-08AB-4A7F-B56E-83939CCBCBEC}"/>
    <cellStyle name="Style 99 4 2 3 3 2 2" xfId="39946" xr:uid="{FCA30E1E-9AA7-412A-9685-14C6EB5C2143}"/>
    <cellStyle name="Style 99 4 2 3 3 3" xfId="21595" xr:uid="{54F75445-4138-4BCA-9D54-85483357505C}"/>
    <cellStyle name="Style 99 4 2 3 3 3 2" xfId="39947" xr:uid="{674D3C4B-8AC3-489B-9DE6-99E5C0A6FF0B}"/>
    <cellStyle name="Style 99 4 2 3 4" xfId="21596" xr:uid="{005AC683-840A-4E1D-83F1-271F5C655F50}"/>
    <cellStyle name="Style 99 4 2 3 4 2" xfId="21597" xr:uid="{254EA727-F438-4E59-B87D-A54BE00FCFB6}"/>
    <cellStyle name="Style 99 4 2 3 4 2 2" xfId="39949" xr:uid="{0401F6B1-6AE0-4C92-8576-09B2915098F6}"/>
    <cellStyle name="Style 99 4 2 3 4 3" xfId="39948" xr:uid="{60DF252B-2768-4C8E-A64B-6875BFDE7B97}"/>
    <cellStyle name="Style 99 4 2 3 5" xfId="21598" xr:uid="{118A6024-704D-4843-A6A3-850319A82CED}"/>
    <cellStyle name="Style 99 4 2 3 5 2" xfId="21599" xr:uid="{DCECDB86-A837-447B-920D-DF63F903DF55}"/>
    <cellStyle name="Style 99 4 2 3 5 2 2" xfId="39951" xr:uid="{C2F544ED-7340-414C-A2D5-4A2ED68057EC}"/>
    <cellStyle name="Style 99 4 2 3 5 3" xfId="39950" xr:uid="{CE743C98-D5FB-4069-A81D-1E42A303E76A}"/>
    <cellStyle name="Style 99 4 2 3 6" xfId="21600" xr:uid="{7E0262FB-865A-4CB7-ABBC-714A63CF4042}"/>
    <cellStyle name="Style 99 4 2 3 6 2" xfId="21601" xr:uid="{3B4B5F70-FC81-4A1F-8E0C-29777A9BA332}"/>
    <cellStyle name="Style 99 4 2 3 6 2 2" xfId="39953" xr:uid="{A329908E-662D-47BD-A92D-4AD4BC16431D}"/>
    <cellStyle name="Style 99 4 2 3 6 3" xfId="39952" xr:uid="{E3C4EE39-C899-43EC-8C14-3193B73397AF}"/>
    <cellStyle name="Style 99 4 2 3 7" xfId="21602" xr:uid="{533E31DC-4541-4E6F-90DA-93219708F0BC}"/>
    <cellStyle name="Style 99 4 2 3 7 2" xfId="21603" xr:uid="{44CF9E62-E086-43FE-9B19-06FB331A7409}"/>
    <cellStyle name="Style 99 4 2 3 7 2 2" xfId="39955" xr:uid="{6C095140-7717-4A37-9206-DB1442947613}"/>
    <cellStyle name="Style 99 4 2 3 7 3" xfId="39954" xr:uid="{C619DE53-EC1E-4CAC-A1DA-836E86872268}"/>
    <cellStyle name="Style 99 4 2 3 8" xfId="21604" xr:uid="{306435A9-1145-4955-91CD-8590FA68F547}"/>
    <cellStyle name="Style 99 4 2 3 8 2" xfId="39956" xr:uid="{87B25C3B-985C-44A8-A9D3-C4E06B4DA00B}"/>
    <cellStyle name="Style 99 4 2 3 9" xfId="21605" xr:uid="{7AB12E1B-BF35-4AFB-94F0-91F7C070A622}"/>
    <cellStyle name="Style 99 4 2 3 9 2" xfId="39957" xr:uid="{1BEA4859-D792-490E-8162-B6CD7D8D367C}"/>
    <cellStyle name="Style 99 4 2 4" xfId="4242" xr:uid="{076D5DF6-4624-4352-AF62-0F9A2264210F}"/>
    <cellStyle name="Style 99 4 2 4 2" xfId="21606" xr:uid="{0DF906D3-CF8C-45CB-9B2A-8BB8B0B072CE}"/>
    <cellStyle name="Style 99 4 2 4 2 2" xfId="21607" xr:uid="{A6D6006A-B183-45DA-B7A5-676B0D262336}"/>
    <cellStyle name="Style 99 4 2 4 2 2 2" xfId="39958" xr:uid="{54B8CFA4-72F8-4BE8-B743-19195032899A}"/>
    <cellStyle name="Style 99 4 2 4 2 3" xfId="21608" xr:uid="{86DA5493-931F-4698-8FAF-549956B65D9C}"/>
    <cellStyle name="Style 99 4 2 4 2 3 2" xfId="39959" xr:uid="{CE1E5A1A-6AF8-487F-B84D-66126E74FE35}"/>
    <cellStyle name="Style 99 4 2 4 2 4" xfId="21609" xr:uid="{3B4F7D0C-41EE-4B5A-A7A9-261F9CC25C31}"/>
    <cellStyle name="Style 99 4 2 4 2 4 2" xfId="39960" xr:uid="{65C32022-E510-46A5-A2D4-839AD6741A1C}"/>
    <cellStyle name="Style 99 4 2 4 3" xfId="21610" xr:uid="{13BB56E6-2D90-4C12-AEC8-B138F9854917}"/>
    <cellStyle name="Style 99 4 2 4 3 2" xfId="21611" xr:uid="{BB178FBF-C720-4C83-A85C-B17E4EBE8E0F}"/>
    <cellStyle name="Style 99 4 2 4 3 2 2" xfId="39962" xr:uid="{56C02BC5-0189-4A2E-8B35-F6FDB40709D7}"/>
    <cellStyle name="Style 99 4 2 4 3 3" xfId="39961" xr:uid="{CCCB40CA-34CA-4089-A16C-823A4D05DF99}"/>
    <cellStyle name="Style 99 4 2 4 4" xfId="21612" xr:uid="{88B957CC-81A3-4D4D-A25D-6FC73E948FA5}"/>
    <cellStyle name="Style 99 4 2 4 4 2" xfId="21613" xr:uid="{5CFB10B2-025A-47F2-9C8A-7C0B94EFB10E}"/>
    <cellStyle name="Style 99 4 2 4 4 2 2" xfId="39964" xr:uid="{34D07A61-1D54-4DA7-A112-715062C1AE7E}"/>
    <cellStyle name="Style 99 4 2 4 4 3" xfId="39963" xr:uid="{38010987-D709-4B2D-A40B-1D3A482F38CE}"/>
    <cellStyle name="Style 99 4 2 4 5" xfId="21614" xr:uid="{568D2A8A-4A38-433E-8B68-9F9D369B152D}"/>
    <cellStyle name="Style 99 4 2 4 5 2" xfId="21615" xr:uid="{BE440A38-06E3-4C72-AC82-E8E5AE866D94}"/>
    <cellStyle name="Style 99 4 2 4 5 2 2" xfId="39966" xr:uid="{FE662604-0B7B-4608-8467-6737A29BB7A9}"/>
    <cellStyle name="Style 99 4 2 4 5 3" xfId="39965" xr:uid="{CE4BA29E-F059-4219-B4E2-569374AF2E71}"/>
    <cellStyle name="Style 99 4 2 4 6" xfId="21616" xr:uid="{C0ECB328-BB2D-4270-A611-80FF315BE7D1}"/>
    <cellStyle name="Style 99 4 2 4 6 2" xfId="39967" xr:uid="{0C5D3915-EF2B-4C32-B3CC-B9EE580BC6A3}"/>
    <cellStyle name="Style 99 4 2 4 7" xfId="21617" xr:uid="{845161E2-B2F4-4590-AC3E-7D1C75E70DF2}"/>
    <cellStyle name="Style 99 4 2 4 7 2" xfId="39968" xr:uid="{C071D60F-B744-48D5-9483-22011C79E2BD}"/>
    <cellStyle name="Style 99 4 2 4 8" xfId="26220" xr:uid="{EE68FD0C-64F8-4927-8D41-4BEFAC1ABBE8}"/>
    <cellStyle name="Style 99 4 2 5" xfId="7902" xr:uid="{7D1129E3-7A25-4EE5-B31C-7F2E2D471606}"/>
    <cellStyle name="Style 99 4 2 5 2" xfId="21618" xr:uid="{2FD567AF-1B01-45A8-BAF2-38ACEB7863B4}"/>
    <cellStyle name="Style 99 4 2 5 2 2" xfId="39969" xr:uid="{E51A7E77-9043-4F9C-B009-F6EB1F07EF92}"/>
    <cellStyle name="Style 99 4 2 5 3" xfId="21619" xr:uid="{C5304F00-CD71-47CD-A1AB-338B648B87E7}"/>
    <cellStyle name="Style 99 4 2 5 3 2" xfId="39970" xr:uid="{13B2FF7D-3813-450B-B782-0139A1707733}"/>
    <cellStyle name="Style 99 4 2 5 4" xfId="21620" xr:uid="{512AFC16-7AF8-41D9-8370-1E1993020AFE}"/>
    <cellStyle name="Style 99 4 2 5 4 2" xfId="39971" xr:uid="{06F82111-1EE1-4721-9550-B74F9FEC6F56}"/>
    <cellStyle name="Style 99 4 2 6" xfId="21621" xr:uid="{6DCA4983-29FD-4A7F-9BF7-F7701785B515}"/>
    <cellStyle name="Style 99 4 2 6 2" xfId="21622" xr:uid="{7A90C064-1FE2-4D15-AFAA-82A3061A1D54}"/>
    <cellStyle name="Style 99 4 2 6 2 2" xfId="39973" xr:uid="{D14E7321-CBA5-4B3F-8CE1-08F1E3FED819}"/>
    <cellStyle name="Style 99 4 2 6 3" xfId="39972" xr:uid="{99728615-0347-4603-B9ED-C197384EE80F}"/>
    <cellStyle name="Style 99 4 2 7" xfId="21623" xr:uid="{0CC0F036-3A15-41AB-9F41-6C8994A188DA}"/>
    <cellStyle name="Style 99 4 2 7 2" xfId="21624" xr:uid="{85FD1E10-CBA6-455A-A5CE-8C3C7461B442}"/>
    <cellStyle name="Style 99 4 2 7 2 2" xfId="39975" xr:uid="{2357485E-B6A0-4EE7-8022-D3AA98CA531F}"/>
    <cellStyle name="Style 99 4 2 7 3" xfId="39974" xr:uid="{DC8BD570-5D5C-48D4-BD90-046889D75CB1}"/>
    <cellStyle name="Style 99 4 2 8" xfId="21625" xr:uid="{186F4515-6FBF-4598-BBB6-1C102C1632B5}"/>
    <cellStyle name="Style 99 4 2 8 2" xfId="21626" xr:uid="{E0D238D6-4648-40C3-BC47-1BE3DC98ECBC}"/>
    <cellStyle name="Style 99 4 2 8 2 2" xfId="39977" xr:uid="{7BE5E6AC-F5F2-4CF4-905A-6D28B39E0F0D}"/>
    <cellStyle name="Style 99 4 2 8 3" xfId="39976" xr:uid="{CAB32FA1-4FB6-4057-A92A-4B4DDFFDA586}"/>
    <cellStyle name="Style 99 4 2 9" xfId="21627" xr:uid="{A5D8B254-4219-49CC-B6D9-009B4AD915A1}"/>
    <cellStyle name="Style 99 4 2 9 2" xfId="21628" xr:uid="{772E946D-DB2D-4475-97E8-8DBFE8869A63}"/>
    <cellStyle name="Style 99 4 2 9 2 2" xfId="39979" xr:uid="{50E18C41-2E43-4DA9-90EF-21676A52163C}"/>
    <cellStyle name="Style 99 4 2 9 3" xfId="39978" xr:uid="{E27589DF-93E2-435C-A664-674A8C0B3384}"/>
    <cellStyle name="Style 99 4 3" xfId="3924" xr:uid="{9712C4C5-2F5C-4500-AAE5-C5D87A0466FF}"/>
    <cellStyle name="Style 99 4 3 10" xfId="24305" xr:uid="{FBEDEAF9-DC2A-4FF1-B16B-E2560097BA05}"/>
    <cellStyle name="Style 99 4 3 2" xfId="7907" xr:uid="{A883E4D3-021D-4E23-A1EB-DD8C9BC7D9F8}"/>
    <cellStyle name="Style 99 4 3 2 2" xfId="21629" xr:uid="{BF27C416-CD35-4C32-A1F7-8D2EE37167E6}"/>
    <cellStyle name="Style 99 4 3 2 2 2" xfId="21630" xr:uid="{CAC8061B-36BC-485F-9711-97E1A71740D1}"/>
    <cellStyle name="Style 99 4 3 2 2 2 2" xfId="39980" xr:uid="{3B57F1EB-25AD-4404-B839-232BED5867A5}"/>
    <cellStyle name="Style 99 4 3 2 2 3" xfId="21631" xr:uid="{B21FB4F7-AF19-484D-831E-CF0CCF1B5520}"/>
    <cellStyle name="Style 99 4 3 2 2 3 2" xfId="39981" xr:uid="{90054859-2928-4158-ABDD-E1E441D93D20}"/>
    <cellStyle name="Style 99 4 3 2 2 4" xfId="21632" xr:uid="{5F777D3D-79F8-4625-975C-5C5628B885BD}"/>
    <cellStyle name="Style 99 4 3 2 2 4 2" xfId="39982" xr:uid="{3F6F440F-AD20-4165-A7F3-B98B8C94A016}"/>
    <cellStyle name="Style 99 4 3 2 3" xfId="21633" xr:uid="{01A88D20-66B9-450F-B21C-D64ED31CCEF4}"/>
    <cellStyle name="Style 99 4 3 2 3 2" xfId="21634" xr:uid="{45E90D0D-CA60-4FC6-8F7A-2133CA65565F}"/>
    <cellStyle name="Style 99 4 3 2 3 2 2" xfId="39984" xr:uid="{BD3A8F5D-7DA3-4CAC-813F-72882A13EAD1}"/>
    <cellStyle name="Style 99 4 3 2 3 3" xfId="39983" xr:uid="{6EA46718-9958-4723-A8D0-60E100C10264}"/>
    <cellStyle name="Style 99 4 3 2 4" xfId="21635" xr:uid="{220781D8-21E7-4BBD-A97E-51DB7BCC28A2}"/>
    <cellStyle name="Style 99 4 3 2 4 2" xfId="21636" xr:uid="{33FC6D1D-5F81-40B3-B03F-89E2AC80298F}"/>
    <cellStyle name="Style 99 4 3 2 4 2 2" xfId="39986" xr:uid="{9588DC96-114C-4DA6-A013-3349D2459605}"/>
    <cellStyle name="Style 99 4 3 2 4 3" xfId="39985" xr:uid="{301E646E-6701-4551-9098-5464228197E7}"/>
    <cellStyle name="Style 99 4 3 2 5" xfId="21637" xr:uid="{B03D9FCA-9895-47EC-95AF-E4B189BB35AE}"/>
    <cellStyle name="Style 99 4 3 2 5 2" xfId="21638" xr:uid="{7F977FD6-4755-43B8-A3D8-59D56D5E2182}"/>
    <cellStyle name="Style 99 4 3 2 5 2 2" xfId="39988" xr:uid="{A859D8EB-09F3-4165-98E3-FF45B067294F}"/>
    <cellStyle name="Style 99 4 3 2 5 3" xfId="39987" xr:uid="{7A4DB925-6281-4D2D-9838-C3A3A0A91BD6}"/>
    <cellStyle name="Style 99 4 3 2 6" xfId="21639" xr:uid="{4E97BB14-E8F3-4DE3-BCD1-613C86C687B0}"/>
    <cellStyle name="Style 99 4 3 2 6 2" xfId="39989" xr:uid="{A4BC46B3-D72D-4044-8C27-CCBB77AA95E8}"/>
    <cellStyle name="Style 99 4 3 2 7" xfId="21640" xr:uid="{9DB636B5-2C4F-4D97-9276-078032F8A1A7}"/>
    <cellStyle name="Style 99 4 3 2 7 2" xfId="39990" xr:uid="{F66BF8B8-EC82-44B7-9051-6601555EED79}"/>
    <cellStyle name="Style 99 4 3 3" xfId="7906" xr:uid="{12D6AF2F-1CF7-443E-BDA1-7E39673D668D}"/>
    <cellStyle name="Style 99 4 3 3 2" xfId="21641" xr:uid="{1826D893-A6AE-4018-B6ED-400C40960A11}"/>
    <cellStyle name="Style 99 4 3 3 2 2" xfId="39991" xr:uid="{DC2BCB1B-C4CB-4232-9AA9-2DF98967D5ED}"/>
    <cellStyle name="Style 99 4 3 3 3" xfId="21642" xr:uid="{9D00D765-B94E-49B3-9AC9-028059FBF6F4}"/>
    <cellStyle name="Style 99 4 3 3 3 2" xfId="39992" xr:uid="{D17CB741-6488-42F3-8871-34CAA3D71557}"/>
    <cellStyle name="Style 99 4 3 3 4" xfId="21643" xr:uid="{05A47CF8-3563-419B-B8A9-053005D3BB7F}"/>
    <cellStyle name="Style 99 4 3 3 4 2" xfId="39993" xr:uid="{DD414695-61C3-4D7D-86F5-5677C85E67C3}"/>
    <cellStyle name="Style 99 4 3 4" xfId="21644" xr:uid="{85568DBA-4425-4AC0-9082-862545A3F432}"/>
    <cellStyle name="Style 99 4 3 4 2" xfId="21645" xr:uid="{41DD8D67-29E8-485A-B75D-447DCAAA399C}"/>
    <cellStyle name="Style 99 4 3 4 2 2" xfId="39995" xr:uid="{1F4BC011-2BF6-4956-819E-A119D5A5A07B}"/>
    <cellStyle name="Style 99 4 3 4 3" xfId="39994" xr:uid="{762C9C3E-2D21-4F4D-B80C-EF87460D55ED}"/>
    <cellStyle name="Style 99 4 3 5" xfId="21646" xr:uid="{5DEB0915-5A2B-44F3-9024-4FF60793D222}"/>
    <cellStyle name="Style 99 4 3 5 2" xfId="21647" xr:uid="{2F2BF775-1635-44D4-A579-008FBCAE1DA1}"/>
    <cellStyle name="Style 99 4 3 5 2 2" xfId="39997" xr:uid="{9EA8FD28-D45E-4B5C-8CCF-165B1A1AE434}"/>
    <cellStyle name="Style 99 4 3 5 3" xfId="39996" xr:uid="{CB505749-E0C2-4416-9A4D-B46889D2374B}"/>
    <cellStyle name="Style 99 4 3 6" xfId="21648" xr:uid="{C5BF3DA3-2CC9-42CE-A415-A8AEE3FA351D}"/>
    <cellStyle name="Style 99 4 3 6 2" xfId="21649" xr:uid="{BFF6C390-74AE-4432-9B3E-80CA1438978A}"/>
    <cellStyle name="Style 99 4 3 6 2 2" xfId="39999" xr:uid="{495A7CF4-D38A-4509-916F-5C2115FE91B4}"/>
    <cellStyle name="Style 99 4 3 6 3" xfId="39998" xr:uid="{B79189F8-CD53-46B3-87C2-0206D61C92B3}"/>
    <cellStyle name="Style 99 4 3 7" xfId="21650" xr:uid="{D2A207FC-29EA-4752-83AD-783D1747BE5D}"/>
    <cellStyle name="Style 99 4 3 7 2" xfId="21651" xr:uid="{D1F5E1A2-2DB1-496B-974E-1AD4A7F12521}"/>
    <cellStyle name="Style 99 4 3 7 2 2" xfId="40001" xr:uid="{8C805FE5-371C-4832-9F0D-31EB24E86481}"/>
    <cellStyle name="Style 99 4 3 7 3" xfId="40000" xr:uid="{7021B41B-0E00-4B84-80C0-029F327252F9}"/>
    <cellStyle name="Style 99 4 3 8" xfId="21652" xr:uid="{AC9C74EB-86D1-4DF8-8A8B-EA1976C766A3}"/>
    <cellStyle name="Style 99 4 3 8 2" xfId="40002" xr:uid="{E867A3AA-7428-4328-962C-EE4FB70DE99E}"/>
    <cellStyle name="Style 99 4 3 9" xfId="21653" xr:uid="{6A67544A-F3B6-4F18-BBE2-656D9E37378F}"/>
    <cellStyle name="Style 99 4 3 9 2" xfId="40003" xr:uid="{3941B69C-3E96-4963-953F-E0DBD833CAAE}"/>
    <cellStyle name="Style 99 4 4" xfId="4241" xr:uid="{3F49D319-E2E7-4AF8-AFEA-69C6FF0B6F15}"/>
    <cellStyle name="Style 99 4 4 2" xfId="7908" xr:uid="{938E257F-DA8D-4D46-86E6-AEE89C94E061}"/>
    <cellStyle name="Style 99 4 4 2 2" xfId="21654" xr:uid="{DFFC3EDE-7DCF-4D07-9960-1B6E292BD110}"/>
    <cellStyle name="Style 99 4 4 2 2 2" xfId="40004" xr:uid="{B551A6E9-8129-4DEC-A92B-1BB6F8147F3F}"/>
    <cellStyle name="Style 99 4 4 2 3" xfId="21655" xr:uid="{6EFC8F99-8FE0-4B73-9D26-1B67598676EA}"/>
    <cellStyle name="Style 99 4 4 2 3 2" xfId="40005" xr:uid="{9DAE0DF2-2305-4F0F-8535-C12011AC592B}"/>
    <cellStyle name="Style 99 4 4 2 4" xfId="21656" xr:uid="{9E83B2BD-F638-45A9-8F04-BBBF31E24237}"/>
    <cellStyle name="Style 99 4 4 2 4 2" xfId="40006" xr:uid="{E5D3281D-FD74-41E6-91CA-5827F10D24C5}"/>
    <cellStyle name="Style 99 4 4 3" xfId="21657" xr:uid="{CB94A879-FEB0-4702-BF8C-D188E452D8A2}"/>
    <cellStyle name="Style 99 4 4 3 2" xfId="21658" xr:uid="{5B0CD541-FF37-4509-954F-700097DA04FE}"/>
    <cellStyle name="Style 99 4 4 3 2 2" xfId="40007" xr:uid="{8C0515CE-0224-467C-AF1D-02C9FC3D0D54}"/>
    <cellStyle name="Style 99 4 4 3 3" xfId="21659" xr:uid="{924ABB4D-5E8B-43E0-B9FA-26C8C92C37A5}"/>
    <cellStyle name="Style 99 4 4 3 3 2" xfId="40008" xr:uid="{BB8E3735-1F9C-4DD2-B30E-C374D1EBF00E}"/>
    <cellStyle name="Style 99 4 4 4" xfId="21660" xr:uid="{996C701C-F555-4473-A279-00C4DACEFB44}"/>
    <cellStyle name="Style 99 4 4 4 2" xfId="21661" xr:uid="{8BEA70D3-114D-441B-A3BC-9FBD0E5BDBA2}"/>
    <cellStyle name="Style 99 4 4 4 2 2" xfId="40010" xr:uid="{E7EB89F2-0E21-46FE-A39A-503D976DB019}"/>
    <cellStyle name="Style 99 4 4 4 3" xfId="40009" xr:uid="{997DFBF8-7ABC-4132-81A2-E8D2363E042A}"/>
    <cellStyle name="Style 99 4 4 5" xfId="21662" xr:uid="{9FBEBEAD-9660-4703-B01B-39F8C93FCA48}"/>
    <cellStyle name="Style 99 4 4 5 2" xfId="21663" xr:uid="{5432F109-724E-4FF1-998F-F2923D94C6C9}"/>
    <cellStyle name="Style 99 4 4 5 2 2" xfId="40012" xr:uid="{C08E9754-73D0-413D-88D4-4C08E4D03F60}"/>
    <cellStyle name="Style 99 4 4 5 3" xfId="40011" xr:uid="{4EBE07E1-8565-43FB-B751-96AD6E7E01BF}"/>
    <cellStyle name="Style 99 4 4 6" xfId="21664" xr:uid="{FF5FED60-AC31-4C0B-B2E1-DFA610A91ACC}"/>
    <cellStyle name="Style 99 4 4 6 2" xfId="40013" xr:uid="{23BFAB77-ED1F-435A-86D3-46A8EBBFE0F1}"/>
    <cellStyle name="Style 99 4 4 7" xfId="21665" xr:uid="{861A4E47-DA5A-4373-9775-12C8FD46EF02}"/>
    <cellStyle name="Style 99 4 4 7 2" xfId="40014" xr:uid="{D76D978B-B8BB-4276-B716-62834669F3F6}"/>
    <cellStyle name="Style 99 4 5" xfId="7909" xr:uid="{FC547C83-2E92-4BF9-B7AC-89D05183D519}"/>
    <cellStyle name="Style 99 4 5 2" xfId="21666" xr:uid="{554BCA07-9D7D-418F-B041-926AB9E33466}"/>
    <cellStyle name="Style 99 4 5 2 2" xfId="40015" xr:uid="{6BBA0ED3-7C61-4DCF-9F26-24F1FBEE0247}"/>
    <cellStyle name="Style 99 4 5 3" xfId="21667" xr:uid="{FE4AC7A7-D1D0-4734-AB56-80070D35C3C1}"/>
    <cellStyle name="Style 99 4 5 3 2" xfId="40016" xr:uid="{0C9B920B-41A6-4E93-8D17-270C98D37464}"/>
    <cellStyle name="Style 99 4 5 4" xfId="21668" xr:uid="{B24D1B9C-1B85-482D-8638-19787BC9CE61}"/>
    <cellStyle name="Style 99 4 5 4 2" xfId="40017" xr:uid="{4C94ECC7-E126-49AE-95C0-0F8C3200D53B}"/>
    <cellStyle name="Style 99 4 6" xfId="7901" xr:uid="{AA10736D-7811-42E2-A0F3-02BDCBFBD4CC}"/>
    <cellStyle name="Style 99 4 6 2" xfId="21669" xr:uid="{8AC2DF9A-F18E-44EF-8FAD-3FDDDB886762}"/>
    <cellStyle name="Style 99 4 6 2 2" xfId="40018" xr:uid="{67E1F735-CD51-416C-9AC7-E2CA901B9696}"/>
    <cellStyle name="Style 99 4 6 3" xfId="21670" xr:uid="{E73A362E-4894-4E8D-A4F5-460C4BE46450}"/>
    <cellStyle name="Style 99 4 6 3 2" xfId="40019" xr:uid="{BD5A4B27-5FE6-4488-A4D0-349BBD928D92}"/>
    <cellStyle name="Style 99 4 7" xfId="21671" xr:uid="{AF13D457-8E41-4734-8903-DA5F7255A41C}"/>
    <cellStyle name="Style 99 4 7 2" xfId="21672" xr:uid="{682EC83B-90D7-4C0A-9CCF-81B12E6EEE28}"/>
    <cellStyle name="Style 99 4 7 2 2" xfId="40021" xr:uid="{D04E0A99-4081-46D6-B901-2604E63A142E}"/>
    <cellStyle name="Style 99 4 7 3" xfId="40020" xr:uid="{38E0ADDF-2623-4F86-9533-8965A0835375}"/>
    <cellStyle name="Style 99 4 8" xfId="21673" xr:uid="{4FE07C4D-8F66-44E1-AEE9-735BD0F169D8}"/>
    <cellStyle name="Style 99 4 8 2" xfId="21674" xr:uid="{3A48BE2E-4DF7-469D-8C40-231AB12171C1}"/>
    <cellStyle name="Style 99 4 8 2 2" xfId="40023" xr:uid="{54FFFAA1-7534-4D28-BE7A-BF62C8212E3C}"/>
    <cellStyle name="Style 99 4 8 3" xfId="40022" xr:uid="{6FA9965F-F937-434F-AD1E-B007054E8C29}"/>
    <cellStyle name="Style 99 4 9" xfId="21675" xr:uid="{03FAD078-F3F6-40CE-B8EE-E9AC18CE0F50}"/>
    <cellStyle name="Style 99 4 9 2" xfId="21676" xr:uid="{869859E4-FA6A-4BF6-A514-66235AD7DC47}"/>
    <cellStyle name="Style 99 4 9 2 2" xfId="40025" xr:uid="{4F050A11-DB8C-4D88-8355-956F164F5E6C}"/>
    <cellStyle name="Style 99 4 9 3" xfId="40024" xr:uid="{6F670F18-72CC-44F8-81F8-D1DDA68219D0}"/>
    <cellStyle name="Style 99 5" xfId="3925" xr:uid="{446CE7AF-CCCD-4371-A8C2-D6F4CA4B741C}"/>
    <cellStyle name="Style 99 5 10" xfId="21677" xr:uid="{51DEFBAB-DEB2-42D4-A80A-74FA8B44D352}"/>
    <cellStyle name="Style 99 5 10 2" xfId="40026" xr:uid="{6DAFD96F-ADE1-4B98-9C41-118756039C81}"/>
    <cellStyle name="Style 99 5 11" xfId="21678" xr:uid="{BED8CD8F-5F5C-4C18-99A0-105BD1090260}"/>
    <cellStyle name="Style 99 5 11 2" xfId="40027" xr:uid="{8AFC6A8B-D87D-4F9A-8B68-A2CCB7D6DACB}"/>
    <cellStyle name="Style 99 5 2" xfId="3926" xr:uid="{8DD59042-5B0A-47D8-B56B-F8E8B4E3AB71}"/>
    <cellStyle name="Style 99 5 2 2" xfId="7911" xr:uid="{68957943-2C7F-47DE-80B8-5FB516BD8DFA}"/>
    <cellStyle name="Style 99 5 2 2 2" xfId="21679" xr:uid="{B55DF8CC-F3E3-4BEA-82A5-1833F2937D79}"/>
    <cellStyle name="Style 99 5 2 2 2 2" xfId="21680" xr:uid="{CE449E7A-4BD2-432B-9284-8EE77164B87D}"/>
    <cellStyle name="Style 99 5 2 2 2 2 2" xfId="40029" xr:uid="{06A725A7-281D-4F47-8A72-F2B69649E4BE}"/>
    <cellStyle name="Style 99 5 2 2 2 3" xfId="40028" xr:uid="{70620ED3-E9A7-4462-99F2-459D44A145FA}"/>
    <cellStyle name="Style 99 5 2 2 3" xfId="21681" xr:uid="{108FEF18-3754-41DA-B4E1-BF57341AB5A0}"/>
    <cellStyle name="Style 99 5 2 2 3 2" xfId="21682" xr:uid="{8522CEB4-B948-4AAA-B7B4-5896D3B4C85E}"/>
    <cellStyle name="Style 99 5 2 2 3 2 2" xfId="40031" xr:uid="{73BBA728-BEFC-4539-BACF-60CE4942C7E8}"/>
    <cellStyle name="Style 99 5 2 2 3 3" xfId="40030" xr:uid="{E0714456-BCA8-4538-8C1C-32FBD91DF638}"/>
    <cellStyle name="Style 99 5 2 2 4" xfId="21683" xr:uid="{D90B25D8-8371-45F2-AB60-1EF2B3D0567D}"/>
    <cellStyle name="Style 99 5 2 2 4 2" xfId="21684" xr:uid="{A42603B1-2BBD-47BE-A92B-4BBB398A0A5B}"/>
    <cellStyle name="Style 99 5 2 2 4 2 2" xfId="40033" xr:uid="{52D3F351-DC12-4454-943D-F550F11076E2}"/>
    <cellStyle name="Style 99 5 2 2 4 3" xfId="40032" xr:uid="{9AE43D98-AAB7-4356-B699-7DFC98C55440}"/>
    <cellStyle name="Style 99 5 2 2 5" xfId="21685" xr:uid="{269063F0-48F1-42F0-9BAA-F696D5280074}"/>
    <cellStyle name="Style 99 5 2 2 5 2" xfId="21686" xr:uid="{592C7A49-DD2A-475A-AF6B-0BF8F680021C}"/>
    <cellStyle name="Style 99 5 2 2 5 2 2" xfId="40035" xr:uid="{1E00D4EF-1F53-4AED-B335-728F3D082DD3}"/>
    <cellStyle name="Style 99 5 2 2 5 3" xfId="40034" xr:uid="{CB88653C-E5CB-42F4-8A0A-0DA15004429F}"/>
    <cellStyle name="Style 99 5 2 2 6" xfId="21687" xr:uid="{8754E70D-2368-440F-89F6-E89A51737CD7}"/>
    <cellStyle name="Style 99 5 2 2 6 2" xfId="40036" xr:uid="{1688C8E7-18D7-4AD9-A932-6BBB66F40BF8}"/>
    <cellStyle name="Style 99 5 2 2 7" xfId="21688" xr:uid="{5D5ACF92-8A88-4D72-89C1-B4813941A0C8}"/>
    <cellStyle name="Style 99 5 2 2 7 2" xfId="40037" xr:uid="{E40F4771-9C03-47D8-BF99-0593342030F6}"/>
    <cellStyle name="Style 99 5 2 2 8" xfId="26225" xr:uid="{5F2B5E50-4721-4DA7-ACFA-F0109D9084DC}"/>
    <cellStyle name="Style 99 5 2 3" xfId="21689" xr:uid="{FE34C101-5804-4E1B-86C6-76A18DD7C8A0}"/>
    <cellStyle name="Style 99 5 2 3 2" xfId="21690" xr:uid="{8065BDDA-CE19-42DF-B036-A70B857A476E}"/>
    <cellStyle name="Style 99 5 2 3 2 2" xfId="40038" xr:uid="{0C0D9509-143A-451A-B698-DCE3122EDC34}"/>
    <cellStyle name="Style 99 5 2 3 3" xfId="21691" xr:uid="{106B200D-1172-4710-A91C-297CB8C92727}"/>
    <cellStyle name="Style 99 5 2 3 3 2" xfId="40039" xr:uid="{0EDEFC26-F7EB-4130-ACEC-5F7F2C7E9EA3}"/>
    <cellStyle name="Style 99 5 2 4" xfId="21692" xr:uid="{7CEF49CD-0D49-48E6-ADE1-9ADA788B8F1A}"/>
    <cellStyle name="Style 99 5 2 4 2" xfId="21693" xr:uid="{00C9E0B5-536F-4D77-B320-BECC7BD8EA37}"/>
    <cellStyle name="Style 99 5 2 4 2 2" xfId="40041" xr:uid="{1C5A7EC6-6CF6-47D3-8C9A-89AA4748FD9E}"/>
    <cellStyle name="Style 99 5 2 4 3" xfId="40040" xr:uid="{DE0AE99E-5B63-45DB-9312-EF4825894BF8}"/>
    <cellStyle name="Style 99 5 2 5" xfId="21694" xr:uid="{9F21B4BD-04F0-4AE2-B3CE-02F98D086B24}"/>
    <cellStyle name="Style 99 5 2 5 2" xfId="21695" xr:uid="{D6C900EE-223E-4E1C-A454-8D8843D20219}"/>
    <cellStyle name="Style 99 5 2 5 2 2" xfId="40043" xr:uid="{961E8BDB-3AC6-4FA3-9EEA-36C9CC9A19D9}"/>
    <cellStyle name="Style 99 5 2 5 3" xfId="40042" xr:uid="{B59E97EB-6E47-4F83-ADDD-BA6F7CD6D98D}"/>
    <cellStyle name="Style 99 5 2 6" xfId="21696" xr:uid="{B65DD782-1A50-4461-979A-02B306140CCB}"/>
    <cellStyle name="Style 99 5 2 6 2" xfId="21697" xr:uid="{4E541897-51F3-45EA-B015-5DAFE5470412}"/>
    <cellStyle name="Style 99 5 2 6 2 2" xfId="40045" xr:uid="{0D0E4850-9FB7-40C8-A152-49F1024691CF}"/>
    <cellStyle name="Style 99 5 2 6 3" xfId="40044" xr:uid="{0C0DEF03-3A82-42C0-9491-416BDB84E3A0}"/>
    <cellStyle name="Style 99 5 2 7" xfId="21698" xr:uid="{F5AC4F28-8B35-4FFD-9E31-AC1A626C04A3}"/>
    <cellStyle name="Style 99 5 2 7 2" xfId="21699" xr:uid="{24460D13-FC5C-47F7-9F54-D60AF5C6C410}"/>
    <cellStyle name="Style 99 5 2 7 2 2" xfId="40047" xr:uid="{64B36CB9-550B-4F41-966A-D36D53A47300}"/>
    <cellStyle name="Style 99 5 2 7 3" xfId="40046" xr:uid="{9DC11FDB-312A-43BE-82BE-D384CCDD5A66}"/>
    <cellStyle name="Style 99 5 2 8" xfId="21700" xr:uid="{4DC7E82E-FA59-4C7D-9B7E-12E3DE0B260A}"/>
    <cellStyle name="Style 99 5 2 8 2" xfId="40048" xr:uid="{C54F2DC8-3E0A-4A45-BEFF-8D83F12C864C}"/>
    <cellStyle name="Style 99 5 2 9" xfId="21701" xr:uid="{BE08BCA5-7F34-439A-9B14-35535666BD1D}"/>
    <cellStyle name="Style 99 5 2 9 2" xfId="40049" xr:uid="{28FED293-373F-4DF4-837A-7EA0D200E72F}"/>
    <cellStyle name="Style 99 5 3" xfId="4243" xr:uid="{F2528C3F-11A7-4DD8-93C4-6D46CD632968}"/>
    <cellStyle name="Style 99 5 3 2" xfId="21702" xr:uid="{626F47F8-1C98-41A6-8027-76146A126228}"/>
    <cellStyle name="Style 99 5 3 2 2" xfId="21703" xr:uid="{A514147E-946F-48F8-8918-6B2BBCAA5E44}"/>
    <cellStyle name="Style 99 5 3 2 2 2" xfId="40050" xr:uid="{7555F738-8BC9-488B-BB47-DB991EBD3922}"/>
    <cellStyle name="Style 99 5 3 2 3" xfId="21704" xr:uid="{29783BA3-FFA5-4A48-8F6C-EC71BA0AC456}"/>
    <cellStyle name="Style 99 5 3 2 3 2" xfId="40051" xr:uid="{AF61AD86-4A01-4130-AE84-23193E475450}"/>
    <cellStyle name="Style 99 5 3 2 4" xfId="21705" xr:uid="{1D6B2239-0187-4C93-BC73-7596949AA8E9}"/>
    <cellStyle name="Style 99 5 3 2 4 2" xfId="40052" xr:uid="{2CDE6E7B-1D45-4BAC-9271-789D07443BEF}"/>
    <cellStyle name="Style 99 5 3 3" xfId="21706" xr:uid="{BAD7DCD9-5CE6-4218-A4BB-7E7ADD5B1C47}"/>
    <cellStyle name="Style 99 5 3 3 2" xfId="21707" xr:uid="{1584B0D9-FD69-4B23-9B87-2AC4ADACC52B}"/>
    <cellStyle name="Style 99 5 3 3 2 2" xfId="40054" xr:uid="{C372E4AB-9BE5-40B0-BCC7-4A80AACAED17}"/>
    <cellStyle name="Style 99 5 3 3 3" xfId="40053" xr:uid="{6F215154-3A97-401E-8034-ABBDC732CC0B}"/>
    <cellStyle name="Style 99 5 3 4" xfId="21708" xr:uid="{27239500-741B-4F2E-BD9A-3B79D04A407B}"/>
    <cellStyle name="Style 99 5 3 4 2" xfId="21709" xr:uid="{89CC7DDC-43DC-4628-84F9-619F18591903}"/>
    <cellStyle name="Style 99 5 3 4 2 2" xfId="40056" xr:uid="{A7C8BA58-C88B-4C9E-A6AD-EA7EB7D3C014}"/>
    <cellStyle name="Style 99 5 3 4 3" xfId="40055" xr:uid="{3258E151-4E94-4EC5-899E-D55C9551EF83}"/>
    <cellStyle name="Style 99 5 3 5" xfId="21710" xr:uid="{A7F1E488-CBC7-443E-8FFA-0CB019792C46}"/>
    <cellStyle name="Style 99 5 3 5 2" xfId="21711" xr:uid="{BD6E1E14-541F-4D1A-BBBD-4D0F1D3B0984}"/>
    <cellStyle name="Style 99 5 3 5 2 2" xfId="40058" xr:uid="{11E513D6-36E1-40FF-84FE-F48C224148D6}"/>
    <cellStyle name="Style 99 5 3 5 3" xfId="40057" xr:uid="{DADAAFFF-F622-4024-BF86-77F9BC97F4D8}"/>
    <cellStyle name="Style 99 5 3 6" xfId="21712" xr:uid="{80D6C399-4ADF-45D5-9947-E969E689EFF8}"/>
    <cellStyle name="Style 99 5 3 6 2" xfId="40059" xr:uid="{E6D90E40-28F9-4E10-B61C-29F228734786}"/>
    <cellStyle name="Style 99 5 3 7" xfId="21713" xr:uid="{6B9D5043-E174-416E-9131-1A930600171D}"/>
    <cellStyle name="Style 99 5 3 7 2" xfId="40060" xr:uid="{5EF8D164-08F9-4930-9D50-EF569590EB4E}"/>
    <cellStyle name="Style 99 5 3 8" xfId="26224" xr:uid="{5084534C-BEBE-4FA9-901A-1A9709B14BAA}"/>
    <cellStyle name="Style 99 5 4" xfId="7910" xr:uid="{C82FE1D3-22F8-4B8B-8998-B292C35DC2C3}"/>
    <cellStyle name="Style 99 5 4 2" xfId="21714" xr:uid="{22228C32-F44D-434D-AC20-BBBA76A0FF61}"/>
    <cellStyle name="Style 99 5 4 2 2" xfId="40061" xr:uid="{15C3363D-73AA-4CF4-ACFF-81EB4CFF4D03}"/>
    <cellStyle name="Style 99 5 4 3" xfId="21715" xr:uid="{8063F7E9-DEE3-48FD-8166-8FC584430D2E}"/>
    <cellStyle name="Style 99 5 4 3 2" xfId="40062" xr:uid="{31D265A7-7AF0-4CE9-BD84-E7BDAE2F18D8}"/>
    <cellStyle name="Style 99 5 4 4" xfId="21716" xr:uid="{DB0D9DFF-2165-42F9-9043-BBC272BB7EB4}"/>
    <cellStyle name="Style 99 5 4 4 2" xfId="40063" xr:uid="{A2BCAD33-BA9A-48CC-960A-2299BC1BC535}"/>
    <cellStyle name="Style 99 5 5" xfId="21717" xr:uid="{7D52F189-303D-4260-A5E8-2C8DE181659F}"/>
    <cellStyle name="Style 99 5 5 2" xfId="21718" xr:uid="{B836B106-C5C1-4B1B-BC36-C1643A477B2A}"/>
    <cellStyle name="Style 99 5 5 2 2" xfId="40065" xr:uid="{9D172206-5CD8-4C43-95C6-0BBA641DF0CC}"/>
    <cellStyle name="Style 99 5 5 3" xfId="40064" xr:uid="{475883AF-5E52-4934-A5E0-C7DE3C67366F}"/>
    <cellStyle name="Style 99 5 6" xfId="21719" xr:uid="{4DFC52CC-6E75-44C0-BF69-C6E1E7F5A649}"/>
    <cellStyle name="Style 99 5 6 2" xfId="21720" xr:uid="{92FABC9B-270D-4013-BE9F-910B444B16E0}"/>
    <cellStyle name="Style 99 5 6 2 2" xfId="40067" xr:uid="{7B08BEED-D71C-49FB-B3B0-15E276666CBC}"/>
    <cellStyle name="Style 99 5 6 3" xfId="40066" xr:uid="{3AD94E64-16E0-4F54-9EFF-E8197D1226AD}"/>
    <cellStyle name="Style 99 5 7" xfId="21721" xr:uid="{1569453A-F39D-42D6-962E-21BC7096BE77}"/>
    <cellStyle name="Style 99 5 7 2" xfId="21722" xr:uid="{A11CA49C-3850-474A-8C4E-327C187DD878}"/>
    <cellStyle name="Style 99 5 7 2 2" xfId="40069" xr:uid="{7B2FC089-25D1-4182-BBAD-50218ACFB942}"/>
    <cellStyle name="Style 99 5 7 3" xfId="40068" xr:uid="{F9864285-9040-4AC7-881B-78732C1A7091}"/>
    <cellStyle name="Style 99 5 8" xfId="21723" xr:uid="{4A61C16D-A379-47B4-9945-5EFD38FD1CB1}"/>
    <cellStyle name="Style 99 5 8 2" xfId="21724" xr:uid="{47A1FA16-4D00-4B03-BD8C-9F5F778AADD4}"/>
    <cellStyle name="Style 99 5 8 2 2" xfId="40071" xr:uid="{CFABA915-167A-4D98-9090-CBA8B9AAB5D7}"/>
    <cellStyle name="Style 99 5 8 3" xfId="40070" xr:uid="{B9FEC6E8-4D2F-4824-9F75-B2E412D0C95B}"/>
    <cellStyle name="Style 99 5 9" xfId="21725" xr:uid="{D90333E3-A008-4B35-A1AD-7DA648762B8A}"/>
    <cellStyle name="Style 99 5 9 2" xfId="21726" xr:uid="{FD704FAD-4E0A-47F3-B99A-91C2EA71B9CB}"/>
    <cellStyle name="Style 99 5 9 2 2" xfId="40073" xr:uid="{18E9A37D-8946-4C75-8E88-5E43D6792C41}"/>
    <cellStyle name="Style 99 5 9 3" xfId="40072" xr:uid="{E9002FE3-4824-42B6-98F8-9DC707555022}"/>
    <cellStyle name="Style 99 6" xfId="3927" xr:uid="{47635675-8AC5-48EA-97DB-A4B78D052B21}"/>
    <cellStyle name="Style 99 6 10" xfId="21727" xr:uid="{856765AD-BC59-4D33-9C71-24DE423D019F}"/>
    <cellStyle name="Style 99 6 10 2" xfId="40074" xr:uid="{49486D25-BB6A-48CB-93A1-716ECDFF2644}"/>
    <cellStyle name="Style 99 6 2" xfId="4244" xr:uid="{F03B72AB-ED8C-470B-AD9E-E84110C6E166}"/>
    <cellStyle name="Style 99 6 2 2" xfId="7913" xr:uid="{8EE80D80-0B00-424A-8904-A74689F75751}"/>
    <cellStyle name="Style 99 6 2 2 2" xfId="21728" xr:uid="{E695D84B-2853-4F83-87A8-40A51A9482B5}"/>
    <cellStyle name="Style 99 6 2 2 2 2" xfId="40075" xr:uid="{D663963F-DFF9-4472-B9B6-721FB17B6023}"/>
    <cellStyle name="Style 99 6 2 2 3" xfId="21729" xr:uid="{CD3D5803-172C-4599-8BC7-2BE63DF91E5F}"/>
    <cellStyle name="Style 99 6 2 2 3 2" xfId="40076" xr:uid="{9C27FA7C-AC0A-4E1D-8F8A-1C386ADF421C}"/>
    <cellStyle name="Style 99 6 2 2 4" xfId="21730" xr:uid="{2F99113A-2405-4AC7-89A3-5D2ABD2D9379}"/>
    <cellStyle name="Style 99 6 2 2 4 2" xfId="40077" xr:uid="{C24242EF-83E2-4EDC-AFDD-3A5493B45E32}"/>
    <cellStyle name="Style 99 6 2 3" xfId="21731" xr:uid="{3811DCA2-BCCA-492F-A9F5-99326A24C6DB}"/>
    <cellStyle name="Style 99 6 2 3 2" xfId="21732" xr:uid="{D1EC00E2-C261-49F7-8E2F-A73098149827}"/>
    <cellStyle name="Style 99 6 2 3 2 2" xfId="40078" xr:uid="{B89B02BC-C90E-4774-8EA3-A60EF2BE5CB7}"/>
    <cellStyle name="Style 99 6 2 3 3" xfId="21733" xr:uid="{D96839F5-B2AE-4AD5-9CDC-D20C31E03D64}"/>
    <cellStyle name="Style 99 6 2 3 3 2" xfId="40079" xr:uid="{553CA411-8EB6-415D-8CBE-5C8BDDF6CBC1}"/>
    <cellStyle name="Style 99 6 2 4" xfId="21734" xr:uid="{84FB5DB5-818B-4008-AE24-EA664E26D3C1}"/>
    <cellStyle name="Style 99 6 2 4 2" xfId="21735" xr:uid="{0C88CCFA-CBDE-4812-B1F9-6A04C0DB83A1}"/>
    <cellStyle name="Style 99 6 2 4 2 2" xfId="40081" xr:uid="{EE6E65C9-4A86-462F-B39A-9FC20CDD74DB}"/>
    <cellStyle name="Style 99 6 2 4 3" xfId="40080" xr:uid="{8FDCFA49-F578-4926-9CDD-9721739E98F4}"/>
    <cellStyle name="Style 99 6 2 5" xfId="21736" xr:uid="{8BCF02A9-A534-48FF-8A1B-AECA7A6C2C49}"/>
    <cellStyle name="Style 99 6 2 5 2" xfId="21737" xr:uid="{ED141779-9097-437A-A92C-A7CB9B2B7C70}"/>
    <cellStyle name="Style 99 6 2 5 2 2" xfId="40083" xr:uid="{097F64DC-7023-472F-8D40-927646502E93}"/>
    <cellStyle name="Style 99 6 2 5 3" xfId="40082" xr:uid="{90ED06FA-705E-49B0-8725-C089B1A7655A}"/>
    <cellStyle name="Style 99 6 2 6" xfId="21738" xr:uid="{92C2F0C6-C830-498B-BC4F-FF32F8731D36}"/>
    <cellStyle name="Style 99 6 2 6 2" xfId="40084" xr:uid="{D9714015-1935-4FF8-8DFE-79EC490E0853}"/>
    <cellStyle name="Style 99 6 2 7" xfId="21739" xr:uid="{807EB3D9-36A0-4D79-B091-5156F530E186}"/>
    <cellStyle name="Style 99 6 2 7 2" xfId="40085" xr:uid="{D4DF4F64-4047-4284-AC73-9D263D878A3B}"/>
    <cellStyle name="Style 99 6 3" xfId="7914" xr:uid="{7AC39CA5-B2B8-448E-9B9F-CAAF91F07A6E}"/>
    <cellStyle name="Style 99 6 3 2" xfId="21740" xr:uid="{B42A1C36-C83E-4EAB-86D3-2330A7FAC958}"/>
    <cellStyle name="Style 99 6 3 2 2" xfId="40086" xr:uid="{1BB447A7-EF41-4770-AFD9-8E263DCAA157}"/>
    <cellStyle name="Style 99 6 3 3" xfId="21741" xr:uid="{C475A575-DF5F-4025-8C5F-86B4B70CBCF0}"/>
    <cellStyle name="Style 99 6 3 3 2" xfId="40087" xr:uid="{E382D00B-1546-4BF5-8F39-5051AB995C47}"/>
    <cellStyle name="Style 99 6 3 4" xfId="21742" xr:uid="{A85CA191-5DC4-43E9-86D3-65B7223D5889}"/>
    <cellStyle name="Style 99 6 3 4 2" xfId="40088" xr:uid="{362C26DB-82C9-4BC2-9FE2-B675CA6D5F45}"/>
    <cellStyle name="Style 99 6 4" xfId="7912" xr:uid="{D3F040E7-E4DA-408F-9B56-20CF0F4941C8}"/>
    <cellStyle name="Style 99 6 4 2" xfId="21743" xr:uid="{0276C672-DE50-44A9-935C-AB606968BFB5}"/>
    <cellStyle name="Style 99 6 4 2 2" xfId="40089" xr:uid="{AA4DE932-EA06-4FF2-9364-A9D69B908C29}"/>
    <cellStyle name="Style 99 6 4 3" xfId="21744" xr:uid="{2FFF1997-F3F0-4401-89E1-016290DE31BB}"/>
    <cellStyle name="Style 99 6 4 3 2" xfId="40090" xr:uid="{F990C454-9242-4CF1-ACA2-95562FDEE968}"/>
    <cellStyle name="Style 99 6 5" xfId="21745" xr:uid="{FEDEC9C4-D303-4E2D-BAA8-FB303F2E3809}"/>
    <cellStyle name="Style 99 6 5 2" xfId="21746" xr:uid="{5C50FDD1-6CFC-4A4D-89AD-78B5EDD78813}"/>
    <cellStyle name="Style 99 6 5 2 2" xfId="40092" xr:uid="{8C397119-ECBC-45D1-9711-E33A77D92C5E}"/>
    <cellStyle name="Style 99 6 5 3" xfId="40091" xr:uid="{DDE3D80B-9EEC-4265-BE0C-A870AD8986CA}"/>
    <cellStyle name="Style 99 6 6" xfId="21747" xr:uid="{F5086048-944D-4F74-9DD3-EB1832178F9F}"/>
    <cellStyle name="Style 99 6 6 2" xfId="21748" xr:uid="{2B99D340-59B5-4804-8831-8072D28358C4}"/>
    <cellStyle name="Style 99 6 6 2 2" xfId="40094" xr:uid="{1EDBE958-B232-4069-A568-0B7264E2E871}"/>
    <cellStyle name="Style 99 6 6 3" xfId="40093" xr:uid="{35EEF752-86AA-4853-B899-AD39E5E21469}"/>
    <cellStyle name="Style 99 6 7" xfId="21749" xr:uid="{5C93E225-C4E3-4A42-B917-2D77457C5745}"/>
    <cellStyle name="Style 99 6 7 2" xfId="21750" xr:uid="{25815FA3-72DF-4595-B13D-416529EDE2F1}"/>
    <cellStyle name="Style 99 6 7 2 2" xfId="40096" xr:uid="{F41ED94C-B680-45B1-868D-197550C38DC8}"/>
    <cellStyle name="Style 99 6 7 3" xfId="40095" xr:uid="{F242C1F4-A6A3-4C61-B03B-ACA06C0BCF60}"/>
    <cellStyle name="Style 99 6 8" xfId="21751" xr:uid="{D5CAE26A-B18F-4545-BE6E-10BE6C2ACA41}"/>
    <cellStyle name="Style 99 6 8 2" xfId="21752" xr:uid="{5ECBA9B1-5F48-4173-A3DB-F3545EB5101F}"/>
    <cellStyle name="Style 99 6 8 2 2" xfId="40098" xr:uid="{9460B1E5-1308-4A4E-88B4-23330803BAB9}"/>
    <cellStyle name="Style 99 6 8 3" xfId="40097" xr:uid="{53179E17-8160-4F14-8F4E-758AA4E2BEFB}"/>
    <cellStyle name="Style 99 6 9" xfId="21753" xr:uid="{247916E1-6D65-4DCF-BD4D-A7C33CAA5D36}"/>
    <cellStyle name="Style 99 6 9 2" xfId="40099" xr:uid="{E6B63B96-D160-48D4-8F10-892F002C4818}"/>
    <cellStyle name="Style 99 7" xfId="4232" xr:uid="{C527E394-EA32-456A-9A8D-C907972F2A69}"/>
    <cellStyle name="Style 99 7 2" xfId="7916" xr:uid="{300E4093-2823-4F96-8EAE-92EE2F96A93F}"/>
    <cellStyle name="Style 99 7 2 2" xfId="21754" xr:uid="{92AB7B1A-1411-49AB-9C6A-7E78A5CF5429}"/>
    <cellStyle name="Style 99 7 2 2 2" xfId="40100" xr:uid="{70F44717-C8ED-43E8-8BB4-D61E55F6188E}"/>
    <cellStyle name="Style 99 7 3" xfId="7917" xr:uid="{E3F53F8E-7A2F-4BDC-8E25-736D0C40932B}"/>
    <cellStyle name="Style 99 7 3 2" xfId="21755" xr:uid="{0E5491F4-C9BB-4DCE-94DB-011002015095}"/>
    <cellStyle name="Style 99 7 3 2 2" xfId="40101" xr:uid="{4AA953D2-E27D-44D2-ACDD-F076B04E30F2}"/>
    <cellStyle name="Style 99 7 4" xfId="7915" xr:uid="{7C8D451D-273E-4A9E-A85B-8AD964BE8937}"/>
    <cellStyle name="Style 99 7 4 2" xfId="28365" xr:uid="{8DE8B2C8-1105-40E7-AEAC-92CA1F9C873B}"/>
    <cellStyle name="Style 99 7 5" xfId="21756" xr:uid="{17BE2094-5E31-473E-8FDA-74DCE08CC11F}"/>
    <cellStyle name="Style 99 7 5 2" xfId="40102" xr:uid="{65821692-C7A3-4E85-B2BC-D3667C33F99B}"/>
    <cellStyle name="Style 99 7 6" xfId="24306" xr:uid="{D051D6DE-5E85-484A-8DC3-8CF5C125AFE1}"/>
    <cellStyle name="Style 99 8" xfId="7918" xr:uid="{4A230E91-B971-4267-BFA7-2626821FE20B}"/>
    <cellStyle name="Style 99 8 2" xfId="21757" xr:uid="{30C6B264-202F-41E7-81BD-0C7AB28829D8}"/>
    <cellStyle name="Style 99 8 2 2" xfId="40103" xr:uid="{A9BC9945-F636-4597-8842-CB32F2FCE12F}"/>
    <cellStyle name="Style 99 8 3" xfId="21758" xr:uid="{3E685B7C-1517-4737-8514-7F8E966754FF}"/>
    <cellStyle name="Style 99 8 3 2" xfId="40104" xr:uid="{313477D5-A0B8-47E6-8B83-01B5564551BD}"/>
    <cellStyle name="Style 99 9" xfId="7919" xr:uid="{57D2CB3E-8065-446B-8E9F-70D53DE6E602}"/>
    <cellStyle name="Style 99 9 2" xfId="21759" xr:uid="{70275A2D-9FC9-4913-AC9C-F2E12B7E4A58}"/>
    <cellStyle name="Style 99 9 2 2" xfId="40105" xr:uid="{AB966D35-12D5-4327-ACDA-ED7110BBBE99}"/>
    <cellStyle name="Style 99 9 3" xfId="21760" xr:uid="{60399D03-5C32-4D41-9FFB-532C0E4E7805}"/>
    <cellStyle name="Style 99 9 3 2" xfId="40106" xr:uid="{84BF1D6A-92A8-4BF5-9D22-D7454F855029}"/>
    <cellStyle name="Style 99_ADDON" xfId="25819" xr:uid="{7A9AE465-D434-4119-9192-910C2428B0ED}"/>
    <cellStyle name="TableStyleLight1" xfId="3928" xr:uid="{6DA73881-DEC1-4C9F-806F-584565B483DB}"/>
    <cellStyle name="TableStyleLight1 10" xfId="21761" xr:uid="{BD9A744C-EEF9-48C2-8460-F5FC44104DDE}"/>
    <cellStyle name="TableStyleLight1 10 2" xfId="40107" xr:uid="{9A66E0D0-57F8-41B5-87B6-B96CFF98C5A7}"/>
    <cellStyle name="TableStyleLight1 2" xfId="21762" xr:uid="{13771917-0E7D-47C6-B2A5-53692DEF2155}"/>
    <cellStyle name="TableStyleLight1 2 2" xfId="21763" xr:uid="{D81B558A-741C-4C94-8490-0168750CB5FB}"/>
    <cellStyle name="TableStyleLight1 2 2 2" xfId="21764" xr:uid="{42F850CF-59DD-40C8-8643-9CCD1BD86CE9}"/>
    <cellStyle name="TableStyleLight1 2 2 2 2" xfId="40109" xr:uid="{4ADF491C-CF91-493B-B5C0-4AF1F1F0E0EE}"/>
    <cellStyle name="TableStyleLight1 2 2 3" xfId="21765" xr:uid="{74C967F0-B5D0-472E-A73E-9438B87D4C19}"/>
    <cellStyle name="TableStyleLight1 2 2 3 2" xfId="40110" xr:uid="{5DABF0E4-CF72-4ED0-B11D-F602409F3667}"/>
    <cellStyle name="TableStyleLight1 2 2 4" xfId="40108" xr:uid="{121E6199-B8BF-42C1-9B39-3D84988DF8B0}"/>
    <cellStyle name="TableStyleLight1 2 3" xfId="21766" xr:uid="{05CC2766-293C-41DD-B315-79A6EA89A881}"/>
    <cellStyle name="TableStyleLight1 2 3 2" xfId="21767" xr:uid="{8562FDE6-BC20-401E-8F9B-B8C76D4BE8CE}"/>
    <cellStyle name="TableStyleLight1 2 3 2 2" xfId="40112" xr:uid="{B3481A9F-7B77-4DFB-A0A4-CADC680063E9}"/>
    <cellStyle name="TableStyleLight1 2 3 3" xfId="40111" xr:uid="{5268F74B-A56F-445F-85F5-8454052CDD8D}"/>
    <cellStyle name="TableStyleLight1 2 4" xfId="21768" xr:uid="{16A3154C-7B38-4D35-B615-352195EA90AF}"/>
    <cellStyle name="TableStyleLight1 2 4 2" xfId="21769" xr:uid="{EC2C2007-BF56-4BA8-B84A-D605660C76D5}"/>
    <cellStyle name="TableStyleLight1 2 4 2 2" xfId="40114" xr:uid="{EC7E8DB0-F2C6-41C8-B720-7E900A016FB0}"/>
    <cellStyle name="TableStyleLight1 2 4 3" xfId="40113" xr:uid="{9DB474A4-91B7-4FFE-A176-A494E3EDBA16}"/>
    <cellStyle name="TableStyleLight1 2 5" xfId="21770" xr:uid="{84F7A1B9-F77C-4DF6-8A3A-7215BC8FA9DA}"/>
    <cellStyle name="TableStyleLight1 2 5 2" xfId="21771" xr:uid="{D4F72AB3-62A9-4DC3-A504-5F1D889F65AB}"/>
    <cellStyle name="TableStyleLight1 2 5 2 2" xfId="40116" xr:uid="{0E40C5EC-0791-4EF3-BA3F-BD695FFD0272}"/>
    <cellStyle name="TableStyleLight1 2 5 3" xfId="40115" xr:uid="{0B4D7763-07AF-4080-BB0C-F03252999A8D}"/>
    <cellStyle name="TableStyleLight1 2 6" xfId="21772" xr:uid="{FB8B5AC0-222E-41A4-926C-2EA64E40AE41}"/>
    <cellStyle name="TableStyleLight1 2 6 2" xfId="40117" xr:uid="{87BC41AB-0E88-400C-A0EF-1CF791C2E5DD}"/>
    <cellStyle name="TableStyleLight1 2 7" xfId="21773" xr:uid="{0444EED5-5B1F-4A06-9587-05B2464D5E89}"/>
    <cellStyle name="TableStyleLight1 2 7 2" xfId="40118" xr:uid="{900602DA-3E41-4441-BF8A-6EEE14BDE414}"/>
    <cellStyle name="TableStyleLight1 3" xfId="21774" xr:uid="{0A13F4BA-D67E-4AA7-853A-FD9EFABDE3DF}"/>
    <cellStyle name="TableStyleLight1 3 2" xfId="21775" xr:uid="{8D87FFA3-CBEA-4A8E-A04D-54D4FF000978}"/>
    <cellStyle name="TableStyleLight1 3 2 2" xfId="40120" xr:uid="{F7CDD04F-4A80-4037-AFD5-F3388E40D2DD}"/>
    <cellStyle name="TableStyleLight1 3 3" xfId="21776" xr:uid="{5C02117D-7433-4D8D-BC40-790717A95FC9}"/>
    <cellStyle name="TableStyleLight1 3 3 2" xfId="40121" xr:uid="{3BAD1722-0CAC-4891-BB47-C4563F736AE0}"/>
    <cellStyle name="TableStyleLight1 3 4" xfId="40119" xr:uid="{3E066C49-FF17-46B5-8BF9-11190FDEFA7D}"/>
    <cellStyle name="TableStyleLight1 4" xfId="21777" xr:uid="{C43D2F05-80ED-43D3-BACC-4DD714B49E55}"/>
    <cellStyle name="TableStyleLight1 4 2" xfId="21778" xr:uid="{476748C5-4575-44BF-BB29-D3F78F8B6CF8}"/>
    <cellStyle name="TableStyleLight1 4 2 2" xfId="40123" xr:uid="{0ACAA57E-DB5D-406E-AFE7-4BD5EF22100C}"/>
    <cellStyle name="TableStyleLight1 4 3" xfId="40122" xr:uid="{D17BF2F2-4BF8-4797-A7A4-88CF0A6E4920}"/>
    <cellStyle name="TableStyleLight1 5" xfId="21779" xr:uid="{AFA3C92F-AC5D-4249-B5A1-EC277B27041D}"/>
    <cellStyle name="TableStyleLight1 5 2" xfId="21780" xr:uid="{7FD2646E-AB85-435B-85FA-BB9041909BBF}"/>
    <cellStyle name="TableStyleLight1 5 2 2" xfId="40125" xr:uid="{2D5BB5DA-2A0A-49B9-AD56-B01D0A9499A2}"/>
    <cellStyle name="TableStyleLight1 5 3" xfId="40124" xr:uid="{07F30E75-AD69-426E-A8DD-9520D5123B14}"/>
    <cellStyle name="TableStyleLight1 6" xfId="21781" xr:uid="{A890FD4E-BEE3-42D1-BC95-667E42BFDB06}"/>
    <cellStyle name="TableStyleLight1 6 2" xfId="21782" xr:uid="{4C158D40-0A12-43F4-9802-03DCACA457A3}"/>
    <cellStyle name="TableStyleLight1 6 2 2" xfId="40127" xr:uid="{881D19BB-EB2C-4B7F-9A0E-DD73AF86E8BC}"/>
    <cellStyle name="TableStyleLight1 6 3" xfId="40126" xr:uid="{FE04BDE0-BD4A-4D25-B1B1-7699F34D5106}"/>
    <cellStyle name="TableStyleLight1 7" xfId="21783" xr:uid="{F7DBB0B3-1F04-47D3-9783-46E8DD230FB9}"/>
    <cellStyle name="TableStyleLight1 7 2" xfId="21784" xr:uid="{802BDA7B-204F-4FC1-BD74-6F7456360052}"/>
    <cellStyle name="TableStyleLight1 7 2 2" xfId="40129" xr:uid="{89D6FAA5-50D7-4F2F-9B6F-681E87B6EA6F}"/>
    <cellStyle name="TableStyleLight1 7 3" xfId="40128" xr:uid="{97F41AD5-50A0-4BBE-83FC-3C9BEA9DCA71}"/>
    <cellStyle name="TableStyleLight1 8" xfId="21785" xr:uid="{3131C3C9-CC6D-4FB2-B859-EB24510BA601}"/>
    <cellStyle name="TableStyleLight1 8 2" xfId="21786" xr:uid="{98585E5A-8553-48FA-843B-9A3F583C78F3}"/>
    <cellStyle name="TableStyleLight1 8 2 2" xfId="40131" xr:uid="{1D972843-6F97-47D5-8524-05DA1ADF6B11}"/>
    <cellStyle name="TableStyleLight1 8 3" xfId="40130" xr:uid="{B220DC31-48DA-4098-A0B6-A2E58C10B671}"/>
    <cellStyle name="TableStyleLight1 9" xfId="21787" xr:uid="{935A611D-6C32-4749-A94B-F1FE7A38B499}"/>
    <cellStyle name="TableStyleLight1 9 2" xfId="40132" xr:uid="{860E0D63-679C-40FB-873D-7FE76D897B24}"/>
    <cellStyle name="Texte explicatif" xfId="3929" xr:uid="{B312965F-115D-41AA-8018-7E3F28ABA08D}"/>
    <cellStyle name="Texte explicatif 10" xfId="21788" xr:uid="{0C5C713C-FF4D-4058-A2C4-BADFEB23FEDC}"/>
    <cellStyle name="Texte explicatif 10 2" xfId="40133" xr:uid="{6B843196-BC40-4FBC-9DD7-10157D0CF03C}"/>
    <cellStyle name="Texte explicatif 11" xfId="21789" xr:uid="{84A1B2A8-6B6A-49F8-977C-33434B45DF18}"/>
    <cellStyle name="Texte explicatif 11 2" xfId="40134" xr:uid="{0D55F93A-839F-488F-92FC-68097CD00BDF}"/>
    <cellStyle name="Texte explicatif 2" xfId="4245" xr:uid="{08D393C3-830F-4AD8-B0C7-B461960CEE90}"/>
    <cellStyle name="Texte explicatif 2 2" xfId="7921" xr:uid="{DD8FC98F-534E-4FA9-A113-2AE7658E7B52}"/>
    <cellStyle name="Texte explicatif 2 2 2" xfId="21790" xr:uid="{8E5B3C71-0339-4AED-93F2-91708431E5A3}"/>
    <cellStyle name="Texte explicatif 2 2 2 2" xfId="40135" xr:uid="{BBCA56B5-6A96-4460-B062-60CF42CA491E}"/>
    <cellStyle name="Texte explicatif 2 2 3" xfId="21791" xr:uid="{6A821AD0-B0D4-4816-A25F-F9D2FCAC47CF}"/>
    <cellStyle name="Texte explicatif 2 2 3 2" xfId="40136" xr:uid="{DDBFBE33-D878-426A-82ED-1D64FAECED90}"/>
    <cellStyle name="Texte explicatif 2 2 4" xfId="21792" xr:uid="{D44952A6-21E5-4275-9BC9-122A1EC33521}"/>
    <cellStyle name="Texte explicatif 2 2 4 2" xfId="40137" xr:uid="{C289CE87-AC2C-41E7-9A6F-8FD6CE275C33}"/>
    <cellStyle name="Texte explicatif 2 3" xfId="21793" xr:uid="{C12314A4-78D3-41EE-9CCC-BA22C8352068}"/>
    <cellStyle name="Texte explicatif 2 3 2" xfId="21794" xr:uid="{A4B19F94-68FF-4FA9-961F-1848DAB82500}"/>
    <cellStyle name="Texte explicatif 2 3 2 2" xfId="40138" xr:uid="{C3770300-963A-45AB-9018-5720D02598B4}"/>
    <cellStyle name="Texte explicatif 2 3 3" xfId="21795" xr:uid="{5787DF01-F5D1-4AA3-BBD0-847922DB20EB}"/>
    <cellStyle name="Texte explicatif 2 3 3 2" xfId="40139" xr:uid="{92144E36-8E4A-4DBA-8BC6-0C19BE4E34DE}"/>
    <cellStyle name="Texte explicatif 2 4" xfId="21796" xr:uid="{F82407C6-0A54-48A1-985F-EB0F5FCA660B}"/>
    <cellStyle name="Texte explicatif 2 4 2" xfId="21797" xr:uid="{549BD233-AC4C-4E63-A6E7-297AD12E842F}"/>
    <cellStyle name="Texte explicatif 2 4 2 2" xfId="40141" xr:uid="{F9DD1A02-2E63-4DB5-8020-3E4314C093A8}"/>
    <cellStyle name="Texte explicatif 2 4 3" xfId="40140" xr:uid="{A4725EFA-5F87-4453-93FF-0A881C92822B}"/>
    <cellStyle name="Texte explicatif 2 5" xfId="21798" xr:uid="{05C5F915-7CC2-455D-8DBA-D64C377A5F42}"/>
    <cellStyle name="Texte explicatif 2 5 2" xfId="21799" xr:uid="{6F30D32F-38BD-4E19-AE7F-4B4CA1AD8844}"/>
    <cellStyle name="Texte explicatif 2 5 2 2" xfId="40143" xr:uid="{7FFC0379-AD13-4DAD-9C49-16F443FC9572}"/>
    <cellStyle name="Texte explicatif 2 5 3" xfId="40142" xr:uid="{9519939E-910D-4BA8-9C8C-13CD4028AF97}"/>
    <cellStyle name="Texte explicatif 2 6" xfId="21800" xr:uid="{D7445E98-1D9D-48A2-B1D4-6A32463FCBBE}"/>
    <cellStyle name="Texte explicatif 2 6 2" xfId="40144" xr:uid="{B3FAC1D0-D42F-4698-B77F-9CCF884C6108}"/>
    <cellStyle name="Texte explicatif 2 7" xfId="21801" xr:uid="{371BC254-81D0-44DF-80DF-CD1E6C76C6E5}"/>
    <cellStyle name="Texte explicatif 2 7 2" xfId="40145" xr:uid="{F612C0CF-7582-4785-8B3A-AF0241B1ABED}"/>
    <cellStyle name="Texte explicatif 3" xfId="7920" xr:uid="{9EA8ACAD-487E-4431-89A4-C135A181FDE7}"/>
    <cellStyle name="Texte explicatif 3 2" xfId="21802" xr:uid="{712DDA97-8CB8-412F-AC9A-FF7011FF7905}"/>
    <cellStyle name="Texte explicatif 3 2 2" xfId="21803" xr:uid="{D494F210-CC34-4CA3-8D75-8247AF57AAFB}"/>
    <cellStyle name="Texte explicatif 3 2 2 2" xfId="40146" xr:uid="{0BDD8F87-1449-4C8B-99D8-0975B63E210E}"/>
    <cellStyle name="Texte explicatif 3 3" xfId="21804" xr:uid="{EAFFCDD9-5913-4205-A696-540932DCA06E}"/>
    <cellStyle name="Texte explicatif 3 3 2" xfId="40147" xr:uid="{BAF7FCB4-821B-438D-BE6D-6B4E872C2722}"/>
    <cellStyle name="Texte explicatif 3 4" xfId="21805" xr:uid="{15BEF632-6C48-4092-8A7D-9CB1F7DA021A}"/>
    <cellStyle name="Texte explicatif 3 4 2" xfId="40148" xr:uid="{EC1235D6-1929-4A00-84C4-6597298134E6}"/>
    <cellStyle name="Texte explicatif 4" xfId="21806" xr:uid="{3C5CF91E-4876-43A0-9BBA-4EBC3068272A}"/>
    <cellStyle name="Texte explicatif 4 2" xfId="21807" xr:uid="{6C318282-DD38-48D5-BB50-264AE4A0B12B}"/>
    <cellStyle name="Texte explicatif 4 2 2" xfId="40150" xr:uid="{5E663CC9-542F-456C-A86D-5B4152DACF01}"/>
    <cellStyle name="Texte explicatif 4 3" xfId="40149" xr:uid="{7A959890-2308-4379-9B14-1A7E6F095210}"/>
    <cellStyle name="Texte explicatif 5" xfId="21808" xr:uid="{32963AE9-E0A9-435F-BD7E-B97B111B7061}"/>
    <cellStyle name="Texte explicatif 5 2" xfId="21809" xr:uid="{E6734D00-599D-424A-8466-5A0668C8AE26}"/>
    <cellStyle name="Texte explicatif 5 2 2" xfId="40152" xr:uid="{B19C30CD-3FCD-4FFF-A2DE-F9EF57C68F72}"/>
    <cellStyle name="Texte explicatif 5 3" xfId="40151" xr:uid="{F0169133-CB8E-4DFA-ACBF-7DCB1CDCE2E4}"/>
    <cellStyle name="Texte explicatif 6" xfId="21810" xr:uid="{ED9BE7BB-5B74-4D26-A1E8-2D80B4C97D43}"/>
    <cellStyle name="Texte explicatif 6 2" xfId="21811" xr:uid="{EB6839FD-A730-4B39-9CF7-2B0494285DFD}"/>
    <cellStyle name="Texte explicatif 6 2 2" xfId="40154" xr:uid="{040C020C-1E7B-495F-9CA4-6E0A3289D531}"/>
    <cellStyle name="Texte explicatif 6 3" xfId="40153" xr:uid="{6289E9EC-2409-45C5-8062-27AB926D1E0C}"/>
    <cellStyle name="Texte explicatif 7" xfId="21812" xr:uid="{0D1AAD6A-A641-44D1-B902-D7B479C6256E}"/>
    <cellStyle name="Texte explicatif 7 2" xfId="21813" xr:uid="{AAF71549-4DC6-4090-8E06-36440A86652C}"/>
    <cellStyle name="Texte explicatif 7 2 2" xfId="40156" xr:uid="{54AAE31D-64A4-428D-B2BC-129FB44D1EF7}"/>
    <cellStyle name="Texte explicatif 7 3" xfId="40155" xr:uid="{9AF56FAF-D401-4564-8D1A-1BB78BB96CF8}"/>
    <cellStyle name="Texte explicatif 8" xfId="21814" xr:uid="{D4761911-B6AE-4EC5-BF33-7566811D0B28}"/>
    <cellStyle name="Texte explicatif 8 2" xfId="21815" xr:uid="{E26A22AD-D464-4074-8F5E-5C7883E5C0B6}"/>
    <cellStyle name="Texte explicatif 8 2 2" xfId="40158" xr:uid="{CA013C2D-D47A-4BE8-B7AE-A62C3DA67136}"/>
    <cellStyle name="Texte explicatif 8 3" xfId="40157" xr:uid="{12DBE9DB-A144-49F3-95A2-0CA3B492D416}"/>
    <cellStyle name="Texte explicatif 9" xfId="21816" xr:uid="{D6A29CDA-C68F-4AAA-B0F7-5E4EAAF85EB7}"/>
    <cellStyle name="Texte explicatif 9 2" xfId="40159" xr:uid="{DE79022C-6EB9-46F6-9281-76EE8A954590}"/>
    <cellStyle name="Title 2" xfId="3930" xr:uid="{EECA9410-4818-446F-8E21-3E666F7BEFF5}"/>
    <cellStyle name="Title 2 10" xfId="21817" xr:uid="{AC99AE66-E38D-48A3-9434-A54504C33A43}"/>
    <cellStyle name="Title 2 10 2" xfId="40160" xr:uid="{DE46374B-F462-4CC2-AD45-AFD1F511744E}"/>
    <cellStyle name="Title 2 11" xfId="21818" xr:uid="{689128B8-FA9A-4396-A440-E409DD17AEB1}"/>
    <cellStyle name="Title 2 11 2" xfId="40161" xr:uid="{27AAFF9A-EF3D-45BF-8801-6298F4312C34}"/>
    <cellStyle name="Title 2 2" xfId="4246" xr:uid="{36897DF0-B24B-4EC0-83CC-B392C2532BCF}"/>
    <cellStyle name="Title 2 2 2" xfId="7923" xr:uid="{1C86AD22-D6DE-4A18-87C0-85D888EA5795}"/>
    <cellStyle name="Title 2 2 2 2" xfId="21819" xr:uid="{6A5D4463-B078-4508-AAF9-E70822657D46}"/>
    <cellStyle name="Title 2 2 2 2 2" xfId="40162" xr:uid="{E6F25019-4A0C-45AF-BD95-8FCCD6E98296}"/>
    <cellStyle name="Title 2 2 2 3" xfId="21820" xr:uid="{1EA64123-E639-4DA5-A266-15F9AA04F5F4}"/>
    <cellStyle name="Title 2 2 2 3 2" xfId="40163" xr:uid="{38660C78-EAE6-4024-BF0D-57A1B93B899F}"/>
    <cellStyle name="Title 2 2 2 4" xfId="21821" xr:uid="{387474F1-AA3A-4C88-B7D2-451C9C99D1D0}"/>
    <cellStyle name="Title 2 2 2 4 2" xfId="40164" xr:uid="{1D536FB0-E1B1-4759-948D-823EABDD8ACF}"/>
    <cellStyle name="Title 2 2 3" xfId="21822" xr:uid="{EAB4AAD8-CAFB-4677-BBCE-357C849D7792}"/>
    <cellStyle name="Title 2 2 3 2" xfId="21823" xr:uid="{6FF26779-E0B7-4C07-9513-F2A608395426}"/>
    <cellStyle name="Title 2 2 3 2 2" xfId="40165" xr:uid="{CC013A17-19C2-4F1B-A8DD-6DF8A64A7209}"/>
    <cellStyle name="Title 2 2 3 3" xfId="21824" xr:uid="{AD92C126-74B0-4258-83CA-85209C3CA8E6}"/>
    <cellStyle name="Title 2 2 3 3 2" xfId="40166" xr:uid="{66F5F88C-5A05-455F-9254-F7FE1845AA84}"/>
    <cellStyle name="Title 2 2 4" xfId="21825" xr:uid="{B7F306C5-22B0-4460-85A7-2CAFD964E5FD}"/>
    <cellStyle name="Title 2 2 4 2" xfId="21826" xr:uid="{1948BA3B-000F-4551-AEA8-CA91F48ABE27}"/>
    <cellStyle name="Title 2 2 4 2 2" xfId="40168" xr:uid="{CC093F58-2636-491B-A94B-3BEF3B506FE1}"/>
    <cellStyle name="Title 2 2 4 3" xfId="40167" xr:uid="{A006E125-7FD2-4FC2-9849-C21256E2E7AA}"/>
    <cellStyle name="Title 2 2 5" xfId="21827" xr:uid="{6DF64481-6A3B-406A-929B-39316D523101}"/>
    <cellStyle name="Title 2 2 5 2" xfId="21828" xr:uid="{38851C74-809D-4B3B-961A-AB5C51B95794}"/>
    <cellStyle name="Title 2 2 5 2 2" xfId="40170" xr:uid="{61A57062-56B0-495D-98D2-92C75B19FFB0}"/>
    <cellStyle name="Title 2 2 5 3" xfId="40169" xr:uid="{4A4F89ED-67D5-4E0E-91A0-0273EFCBD02C}"/>
    <cellStyle name="Title 2 2 6" xfId="21829" xr:uid="{7E379EC1-26BF-444C-B93E-287C927F1B26}"/>
    <cellStyle name="Title 2 2 6 2" xfId="40171" xr:uid="{8294EEEC-11D2-4FC2-A8CA-93685E38247D}"/>
    <cellStyle name="Title 2 2 7" xfId="21830" xr:uid="{8406A552-5D36-44C7-BB54-B72496EB4858}"/>
    <cellStyle name="Title 2 2 7 2" xfId="40172" xr:uid="{0065B2BA-BF34-4EF2-AA25-7A7C7F6695E1}"/>
    <cellStyle name="Title 2 3" xfId="7922" xr:uid="{E5A79DFF-83DB-4343-9996-9E6E869807A5}"/>
    <cellStyle name="Title 2 3 2" xfId="21831" xr:uid="{0F339FA7-135E-407D-ABA2-BF7C5489CBDB}"/>
    <cellStyle name="Title 2 3 2 2" xfId="21832" xr:uid="{C3EAFE12-C269-4E79-AD3C-E7C40FC6D199}"/>
    <cellStyle name="Title 2 3 2 2 2" xfId="40173" xr:uid="{6378A874-D467-4394-A517-6774EC819B93}"/>
    <cellStyle name="Title 2 3 3" xfId="21833" xr:uid="{C97A37DD-51E8-4ADA-A9C5-A0769B827629}"/>
    <cellStyle name="Title 2 3 3 2" xfId="40174" xr:uid="{4E8ADFBE-F4D8-482C-BF46-980FE1E8900D}"/>
    <cellStyle name="Title 2 3 4" xfId="21834" xr:uid="{B3D7D911-6DF9-469F-876B-6824CEAE96D1}"/>
    <cellStyle name="Title 2 3 4 2" xfId="40175" xr:uid="{8B15573F-9264-47B0-BDE6-7B04D6C7A38C}"/>
    <cellStyle name="Title 2 4" xfId="21835" xr:uid="{568C3FA5-E299-471D-8389-D39BFD09EA11}"/>
    <cellStyle name="Title 2 4 2" xfId="21836" xr:uid="{6AE965DE-998D-498C-8E9B-47B5939F80BE}"/>
    <cellStyle name="Title 2 4 2 2" xfId="40177" xr:uid="{34FA4D97-0C4F-4765-B839-BABC7439F6B7}"/>
    <cellStyle name="Title 2 4 3" xfId="40176" xr:uid="{29DB2411-7C45-40F1-927C-08A9B6DC4D35}"/>
    <cellStyle name="Title 2 5" xfId="21837" xr:uid="{05DADB68-599D-44D0-8B3A-9C1860C75245}"/>
    <cellStyle name="Title 2 5 2" xfId="21838" xr:uid="{76314CEB-B13E-409E-91A9-CF266998B13B}"/>
    <cellStyle name="Title 2 5 2 2" xfId="40179" xr:uid="{0EB311CC-1805-4C0A-864D-F692DED51C8E}"/>
    <cellStyle name="Title 2 5 3" xfId="40178" xr:uid="{C5AD99B1-CC83-4413-B32A-A4AC57D5794E}"/>
    <cellStyle name="Title 2 6" xfId="21839" xr:uid="{886086E8-9499-4D11-A5D2-814723BAA8D3}"/>
    <cellStyle name="Title 2 6 2" xfId="21840" xr:uid="{0FCC3E75-66F2-4865-9A26-ECAEC3597BD7}"/>
    <cellStyle name="Title 2 6 2 2" xfId="40181" xr:uid="{75A3FB10-2780-4140-B0E5-E7458A9698C6}"/>
    <cellStyle name="Title 2 6 3" xfId="40180" xr:uid="{A8815CEE-47B8-4212-A8A4-526D6CF01FD9}"/>
    <cellStyle name="Title 2 7" xfId="21841" xr:uid="{2E1D8835-412A-4753-B31C-B01B51AFB5BA}"/>
    <cellStyle name="Title 2 7 2" xfId="21842" xr:uid="{43402404-1CB5-4CAA-B632-DD22F4D955EE}"/>
    <cellStyle name="Title 2 7 2 2" xfId="40183" xr:uid="{DE6AB384-5315-4DA8-9F30-A0F03B2FED13}"/>
    <cellStyle name="Title 2 7 3" xfId="40182" xr:uid="{0A2EA185-596B-4DE4-B71C-E007613EFB7C}"/>
    <cellStyle name="Title 2 8" xfId="21843" xr:uid="{32580E72-8AD3-456B-87D4-D3A8B7CBF762}"/>
    <cellStyle name="Title 2 8 2" xfId="21844" xr:uid="{EA99D8C8-E983-47BF-A7CA-50757D62F3F5}"/>
    <cellStyle name="Title 2 8 2 2" xfId="40185" xr:uid="{B25E04D6-07DD-4C67-AAB4-1CF96B6AA3A4}"/>
    <cellStyle name="Title 2 8 3" xfId="40184" xr:uid="{2134DA6C-E5EE-40CA-8513-0382DC8FD897}"/>
    <cellStyle name="Title 2 9" xfId="21845" xr:uid="{62181DAE-32AD-4AB3-9E21-CFA29F1355B1}"/>
    <cellStyle name="Title 2 9 2" xfId="40186" xr:uid="{43EF2E0A-2C33-42C1-9F73-F496013BFACC}"/>
    <cellStyle name="Title 3" xfId="3931" xr:uid="{B7167D12-A7C8-44BE-979E-5461FF9F0289}"/>
    <cellStyle name="Title 3 2" xfId="21846" xr:uid="{2CAC0830-237B-42FE-8469-66A618E96A0B}"/>
    <cellStyle name="Title 3 2 2" xfId="21847" xr:uid="{156C8BEB-0A17-415D-91DB-6C8B92F63698}"/>
    <cellStyle name="Title 3 2 2 2" xfId="21848" xr:uid="{745B9CAF-F630-4759-AA42-142DE7345334}"/>
    <cellStyle name="Title 3 2 2 2 2" xfId="40188" xr:uid="{CDCD0F22-111F-4D8D-8E60-796193C0944F}"/>
    <cellStyle name="Title 3 2 2 3" xfId="40187" xr:uid="{184F6E74-1445-465B-B1EE-BA24352CC7B3}"/>
    <cellStyle name="Title 3 2 3" xfId="21849" xr:uid="{FDB09815-58D0-46B6-86B5-82D9F71C8BCD}"/>
    <cellStyle name="Title 3 2 3 2" xfId="21850" xr:uid="{506E9E35-835D-4E93-B181-DBDE544E8DEA}"/>
    <cellStyle name="Title 3 2 3 2 2" xfId="40190" xr:uid="{B5C39B01-1387-46AA-B56E-E9ECA5D0AB19}"/>
    <cellStyle name="Title 3 2 3 3" xfId="40189" xr:uid="{5C90BDFC-A7F3-4235-BA1F-5EAD01847D93}"/>
    <cellStyle name="Title 3 2 4" xfId="21851" xr:uid="{689BFA7D-0007-4707-BDB1-B71590193FA6}"/>
    <cellStyle name="Title 3 2 4 2" xfId="21852" xr:uid="{364ED75B-B49F-4097-985B-20F6048488F4}"/>
    <cellStyle name="Title 3 2 4 2 2" xfId="40192" xr:uid="{835E0FA2-31BD-4E7F-8E93-F0141F95B52C}"/>
    <cellStyle name="Title 3 2 4 3" xfId="40191" xr:uid="{C724C99E-0204-4678-B684-C430AF8476F8}"/>
    <cellStyle name="Title 3 2 5" xfId="21853" xr:uid="{AD1FADF8-9CA0-45AE-AFA8-05DE8D9122C8}"/>
    <cellStyle name="Title 3 2 5 2" xfId="21854" xr:uid="{03434C97-5194-4F3A-B7F9-AFC6E62B7E09}"/>
    <cellStyle name="Title 3 2 5 2 2" xfId="40194" xr:uid="{F20F8D7D-6A2C-4A23-92FA-819603BC51FC}"/>
    <cellStyle name="Title 3 2 5 3" xfId="40193" xr:uid="{2ECDB87A-E1D1-4484-B252-D3E84D4D3B80}"/>
    <cellStyle name="Title 3 2 6" xfId="21855" xr:uid="{99E54638-2E72-475B-AD68-B49CE2D15223}"/>
    <cellStyle name="Title 3 2 6 2" xfId="40195" xr:uid="{5F228D4B-BEEE-4EFF-9305-98679F3173DF}"/>
    <cellStyle name="Title 3 2 7" xfId="21856" xr:uid="{703A35A9-2C9F-4FD5-8353-D3E6A5375EE5}"/>
    <cellStyle name="Title 3 2 7 2" xfId="40196" xr:uid="{80971301-52E4-4E22-8487-C56E0AD440EF}"/>
    <cellStyle name="Title 3 3" xfId="21857" xr:uid="{DA969577-E2DE-4F6A-AEAB-263606A68CCC}"/>
    <cellStyle name="Title 3 3 2" xfId="21858" xr:uid="{D64133DD-6B8C-4BB1-9D6C-EC7B49D2C8B6}"/>
    <cellStyle name="Title 3 3 2 2" xfId="40198" xr:uid="{2892B04E-5898-4BDD-96D5-25C5068277C5}"/>
    <cellStyle name="Title 3 3 3" xfId="40197" xr:uid="{5B52507E-EC8D-4460-A38A-8E3EE207E923}"/>
    <cellStyle name="Title 3 4" xfId="21859" xr:uid="{A2F6C054-7200-4603-B4AF-07C1CB9AA5B7}"/>
    <cellStyle name="Title 3 4 2" xfId="21860" xr:uid="{69ABFBD7-CAE3-433A-A571-DCB17984D6D4}"/>
    <cellStyle name="Title 3 4 2 2" xfId="40200" xr:uid="{1622DEB4-92F4-44C8-83AC-9403838A0576}"/>
    <cellStyle name="Title 3 4 3" xfId="40199" xr:uid="{EC4B61B1-0643-4562-99E6-ED3B328FB6C3}"/>
    <cellStyle name="Title 3 5" xfId="21861" xr:uid="{A253153A-ED17-46CF-A038-758E1563852E}"/>
    <cellStyle name="Title 3 5 2" xfId="21862" xr:uid="{6F373F8D-3AEF-4482-94C9-2EDC0BB83BAF}"/>
    <cellStyle name="Title 3 5 2 2" xfId="40202" xr:uid="{2E01735F-495C-4245-AEDD-247AFF8397DB}"/>
    <cellStyle name="Title 3 5 3" xfId="40201" xr:uid="{775C02DD-D3CB-40D2-A58B-461F865AC099}"/>
    <cellStyle name="Title 3 6" xfId="21863" xr:uid="{DE1207DE-FBA6-4A71-BD00-CC58751A11FA}"/>
    <cellStyle name="Title 3 6 2" xfId="21864" xr:uid="{0BCFE861-99A2-42EE-B146-38838B80ACEF}"/>
    <cellStyle name="Title 3 6 2 2" xfId="40204" xr:uid="{8F9DC60D-84CB-48BF-87DE-51842DA02868}"/>
    <cellStyle name="Title 3 6 3" xfId="40203" xr:uid="{CD759747-90BF-42AA-81DD-89340D4D1EA7}"/>
    <cellStyle name="Title 3 7" xfId="21865" xr:uid="{F5CD00AE-AAF0-47BF-BE83-69AA1AC097FD}"/>
    <cellStyle name="Title 3 7 2" xfId="21866" xr:uid="{DA56F7C8-00AD-4FE4-A1CE-15F67A0E7E67}"/>
    <cellStyle name="Title 3 7 2 2" xfId="40206" xr:uid="{C252892E-054C-4CFC-A7BF-ACB0807F9879}"/>
    <cellStyle name="Title 3 7 3" xfId="40205" xr:uid="{AA7B95C2-5203-4B96-9FF1-0CAAEAFB38E3}"/>
    <cellStyle name="Title 3 8" xfId="21867" xr:uid="{107EF134-D15F-4343-8E0A-AC55AC2FC85F}"/>
    <cellStyle name="Title 3 8 2" xfId="40207" xr:uid="{264F930D-18AE-4E9F-98BD-313041DC6903}"/>
    <cellStyle name="Title 3 9" xfId="21868" xr:uid="{78AF7F93-6FB5-4B99-9255-798261C582B8}"/>
    <cellStyle name="Title 3 9 2" xfId="40208" xr:uid="{151575A7-E873-4F0A-B6BC-9D0887D40D1D}"/>
    <cellStyle name="Title 4" xfId="21869" xr:uid="{D44EF310-9CCA-4863-B79E-20CADD72663D}"/>
    <cellStyle name="Title 4 2" xfId="21870" xr:uid="{A7ECC203-072B-4A25-AC99-D1A01AB13BC7}"/>
    <cellStyle name="Title 4 2 2" xfId="21871" xr:uid="{6BCF1AD5-68E3-4890-A0E0-B64C8E9406ED}"/>
    <cellStyle name="Title 4 2 2 2" xfId="40211" xr:uid="{82515D42-9057-45A3-82CB-CF6B07D8A8AC}"/>
    <cellStyle name="Title 4 2 3" xfId="40210" xr:uid="{3D2E129B-A0E6-4250-B07C-74A673F2EB7C}"/>
    <cellStyle name="Title 4 3" xfId="21872" xr:uid="{2569AB79-B4D0-46FC-A612-A8E059A30D38}"/>
    <cellStyle name="Title 4 3 2" xfId="21873" xr:uid="{43B2633E-40B2-4F23-BF49-3C58ABB3DBE3}"/>
    <cellStyle name="Title 4 3 2 2" xfId="40213" xr:uid="{2D4AACEE-0AC1-44B9-9621-C7F9407D08AB}"/>
    <cellStyle name="Title 4 3 3" xfId="40212" xr:uid="{E8D79929-75FE-4E52-8769-725A3CAD83C1}"/>
    <cellStyle name="Title 4 4" xfId="21874" xr:uid="{E035F433-4AB9-4017-889D-9DD5E8BC4475}"/>
    <cellStyle name="Title 4 4 2" xfId="21875" xr:uid="{0AD16C96-276D-4C34-9AEE-A425B672CEB2}"/>
    <cellStyle name="Title 4 4 2 2" xfId="40215" xr:uid="{25031973-B2FD-4247-A3F8-EE1C5A038031}"/>
    <cellStyle name="Title 4 4 3" xfId="40214" xr:uid="{0D51B4EB-5976-40A3-AF25-A48F185F8B70}"/>
    <cellStyle name="Title 4 5" xfId="21876" xr:uid="{C0F17F2C-9FB9-441B-BA0A-8592FEA77D81}"/>
    <cellStyle name="Title 4 5 2" xfId="21877" xr:uid="{2E661D42-B928-49D8-AB07-D68FA2AA05F1}"/>
    <cellStyle name="Title 4 5 2 2" xfId="40217" xr:uid="{D6B4BD94-F7C9-41D7-ACC6-F88FA340FE97}"/>
    <cellStyle name="Title 4 5 3" xfId="40216" xr:uid="{D49AAD29-B473-4ABB-90D9-D793C0DE41D4}"/>
    <cellStyle name="Title 4 6" xfId="21878" xr:uid="{F5A6B509-39BC-4EBD-9D9F-DA9DE163D341}"/>
    <cellStyle name="Title 4 6 2" xfId="40218" xr:uid="{904D1DE1-6394-4855-B642-49C9CFF68BAD}"/>
    <cellStyle name="Title 4 7" xfId="40209" xr:uid="{C025C925-CACA-45D1-9893-16C535EAC296}"/>
    <cellStyle name="Titre" xfId="3932" xr:uid="{4686A0FB-6831-4F03-A94D-2E868518B18F}"/>
    <cellStyle name="Titre 1" xfId="3933" xr:uid="{B41FEA3D-82D4-433D-AD92-2D49158DDEC5}"/>
    <cellStyle name="Titre 1 10" xfId="21900" xr:uid="{1CA6A554-BBC4-417B-BB05-A4E8ABABF010}"/>
    <cellStyle name="Titre 1 10 2" xfId="40243" xr:uid="{F4223D4E-D938-483B-8D86-C15010A4CD86}"/>
    <cellStyle name="Titre 1 11" xfId="21901" xr:uid="{D8933A35-E448-4434-8327-6D52ED45D324}"/>
    <cellStyle name="Titre 1 11 2" xfId="40244" xr:uid="{E453EBD6-F167-4A29-8F9F-08EAABF82686}"/>
    <cellStyle name="Titre 1 2" xfId="4247" xr:uid="{73B5FD9C-71F9-470C-A715-D78813B0EA00}"/>
    <cellStyle name="Titre 1 2 2" xfId="7925" xr:uid="{05B65DFA-B2E8-45E5-AEE6-006CBA0DDAE0}"/>
    <cellStyle name="Titre 1 2 2 2" xfId="21902" xr:uid="{98763E99-CCFE-4A16-967C-FF63C7348E26}"/>
    <cellStyle name="Titre 1 2 2 2 2" xfId="40245" xr:uid="{B8EF4B22-82A8-4DCB-8CAD-2DC0D20E69FD}"/>
    <cellStyle name="Titre 1 2 2 3" xfId="21903" xr:uid="{B7B0FEE6-52FD-46C0-A79F-77EC18322FF1}"/>
    <cellStyle name="Titre 1 2 2 3 2" xfId="40246" xr:uid="{B912782B-C831-4F81-B5BF-9FAFBC9D650B}"/>
    <cellStyle name="Titre 1 2 2 4" xfId="21904" xr:uid="{8744DF66-C3A4-4A5C-991E-43D8E9717C51}"/>
    <cellStyle name="Titre 1 2 2 4 2" xfId="40247" xr:uid="{2C2100CB-F3ED-4C1D-97A8-0FDE4D67C794}"/>
    <cellStyle name="Titre 1 2 3" xfId="21905" xr:uid="{288E5D2E-F5E4-4819-B298-78DC255B678E}"/>
    <cellStyle name="Titre 1 2 3 2" xfId="21906" xr:uid="{FF7D00AC-D5F6-4523-9FE0-B428D7988EDC}"/>
    <cellStyle name="Titre 1 2 3 2 2" xfId="40248" xr:uid="{705B201A-77D9-4EBA-B0EF-2DDB8CEDD24C}"/>
    <cellStyle name="Titre 1 2 3 3" xfId="21907" xr:uid="{90B5B7DB-E4C9-4430-9503-E8C62ED12FBF}"/>
    <cellStyle name="Titre 1 2 3 3 2" xfId="40249" xr:uid="{3CC2CAE4-566A-40F7-9AC6-C8A803490D24}"/>
    <cellStyle name="Titre 1 2 4" xfId="21908" xr:uid="{3B952487-0D48-45A3-BF73-7EFB15DF2B36}"/>
    <cellStyle name="Titre 1 2 4 2" xfId="21909" xr:uid="{66D8C605-D4C2-4CFC-A290-5DE48FA76AEB}"/>
    <cellStyle name="Titre 1 2 4 2 2" xfId="40251" xr:uid="{61D45DAF-3675-4AB8-B74E-2CAAE809DB55}"/>
    <cellStyle name="Titre 1 2 4 3" xfId="40250" xr:uid="{975AA796-9FBC-4ED7-8B39-DDC5B71CA3EE}"/>
    <cellStyle name="Titre 1 2 5" xfId="21910" xr:uid="{1E6A041A-1BDD-4AF9-8709-E1FD20965765}"/>
    <cellStyle name="Titre 1 2 5 2" xfId="21911" xr:uid="{AA5571FB-E6D0-4B63-AC10-86A653F610A9}"/>
    <cellStyle name="Titre 1 2 5 2 2" xfId="40253" xr:uid="{7B0B24BE-C34E-40C2-A5A7-EDF003C6B868}"/>
    <cellStyle name="Titre 1 2 5 3" xfId="40252" xr:uid="{0059E4A6-0460-4AE6-A955-0628C22B7DF4}"/>
    <cellStyle name="Titre 1 2 6" xfId="21912" xr:uid="{0C1B0222-C06D-4799-8AAA-E4F0576FC998}"/>
    <cellStyle name="Titre 1 2 6 2" xfId="40254" xr:uid="{2EF28122-9A37-4E5D-9646-8806293FF933}"/>
    <cellStyle name="Titre 1 2 7" xfId="21913" xr:uid="{1DDCCC6B-4C0C-4265-A216-02D5324773C2}"/>
    <cellStyle name="Titre 1 2 7 2" xfId="40255" xr:uid="{3DD0EBA5-EA91-409F-9CF4-FC06D88EE7E9}"/>
    <cellStyle name="Titre 1 3" xfId="7924" xr:uid="{5B085F19-D40C-4E7B-B37C-AF58326A3DB4}"/>
    <cellStyle name="Titre 1 3 2" xfId="21914" xr:uid="{45E17ADA-FE0A-40B7-9756-B5CBEE4B3920}"/>
    <cellStyle name="Titre 1 3 2 2" xfId="21915" xr:uid="{329FF35A-4C28-4A7D-81A8-6BE1613441A3}"/>
    <cellStyle name="Titre 1 3 2 2 2" xfId="40256" xr:uid="{7CB66548-4413-45ED-9A66-CE1DDD26505E}"/>
    <cellStyle name="Titre 1 3 3" xfId="21916" xr:uid="{0F422DFF-DEF2-4628-BE0E-7D40DFC28176}"/>
    <cellStyle name="Titre 1 3 3 2" xfId="40257" xr:uid="{814C3E2A-4086-4BE9-95BE-AB97D7848A69}"/>
    <cellStyle name="Titre 1 3 4" xfId="21917" xr:uid="{23A264A6-8EF8-4706-A926-E8131E8FBA7C}"/>
    <cellStyle name="Titre 1 3 4 2" xfId="40258" xr:uid="{18A21805-55B5-45AF-8958-46713C8F531B}"/>
    <cellStyle name="Titre 1 4" xfId="21918" xr:uid="{B82FD2C3-DCDE-439E-9EDC-3A491C096B7B}"/>
    <cellStyle name="Titre 1 4 2" xfId="21919" xr:uid="{E0DE7E1C-13B8-4680-BD16-365CC5D8D135}"/>
    <cellStyle name="Titre 1 4 2 2" xfId="40260" xr:uid="{BF9559BD-34B4-40A9-9B8D-1B8E0273140C}"/>
    <cellStyle name="Titre 1 4 3" xfId="40259" xr:uid="{C599EEAF-5CC3-4CB0-AD92-ADC65EEA4F9B}"/>
    <cellStyle name="Titre 1 5" xfId="21920" xr:uid="{ECEBF990-EB81-4A86-BC6A-4379F670412E}"/>
    <cellStyle name="Titre 1 5 2" xfId="21921" xr:uid="{539FE7B1-6B44-49E5-944A-149908C58BE8}"/>
    <cellStyle name="Titre 1 5 2 2" xfId="40262" xr:uid="{FB39AF2A-986A-46F0-9BB5-8A2DF4D6436B}"/>
    <cellStyle name="Titre 1 5 3" xfId="40261" xr:uid="{9E6C9B0D-DE6C-4A58-8943-F8C460CF11E4}"/>
    <cellStyle name="Titre 1 6" xfId="21922" xr:uid="{A848BCC4-F6D8-482B-8188-77B1CD081298}"/>
    <cellStyle name="Titre 1 6 2" xfId="21923" xr:uid="{DBE6D3C8-9311-498D-BB7E-E07D09FF45D4}"/>
    <cellStyle name="Titre 1 6 2 2" xfId="40264" xr:uid="{08017C1B-CD99-4D10-8067-B5EA7C3A1205}"/>
    <cellStyle name="Titre 1 6 3" xfId="40263" xr:uid="{565DFAFE-8726-49AE-8170-45515B2D4897}"/>
    <cellStyle name="Titre 1 7" xfId="21924" xr:uid="{956B8F62-FC1D-47BA-A732-15F89971AAEA}"/>
    <cellStyle name="Titre 1 7 2" xfId="21925" xr:uid="{0A8EA252-FB95-49BA-9345-E2F552BF1772}"/>
    <cellStyle name="Titre 1 7 2 2" xfId="40266" xr:uid="{5B205E38-0D0B-4278-ADCB-19325B3F5B02}"/>
    <cellStyle name="Titre 1 7 3" xfId="40265" xr:uid="{4685E327-83A8-43FA-8830-BE71B12E82B2}"/>
    <cellStyle name="Titre 1 8" xfId="21926" xr:uid="{96C3D9D3-AF70-4751-A28C-7ED4467250F6}"/>
    <cellStyle name="Titre 1 8 2" xfId="21927" xr:uid="{55EC7B3F-D479-449B-BC7A-5DE3A73448C8}"/>
    <cellStyle name="Titre 1 8 2 2" xfId="40268" xr:uid="{F94291FE-DBE9-4414-BC0C-796A053C0695}"/>
    <cellStyle name="Titre 1 8 3" xfId="40267" xr:uid="{9CFAB303-DD31-4CD1-8986-3258618FD286}"/>
    <cellStyle name="Titre 1 9" xfId="21928" xr:uid="{6FA612C8-C104-4E20-B4DB-64340FF1E260}"/>
    <cellStyle name="Titre 1 9 2" xfId="40269" xr:uid="{A65AF2AB-2899-4D31-86E0-3DF847FF7120}"/>
    <cellStyle name="Titre 10" xfId="21879" xr:uid="{DC47A479-EDAE-446B-800C-4545286076E0}"/>
    <cellStyle name="Titre 10 2" xfId="40219" xr:uid="{E1F07F2F-3186-4331-9CEE-3DB7243D3394}"/>
    <cellStyle name="Titre 11" xfId="21880" xr:uid="{4C87052E-581F-4367-877F-7FB419499347}"/>
    <cellStyle name="Titre 11 2" xfId="40220" xr:uid="{DDB07BC7-D394-4A6C-8F03-CB2B2A246C3A}"/>
    <cellStyle name="Titre 2" xfId="3934" xr:uid="{45E3DBA9-F527-443D-9031-70290965B782}"/>
    <cellStyle name="Titre 2 10" xfId="21929" xr:uid="{14BD076A-7CFF-4508-9C89-6369FA1C0824}"/>
    <cellStyle name="Titre 2 10 2" xfId="40270" xr:uid="{A37D2B7F-B4F7-48B3-BA21-4AB05499338F}"/>
    <cellStyle name="Titre 2 11" xfId="21930" xr:uid="{0194654A-2133-4A21-85E9-A1AEA8DBF045}"/>
    <cellStyle name="Titre 2 11 2" xfId="40271" xr:uid="{4643095E-537E-4FFF-A109-AA35C661E6D9}"/>
    <cellStyle name="Titre 2 2" xfId="4248" xr:uid="{9D7A0372-A620-4C5D-A896-97346D4144C8}"/>
    <cellStyle name="Titre 2 2 2" xfId="7927" xr:uid="{11D9E621-B21F-46C6-BA30-C0818A75EBC3}"/>
    <cellStyle name="Titre 2 2 2 2" xfId="40221" xr:uid="{094ABB40-44F7-442B-B38A-6CFB47D9FC71}"/>
    <cellStyle name="Titre 2 2 2 2 2" xfId="40272" xr:uid="{22705F73-7F8B-4665-A0EE-4579DE793131}"/>
    <cellStyle name="Titre 2 2 2 3" xfId="21931" xr:uid="{372F0759-7861-41B3-89C0-243A3B445F1A}"/>
    <cellStyle name="Titre 2 2 2 3 2" xfId="40273" xr:uid="{839CBDF7-4BB8-433A-A3B4-77E7BB2C6B53}"/>
    <cellStyle name="Titre 2 2 2 4" xfId="21932" xr:uid="{D3F83C10-5ECE-48D0-BCE6-79162AB21D64}"/>
    <cellStyle name="Titre 2 2 2 4 2" xfId="40274" xr:uid="{9ADEE433-9036-4F0E-AF17-461917F9BBB0}"/>
    <cellStyle name="Titre 2 2 3" xfId="21933" xr:uid="{D20EB036-BE8A-4B8F-B635-114DE7B89E04}"/>
    <cellStyle name="Titre 2 2 3 2" xfId="40222" xr:uid="{C64B7247-7699-4DF4-8BCB-70E21977FF6C}"/>
    <cellStyle name="Titre 2 2 3 2 2" xfId="40275" xr:uid="{F9E87BBA-B66F-4D60-80EB-02B35CB35F89}"/>
    <cellStyle name="Titre 2 2 3 3" xfId="21934" xr:uid="{6247607D-6430-4F78-BFB1-B89A1189EBA9}"/>
    <cellStyle name="Titre 2 2 3 3 2" xfId="40276" xr:uid="{EBF9FDB1-9A92-41A2-8186-D78828D47F5B}"/>
    <cellStyle name="Titre 2 2 4" xfId="21881" xr:uid="{BD7654A3-ED06-44F4-9351-51A808E47A03}"/>
    <cellStyle name="Titre 2 2 4 2" xfId="40223" xr:uid="{3427F802-9D79-4351-A71F-AF28CF4962A3}"/>
    <cellStyle name="Titre 2 2 4 2 2" xfId="40278" xr:uid="{132DA99A-0E16-4B92-8154-7CE9B567DA62}"/>
    <cellStyle name="Titre 2 2 4 3" xfId="40277" xr:uid="{FBCD0F87-6070-46EB-BC6B-F9FA771D79E8}"/>
    <cellStyle name="Titre 2 2 5" xfId="21935" xr:uid="{38AFDD20-11C1-4592-8028-4854E77D0E13}"/>
    <cellStyle name="Titre 2 2 5 2" xfId="21936" xr:uid="{98371370-9118-4F3A-A25E-D0BA83ECB416}"/>
    <cellStyle name="Titre 2 2 5 2 2" xfId="40280" xr:uid="{1CE24075-298B-42EE-840B-22B6CB733068}"/>
    <cellStyle name="Titre 2 2 5 3" xfId="40279" xr:uid="{F676941C-85B7-4D6D-A950-4F4CA789AE19}"/>
    <cellStyle name="Titre 2 2 6" xfId="21937" xr:uid="{158E4BF2-B71F-4150-A2E8-A87D795EB145}"/>
    <cellStyle name="Titre 2 2 6 2" xfId="40281" xr:uid="{E93EFA2A-2D4F-4C7A-AB48-C83B370110F2}"/>
    <cellStyle name="Titre 2 2 7" xfId="21938" xr:uid="{62B44E6B-FBEC-41C6-B167-19E90FDBE386}"/>
    <cellStyle name="Titre 2 2 7 2" xfId="40282" xr:uid="{9053523E-6003-41D3-9171-00AE94AB8C5F}"/>
    <cellStyle name="Titre 2 3" xfId="7926" xr:uid="{0DFBB950-5977-41AD-B8A2-A04BC720975D}"/>
    <cellStyle name="Titre 2 3 2" xfId="21939" xr:uid="{1141092F-3A0C-430C-A9C8-F0A472F44724}"/>
    <cellStyle name="Titre 2 3 2 2" xfId="40224" xr:uid="{12FC3651-8A1E-45AA-A43C-7D9EDE3C65B5}"/>
    <cellStyle name="Titre 2 3 2 2 2" xfId="40283" xr:uid="{EC63E757-E6D1-4EA0-BC9A-F81685DC6FE5}"/>
    <cellStyle name="Titre 2 3 3" xfId="21882" xr:uid="{CD8B1829-9FFB-43F9-AA25-33ED7D850F13}"/>
    <cellStyle name="Titre 2 3 3 2" xfId="40225" xr:uid="{B24F9952-91B2-4524-BBC4-42F08154D9CC}"/>
    <cellStyle name="Titre 2 3 4" xfId="21940" xr:uid="{65A6AE53-D4BA-4F22-9221-FDDD2849FEB8}"/>
    <cellStyle name="Titre 2 3 4 2" xfId="40284" xr:uid="{8B1E9B28-3FE9-4BD9-8872-94192EA25881}"/>
    <cellStyle name="Titre 2 4" xfId="21883" xr:uid="{68DCEA04-E188-4A40-9EE6-D78D4E6FEE24}"/>
    <cellStyle name="Titre 2 4 2" xfId="21884" xr:uid="{F5469BD0-C5CE-4823-B5AE-D9275896289B}"/>
    <cellStyle name="Titre 2 4 2 2" xfId="40227" xr:uid="{171C6A83-BAE6-4886-B6C8-E2AB452D2E78}"/>
    <cellStyle name="Titre 2 4 3" xfId="40226" xr:uid="{C5FB8B80-4A43-49D0-B928-50944546B522}"/>
    <cellStyle name="Titre 2 5" xfId="21885" xr:uid="{AB4940DD-F3FD-4093-AD01-CCAE222FB86C}"/>
    <cellStyle name="Titre 2 5 2" xfId="21886" xr:uid="{39F8A4BA-293D-4EA3-AB0B-6F5ADE233138}"/>
    <cellStyle name="Titre 2 5 2 2" xfId="40229" xr:uid="{27FC575D-2F96-4BE2-9C00-66FDC4932386}"/>
    <cellStyle name="Titre 2 5 3" xfId="40228" xr:uid="{9A6197BC-E299-4563-B10D-FBA6B91C300B}"/>
    <cellStyle name="Titre 2 6" xfId="21887" xr:uid="{0F48615E-2BEE-456E-96B8-302BB470444C}"/>
    <cellStyle name="Titre 2 6 2" xfId="40230" xr:uid="{AD8EFA6F-F244-4986-BCA1-8B3C568B834A}"/>
    <cellStyle name="Titre 2 6 2 2" xfId="40286" xr:uid="{DE443FCA-29A1-4E2F-BC66-30CCDB9CC485}"/>
    <cellStyle name="Titre 2 6 3" xfId="40285" xr:uid="{2EFBDEE8-F72D-4312-82F2-2BBEA2A7E1B5}"/>
    <cellStyle name="Titre 2 7" xfId="21888" xr:uid="{31F2DBDD-8BF6-4DC6-85F0-5E6FD9693E60}"/>
    <cellStyle name="Titre 2 7 2" xfId="40231" xr:uid="{A61824E0-4D93-4F56-9409-D939865DA3CF}"/>
    <cellStyle name="Titre 2 7 2 2" xfId="40288" xr:uid="{E1D05BB9-A138-4020-88AB-D8364BAA80F5}"/>
    <cellStyle name="Titre 2 7 3" xfId="40287" xr:uid="{618EDD85-C14B-43BA-9DF6-A715835EA2BC}"/>
    <cellStyle name="Titre 2 8" xfId="21941" xr:uid="{18556EC1-2C56-44DC-8873-3031D14580F2}"/>
    <cellStyle name="Titre 2 8 2" xfId="21942" xr:uid="{4EFEF172-F216-4175-8FF8-B3829C59F696}"/>
    <cellStyle name="Titre 2 8 2 2" xfId="40290" xr:uid="{15051BCC-EB34-48DF-82AC-F30D8F10C64C}"/>
    <cellStyle name="Titre 2 8 3" xfId="40289" xr:uid="{37856BF9-CAE3-4F77-866E-A0F768A3F71F}"/>
    <cellStyle name="Titre 2 9" xfId="21943" xr:uid="{2FF4F3A7-0B15-4568-B5FD-007B7D8CED8B}"/>
    <cellStyle name="Titre 2 9 2" xfId="40291" xr:uid="{5E1AE235-261C-413F-9593-449D300321D5}"/>
    <cellStyle name="Titre 3" xfId="3935" xr:uid="{9398BC45-3E9D-42BD-804D-523B17F600E0}"/>
    <cellStyle name="Titre 3 10" xfId="21944" xr:uid="{6C404275-6767-46EA-841A-EC008E955875}"/>
    <cellStyle name="Titre 3 10 2" xfId="40292" xr:uid="{38B68C18-CB0A-48E5-A8C9-5C0B485DF1F6}"/>
    <cellStyle name="Titre 3 11" xfId="21945" xr:uid="{8B43AC4A-9773-4148-940E-779CBB1B84F3}"/>
    <cellStyle name="Titre 3 11 2" xfId="40293" xr:uid="{8A574CEC-32D8-4857-B877-7804DC4D900C}"/>
    <cellStyle name="Titre 3 2" xfId="4249" xr:uid="{F2978A74-4D9A-46FE-828A-E95FB283B8CA}"/>
    <cellStyle name="Titre 3 2 2" xfId="7929" xr:uid="{03B92DAF-DCCA-47D9-8DEA-CAACCEAEA751}"/>
    <cellStyle name="Titre 3 2 2 2" xfId="40232" xr:uid="{59CF7F7C-FD2A-420A-814E-D9AE0ED03FB6}"/>
    <cellStyle name="Titre 3 2 2 2 2" xfId="40294" xr:uid="{9A1F0495-7367-48B6-A800-92D3B25F43FF}"/>
    <cellStyle name="Titre 3 2 2 3" xfId="21946" xr:uid="{5891150C-40FE-4709-A262-9136B85709E3}"/>
    <cellStyle name="Titre 3 2 2 3 2" xfId="40295" xr:uid="{FD8801B5-DEC3-4898-BA76-1DE245D9EF33}"/>
    <cellStyle name="Titre 3 2 2 4" xfId="21947" xr:uid="{64AEF217-B780-4F8E-AD22-8A24F8042EED}"/>
    <cellStyle name="Titre 3 2 2 4 2" xfId="40296" xr:uid="{5DEEC7F2-5592-4C33-B1AE-85E8909BC391}"/>
    <cellStyle name="Titre 3 2 3" xfId="21948" xr:uid="{A0F2024E-0B4E-4C27-A438-7F9963C40BB8}"/>
    <cellStyle name="Titre 3 2 3 2" xfId="21949" xr:uid="{717B687B-24CC-4030-9E68-71A2EDEC1104}"/>
    <cellStyle name="Titre 3 2 3 2 2" xfId="40297" xr:uid="{0808F420-BEEB-4290-AB24-98C3312B89FD}"/>
    <cellStyle name="Titre 3 2 3 3" xfId="21950" xr:uid="{256C7C53-7E83-4C0F-9BCE-A39B8723C42A}"/>
    <cellStyle name="Titre 3 2 3 3 2" xfId="40298" xr:uid="{D39E40BF-C577-496A-A80F-464208A18838}"/>
    <cellStyle name="Titre 3 2 4" xfId="21951" xr:uid="{25D5EA18-AF27-4916-B45D-96CCF91259A7}"/>
    <cellStyle name="Titre 3 2 4 2" xfId="21952" xr:uid="{CADB5D26-D848-4656-8FAA-00A0226D5A51}"/>
    <cellStyle name="Titre 3 2 4 2 2" xfId="40300" xr:uid="{4F9F47D5-5497-46F5-ABC2-16EB37337D62}"/>
    <cellStyle name="Titre 3 2 4 3" xfId="40299" xr:uid="{E33035F3-8083-47C2-B351-5BA8A08738C9}"/>
    <cellStyle name="Titre 3 2 5" xfId="21953" xr:uid="{ED7F41B3-FD7D-4136-8FF1-FF9ABE06ACC4}"/>
    <cellStyle name="Titre 3 2 5 2" xfId="21954" xr:uid="{78776ED0-0135-430E-823A-5E0BF45A36BA}"/>
    <cellStyle name="Titre 3 2 5 2 2" xfId="40302" xr:uid="{8996416E-89D2-41E7-BF66-BB30EC5BB3C6}"/>
    <cellStyle name="Titre 3 2 5 3" xfId="40301" xr:uid="{6796065B-64E9-43CA-AA19-F8B955D33631}"/>
    <cellStyle name="Titre 3 2 6" xfId="21955" xr:uid="{DD293282-E2E3-4ADC-B055-1AD365D0B7F5}"/>
    <cellStyle name="Titre 3 2 6 2" xfId="40303" xr:uid="{A3E4A14D-2177-4A3B-9A8D-062F3AD4095C}"/>
    <cellStyle name="Titre 3 2 7" xfId="21956" xr:uid="{A860ADB9-FEEC-4F2C-9125-027CC1931685}"/>
    <cellStyle name="Titre 3 2 7 2" xfId="40304" xr:uid="{F9CD4B78-FFAC-4D93-8721-CAA4839BCF6D}"/>
    <cellStyle name="Titre 3 3" xfId="7928" xr:uid="{A370451B-B3D5-4596-9817-87A7D41ECE1D}"/>
    <cellStyle name="Titre 3 3 2" xfId="21957" xr:uid="{14A46BE3-524B-4C5B-A192-36033F622A90}"/>
    <cellStyle name="Titre 3 3 2 2" xfId="21958" xr:uid="{2A5B16D1-94E5-44AE-BD78-810974F9B8E1}"/>
    <cellStyle name="Titre 3 3 2 2 2" xfId="40305" xr:uid="{1D6CDA87-26AF-42D9-8DFC-B9277E28138D}"/>
    <cellStyle name="Titre 3 3 3" xfId="21959" xr:uid="{53068075-521C-43C7-82F0-0E124E5F2148}"/>
    <cellStyle name="Titre 3 3 3 2" xfId="40306" xr:uid="{93041834-C889-40C1-9E68-FD80D279C67D}"/>
    <cellStyle name="Titre 3 3 4" xfId="21960" xr:uid="{8FE35C7A-343C-45C9-939E-2A97CFA07EEB}"/>
    <cellStyle name="Titre 3 3 4 2" xfId="40307" xr:uid="{6694EC5E-10E2-449D-B5AF-B96A0A0A1889}"/>
    <cellStyle name="Titre 3 4" xfId="21889" xr:uid="{D1F47828-276C-4433-833E-4388E14CECAB}"/>
    <cellStyle name="Titre 3 4 2" xfId="40233" xr:uid="{08F3B409-F356-4AC2-A888-918E2B4F90A9}"/>
    <cellStyle name="Titre 3 4 2 2" xfId="40309" xr:uid="{BD3AFAAF-DBC4-477E-9A40-7DB6621EA40E}"/>
    <cellStyle name="Titre 3 4 3" xfId="40308" xr:uid="{6330B152-95C7-45EE-AF5D-416614AC5402}"/>
    <cellStyle name="Titre 3 5" xfId="21961" xr:uid="{80A802EA-7FFA-439A-84AD-D3C7D94DA138}"/>
    <cellStyle name="Titre 3 5 2" xfId="21962" xr:uid="{E87DF28E-077D-4F5A-A1B7-D133B424DD11}"/>
    <cellStyle name="Titre 3 5 2 2" xfId="40311" xr:uid="{E01D5323-2851-417F-94C6-D05C14EC9AFE}"/>
    <cellStyle name="Titre 3 5 3" xfId="40310" xr:uid="{755FA351-6A74-4B5F-9A4C-94802AD2C083}"/>
    <cellStyle name="Titre 3 6" xfId="21963" xr:uid="{CD3B8076-22E6-4156-A99A-099B44CD69A4}"/>
    <cellStyle name="Titre 3 6 2" xfId="21964" xr:uid="{A9E2D509-8017-45F1-8E9B-6EA463E7628F}"/>
    <cellStyle name="Titre 3 6 2 2" xfId="40313" xr:uid="{D838C3DC-9669-480F-9A02-87D37C6666D0}"/>
    <cellStyle name="Titre 3 6 3" xfId="40312" xr:uid="{688F524D-E806-4C6B-BD6F-7954157E9F97}"/>
    <cellStyle name="Titre 3 7" xfId="21965" xr:uid="{36EF7829-A35E-40AB-A90B-2E8D0FDFD959}"/>
    <cellStyle name="Titre 3 7 2" xfId="21966" xr:uid="{3958F756-46F1-42BC-8ECB-F26E34730C4C}"/>
    <cellStyle name="Titre 3 7 2 2" xfId="40315" xr:uid="{5F8FC64E-3EA6-47A3-AE95-BCE18863C77C}"/>
    <cellStyle name="Titre 3 7 3" xfId="40314" xr:uid="{3F39991F-0BD7-4A50-A42C-245D32A9DDE4}"/>
    <cellStyle name="Titre 3 8" xfId="21967" xr:uid="{465ED37C-C85E-4A87-8B1D-9B36FBE00AEA}"/>
    <cellStyle name="Titre 3 8 2" xfId="21968" xr:uid="{2B8BFE3B-CCF5-4128-99FD-ACF0B90FB746}"/>
    <cellStyle name="Titre 3 8 2 2" xfId="40317" xr:uid="{CDA2A6A2-EB3B-4922-BB73-2E6BB2A8A858}"/>
    <cellStyle name="Titre 3 8 3" xfId="40316" xr:uid="{12331045-63E1-474F-8571-F0B7E44005A7}"/>
    <cellStyle name="Titre 3 9" xfId="21969" xr:uid="{CE055805-C402-4EAF-85C1-9A69557FDF3A}"/>
    <cellStyle name="Titre 3 9 2" xfId="40318" xr:uid="{C78C2675-53E9-4110-A737-4B1B28EBBC30}"/>
    <cellStyle name="Titre 4" xfId="21890" xr:uid="{BAB942DA-BBCE-41DA-9F67-BAD3523800A8}"/>
    <cellStyle name="Titre 4 10" xfId="21970" xr:uid="{D51C5D52-962E-498D-BF2E-E45DF0B23DF3}"/>
    <cellStyle name="Titre 4 10 2" xfId="40319" xr:uid="{DBCD4300-7DE4-48C1-927C-F8BD45D2DAE9}"/>
    <cellStyle name="Titre 4 11" xfId="21971" xr:uid="{B40036BA-88CB-43A1-B95D-05E63014C41D}"/>
    <cellStyle name="Titre 4 11 2" xfId="40320" xr:uid="{E3FF7E9A-5B78-4CC5-B5DA-494622B81233}"/>
    <cellStyle name="Titre 4 2" xfId="4250" xr:uid="{0896E869-3F3B-411F-B51E-197EA93394AD}"/>
    <cellStyle name="Titre 4 2 2" xfId="7931" xr:uid="{2FDFEC6E-FC06-4DDC-A81A-9A5F60EE5E80}"/>
    <cellStyle name="Titre 4 2 2 2" xfId="21972" xr:uid="{C0560C2C-CCA1-471E-927B-01EBA559A234}"/>
    <cellStyle name="Titre 4 2 2 2 2" xfId="40321" xr:uid="{B6FFB1FE-510E-42C2-A66F-A7EB56C93BA8}"/>
    <cellStyle name="Titre 4 2 2 3" xfId="21973" xr:uid="{A864D753-69FE-4F4F-BF62-E694F43B1B62}"/>
    <cellStyle name="Titre 4 2 2 3 2" xfId="40322" xr:uid="{59269C1B-465F-4C96-8263-D5E88BAEA5F8}"/>
    <cellStyle name="Titre 4 2 2 4" xfId="21974" xr:uid="{48EE0B5E-8E54-47DB-B79A-914C011B36AF}"/>
    <cellStyle name="Titre 4 2 2 4 2" xfId="40323" xr:uid="{E85432A1-DB9F-47FC-81EC-0EAA347AB2BA}"/>
    <cellStyle name="Titre 4 2 3" xfId="21975" xr:uid="{14DECCC9-24D9-41AA-8B26-20F6589790E4}"/>
    <cellStyle name="Titre 4 2 3 2" xfId="21976" xr:uid="{4A119AA2-93C2-475D-B23B-939153697F85}"/>
    <cellStyle name="Titre 4 2 3 2 2" xfId="40324" xr:uid="{B7706748-2437-4353-8C0F-240E346E41AE}"/>
    <cellStyle name="Titre 4 2 3 3" xfId="21977" xr:uid="{F4FF23FD-71FF-49F6-9836-7D5EEBAC71CB}"/>
    <cellStyle name="Titre 4 2 3 3 2" xfId="40325" xr:uid="{C1B6B20C-1260-41A1-8F5E-C3BCEAEF4535}"/>
    <cellStyle name="Titre 4 2 4" xfId="21978" xr:uid="{DE4F90C9-ED27-4631-8ABD-134F4A1F2BCC}"/>
    <cellStyle name="Titre 4 2 4 2" xfId="21979" xr:uid="{78EC61E0-6668-43E3-9FD7-2C5ACB17027D}"/>
    <cellStyle name="Titre 4 2 4 2 2" xfId="40327" xr:uid="{FA0FD980-2F5E-4D3F-AB7E-0686727C40FB}"/>
    <cellStyle name="Titre 4 2 4 3" xfId="40326" xr:uid="{766E4CA7-1FD6-422F-BCC0-852B3B1E847F}"/>
    <cellStyle name="Titre 4 2 5" xfId="21980" xr:uid="{22F7AFF0-8F47-49AF-827D-F06B6387C5FF}"/>
    <cellStyle name="Titre 4 2 5 2" xfId="21981" xr:uid="{1141EAC2-EB51-40D7-B7FA-C40AD872089D}"/>
    <cellStyle name="Titre 4 2 5 2 2" xfId="40329" xr:uid="{7C99FC1D-CA39-430A-9660-E430AFFA7B87}"/>
    <cellStyle name="Titre 4 2 5 3" xfId="40328" xr:uid="{E9F07C17-EC17-4F11-98AD-517F0766E8FB}"/>
    <cellStyle name="Titre 4 2 6" xfId="21982" xr:uid="{FA5C715F-26B6-4207-9F8A-EF58A4EA5C67}"/>
    <cellStyle name="Titre 4 2 6 2" xfId="40330" xr:uid="{13EA49BA-D88E-4EDA-A97D-6E9C589A56C9}"/>
    <cellStyle name="Titre 4 2 7" xfId="21983" xr:uid="{2D60229C-AA35-4B2E-821D-A0E45AF898B7}"/>
    <cellStyle name="Titre 4 2 7 2" xfId="40331" xr:uid="{ABDB751D-DEC8-4906-9E28-2DF7EC715C69}"/>
    <cellStyle name="Titre 4 3" xfId="7930" xr:uid="{D2A9A0F4-80ED-4CE5-8A65-D1AC8B21E307}"/>
    <cellStyle name="Titre 4 3 2" xfId="21984" xr:uid="{F57A3A36-CF75-4983-949F-541971E4B8BE}"/>
    <cellStyle name="Titre 4 3 2 2" xfId="21985" xr:uid="{C1D63038-C6DD-49E1-A762-2CE81809B03F}"/>
    <cellStyle name="Titre 4 3 2 2 2" xfId="40332" xr:uid="{607031CC-00DF-42A9-B613-B1E3E96A76FE}"/>
    <cellStyle name="Titre 4 3 3" xfId="21986" xr:uid="{822555FF-10A9-4173-88FF-DC2C630A06E7}"/>
    <cellStyle name="Titre 4 3 3 2" xfId="40333" xr:uid="{AD8879BF-5BCD-402E-A6FB-5907881B3960}"/>
    <cellStyle name="Titre 4 3 4" xfId="21987" xr:uid="{E760E8B4-E2D2-4D41-8C6D-CECF9643B7B5}"/>
    <cellStyle name="Titre 4 3 4 2" xfId="40334" xr:uid="{1E94A11F-7263-4258-AA78-E9FB0AC235FF}"/>
    <cellStyle name="Titre 4 4" xfId="21988" xr:uid="{479BCC37-8207-48D8-9E29-6190D3A46A16}"/>
    <cellStyle name="Titre 4 4 2" xfId="21989" xr:uid="{FA14E005-B775-4607-AAD0-83BBD913FFC7}"/>
    <cellStyle name="Titre 4 4 2 2" xfId="40336" xr:uid="{B7A074C2-E52D-4A40-93C3-B195CBC627AD}"/>
    <cellStyle name="Titre 4 4 3" xfId="40335" xr:uid="{911C08DC-ADC3-4176-AC11-123000377AA9}"/>
    <cellStyle name="Titre 4 5" xfId="21990" xr:uid="{10CD9AD0-023B-4754-AF50-1537B32BFA4E}"/>
    <cellStyle name="Titre 4 5 2" xfId="21991" xr:uid="{84FE57DC-E313-4810-8A68-FE782BFA7404}"/>
    <cellStyle name="Titre 4 5 2 2" xfId="40338" xr:uid="{2BE37C35-CB58-4293-A6DE-86B77D92817F}"/>
    <cellStyle name="Titre 4 5 3" xfId="40337" xr:uid="{91967092-C9B0-450F-98B6-FECF28B085D0}"/>
    <cellStyle name="Titre 4 6" xfId="21992" xr:uid="{4C65F355-3E99-4CA0-BAAE-8287BCD77A1C}"/>
    <cellStyle name="Titre 4 6 2" xfId="21993" xr:uid="{9F7A7D16-C3EA-47E7-88EE-B5D719DDA376}"/>
    <cellStyle name="Titre 4 6 2 2" xfId="40340" xr:uid="{C454B833-E574-49B1-B343-71AC2A7411A4}"/>
    <cellStyle name="Titre 4 6 3" xfId="40339" xr:uid="{EC229AE4-1E0A-4BF5-98D4-326635E6057F}"/>
    <cellStyle name="Titre 4 7" xfId="21994" xr:uid="{E88446E7-9460-42F6-B372-8CEB5EEDCEA1}"/>
    <cellStyle name="Titre 4 7 2" xfId="21995" xr:uid="{8913FA8B-B422-4C5F-847B-ED500268BD13}"/>
    <cellStyle name="Titre 4 7 2 2" xfId="40342" xr:uid="{0CF6CDDF-265E-4C8A-BD03-BC611C294BB3}"/>
    <cellStyle name="Titre 4 7 3" xfId="40341" xr:uid="{5D4CECA9-6F06-4B90-95AA-C1A2160AE38C}"/>
    <cellStyle name="Titre 4 8" xfId="21996" xr:uid="{FAEE3B3C-D603-495B-8DF6-1AA1E44BD2B8}"/>
    <cellStyle name="Titre 4 8 2" xfId="21997" xr:uid="{1359E375-9724-42BB-B8A2-0FE118EFDC41}"/>
    <cellStyle name="Titre 4 8 2 2" xfId="40344" xr:uid="{2FA5017E-DF8E-4A6A-9E75-4E08F0CF7DD5}"/>
    <cellStyle name="Titre 4 8 3" xfId="40343" xr:uid="{70C78597-B5C1-4050-BECD-C6F4DAF03357}"/>
    <cellStyle name="Titre 4 9" xfId="21998" xr:uid="{79E27635-FEA6-46F1-B03A-0EE32261CBE6}"/>
    <cellStyle name="Titre 4 9 2" xfId="40345" xr:uid="{7671AFBB-9B93-4714-BDEC-A9E361BD9645}"/>
    <cellStyle name="Titre 5" xfId="21891" xr:uid="{2ABAD0C7-DAC1-415D-BA52-20F0F0F3DD87}"/>
    <cellStyle name="Titre 5 2" xfId="21892" xr:uid="{5CE0F646-92A9-44E7-AA80-E7FA588AED7A}"/>
    <cellStyle name="Titre 5 2 2" xfId="40235" xr:uid="{74874E1B-1BE1-441B-B271-A228DEB0D288}"/>
    <cellStyle name="Titre 5 3" xfId="40234" xr:uid="{B5A693FC-0DCE-4CD6-9ED0-F605FA961772}"/>
    <cellStyle name="Titre 6" xfId="21893" xr:uid="{6259F7F0-E0D7-4620-A170-652A997BA96C}"/>
    <cellStyle name="Titre 6 2" xfId="21894" xr:uid="{74447BD1-94E3-41DD-8D51-8114DECBC0BB}"/>
    <cellStyle name="Titre 6 2 2" xfId="40237" xr:uid="{61567CC7-A411-4F25-85FD-5F1725AE115B}"/>
    <cellStyle name="Titre 6 3" xfId="40236" xr:uid="{30F66916-A639-47C7-92D4-7ECB6110CD41}"/>
    <cellStyle name="Titre 7" xfId="21895" xr:uid="{9374CF36-5C4D-41D5-A476-CE5EFE68C556}"/>
    <cellStyle name="Titre 7 2" xfId="21896" xr:uid="{1E7FEE65-336C-45B5-908D-D44E6965C727}"/>
    <cellStyle name="Titre 7 2 2" xfId="40239" xr:uid="{E485AE98-099C-43DA-8AFB-8948889FB7B7}"/>
    <cellStyle name="Titre 7 3" xfId="40238" xr:uid="{743882B4-F4EB-447C-8B65-854159A292F6}"/>
    <cellStyle name="Titre 8" xfId="21897" xr:uid="{EAD4711F-2038-4446-BBB4-9A23302B2021}"/>
    <cellStyle name="Titre 8 2" xfId="21898" xr:uid="{7F4857C5-10F7-4EEB-B39E-5FAD524B6A75}"/>
    <cellStyle name="Titre 8 2 2" xfId="40241" xr:uid="{ACFD3093-F26B-47E2-87AA-6B5A402BB7ED}"/>
    <cellStyle name="Titre 8 3" xfId="40240" xr:uid="{B396E0FB-455D-4EB0-9FCD-485087860CF6}"/>
    <cellStyle name="Titre 9" xfId="21899" xr:uid="{9D285D36-0BB1-43C2-AF06-29B041BE6AB2}"/>
    <cellStyle name="Titre 9 2" xfId="40242" xr:uid="{CBE72656-1FEC-430E-B330-A58D430A08F2}"/>
    <cellStyle name="Total 2" xfId="3936" xr:uid="{30F5B4EC-469E-48C5-AC45-83FB6B94E8FA}"/>
    <cellStyle name="Total 2 10" xfId="21999" xr:uid="{890FEE30-68A8-4422-90B8-CF39A8900223}"/>
    <cellStyle name="Total 2 10 2" xfId="40346" xr:uid="{FC06ED07-C46C-424E-9C69-90F6FBA05D21}"/>
    <cellStyle name="Total 2 11" xfId="22000" xr:uid="{9907A6FF-EDED-4169-8929-D49938F69ECC}"/>
    <cellStyle name="Total 2 11 2" xfId="40347" xr:uid="{C6315264-8439-4AAC-8257-99AC6E941ACA}"/>
    <cellStyle name="Total 2 2" xfId="4251" xr:uid="{4C34AD8A-1EB4-4507-B120-F7C0C9EF87AF}"/>
    <cellStyle name="Total 2 2 2" xfId="7933" xr:uid="{172C15EB-D52F-45E3-B5DA-4D1C2014A48A}"/>
    <cellStyle name="Total 2 2 2 2" xfId="22001" xr:uid="{DF9D25FC-4A35-4696-AB78-D603474CE043}"/>
    <cellStyle name="Total 2 2 2 2 2" xfId="40348" xr:uid="{A28D95FD-3EEA-43C6-9D1D-77342FBD9849}"/>
    <cellStyle name="Total 2 2 2 3" xfId="22002" xr:uid="{9A44B854-4372-4AAB-837E-0954B41901BA}"/>
    <cellStyle name="Total 2 2 2 3 2" xfId="40349" xr:uid="{E010DD65-87A2-4EE2-A0C4-A4E58471747A}"/>
    <cellStyle name="Total 2 2 2 4" xfId="22003" xr:uid="{70C33388-DDBE-4668-BD33-9AE30D1AB044}"/>
    <cellStyle name="Total 2 2 2 4 2" xfId="40350" xr:uid="{93BE4C5C-90FB-432B-A93C-E1B9DF49F39F}"/>
    <cellStyle name="Total 2 2 3" xfId="22004" xr:uid="{DEB0C729-16FD-4A45-888C-F868FC33B499}"/>
    <cellStyle name="Total 2 2 3 2" xfId="22005" xr:uid="{8CD131D1-65E7-44F9-9E67-5E5E7ED97D01}"/>
    <cellStyle name="Total 2 2 3 2 2" xfId="40351" xr:uid="{AA96FBC8-94B1-4086-AE70-885258B6763B}"/>
    <cellStyle name="Total 2 2 3 3" xfId="22006" xr:uid="{F99E4CED-E351-49BD-933E-720EB9D07155}"/>
    <cellStyle name="Total 2 2 3 3 2" xfId="40352" xr:uid="{6B4230E8-B4A2-4310-B251-20DDA176D789}"/>
    <cellStyle name="Total 2 2 4" xfId="22007" xr:uid="{E7ACA6CC-6E0F-4804-9F0F-2FB96290A78A}"/>
    <cellStyle name="Total 2 2 4 2" xfId="22008" xr:uid="{D30768DA-1A05-421D-96A3-8B35FFCF980F}"/>
    <cellStyle name="Total 2 2 4 2 2" xfId="40354" xr:uid="{8773422E-21F1-4B36-AEB7-1C440E1BCA65}"/>
    <cellStyle name="Total 2 2 4 3" xfId="40353" xr:uid="{DCC1AE50-B80C-4FC2-B4B3-3B79FFD1093F}"/>
    <cellStyle name="Total 2 2 5" xfId="22009" xr:uid="{A73E702A-0F09-418E-AD9A-E6611D7F20EB}"/>
    <cellStyle name="Total 2 2 5 2" xfId="22010" xr:uid="{68DB177A-4244-4B79-AB55-B559665F1CBE}"/>
    <cellStyle name="Total 2 2 5 2 2" xfId="40356" xr:uid="{1E612D76-81B6-4C71-AAA6-371942DE78B5}"/>
    <cellStyle name="Total 2 2 5 3" xfId="40355" xr:uid="{D160432E-B348-4D80-B53E-3380A3AB7C5B}"/>
    <cellStyle name="Total 2 2 6" xfId="22011" xr:uid="{107143C8-9E87-46EE-B9AC-C83F5BDAC54B}"/>
    <cellStyle name="Total 2 2 6 2" xfId="40357" xr:uid="{27649E24-B80C-4909-B13E-2D5141F39670}"/>
    <cellStyle name="Total 2 2 7" xfId="22012" xr:uid="{FBBCB3C2-A8FB-425A-A2D3-01542843E9B2}"/>
    <cellStyle name="Total 2 2 7 2" xfId="40358" xr:uid="{271D214D-29D9-496F-96E5-71F079A8AC48}"/>
    <cellStyle name="Total 2 3" xfId="7932" xr:uid="{66C5C322-0A77-4FAF-9FC9-3B9FF1DC62F4}"/>
    <cellStyle name="Total 2 3 2" xfId="22013" xr:uid="{CF43FD26-E1AD-41C9-AE76-C3268696FA86}"/>
    <cellStyle name="Total 2 3 2 2" xfId="22014" xr:uid="{86E54D60-CADD-4790-A2A0-BC6BAAA73013}"/>
    <cellStyle name="Total 2 3 2 2 2" xfId="40359" xr:uid="{8BD01CBF-BF4A-4098-9280-00568448CDF5}"/>
    <cellStyle name="Total 2 3 3" xfId="22015" xr:uid="{1541CC7D-9B2A-44AC-8FAB-C954C2D78FAE}"/>
    <cellStyle name="Total 2 3 3 2" xfId="40360" xr:uid="{5B0B2511-8687-4325-8703-F76F8DAC028A}"/>
    <cellStyle name="Total 2 3 4" xfId="22016" xr:uid="{79A05D8C-1999-4112-BDAC-0C3F8B2F8203}"/>
    <cellStyle name="Total 2 3 4 2" xfId="40361" xr:uid="{F3A241B0-7152-4BF4-ACC8-33DAB9A3A26D}"/>
    <cellStyle name="Total 2 4" xfId="22017" xr:uid="{8721DFD8-D633-4C37-9C45-28EE3B3E66E0}"/>
    <cellStyle name="Total 2 4 2" xfId="22018" xr:uid="{BFA376BC-F352-4FC0-88A9-333F159E78C2}"/>
    <cellStyle name="Total 2 4 2 2" xfId="40363" xr:uid="{92CD5329-020B-4711-9C15-8EDB5B5335C4}"/>
    <cellStyle name="Total 2 4 3" xfId="40362" xr:uid="{2222B7FF-3E7A-4426-A066-036D72F3332E}"/>
    <cellStyle name="Total 2 5" xfId="22019" xr:uid="{95CB9628-114C-4E42-B73D-048738E9A00C}"/>
    <cellStyle name="Total 2 5 2" xfId="22020" xr:uid="{2B678CA0-65DC-4375-8735-934978E6256A}"/>
    <cellStyle name="Total 2 5 2 2" xfId="40365" xr:uid="{D9EE9614-3AC1-47D8-84F2-0BE86A854E4B}"/>
    <cellStyle name="Total 2 5 3" xfId="40364" xr:uid="{4686C474-78D6-4AD5-AA77-938C5A832B2C}"/>
    <cellStyle name="Total 2 6" xfId="22021" xr:uid="{09ED41BA-228C-4C85-A66C-9BA1DCA50FFC}"/>
    <cellStyle name="Total 2 6 2" xfId="22022" xr:uid="{C993C36D-6062-4967-AD89-78EA30D0A999}"/>
    <cellStyle name="Total 2 6 2 2" xfId="40367" xr:uid="{B68A73FD-291B-4D6B-820F-DF0AB5793025}"/>
    <cellStyle name="Total 2 6 3" xfId="40366" xr:uid="{06DA7DA4-3A61-4D38-A644-3897691F2BBC}"/>
    <cellStyle name="Total 2 7" xfId="22023" xr:uid="{52B52669-F720-44F1-83CB-1BDFF78D816E}"/>
    <cellStyle name="Total 2 7 2" xfId="22024" xr:uid="{6C311EAC-3892-41EC-9C01-68CDDD185423}"/>
    <cellStyle name="Total 2 7 2 2" xfId="40369" xr:uid="{9BE59AEE-0CED-43EA-877E-84F6DB797ADC}"/>
    <cellStyle name="Total 2 7 3" xfId="40368" xr:uid="{39C6AECC-567E-4D0A-914A-8CD0886F92ED}"/>
    <cellStyle name="Total 2 8" xfId="22025" xr:uid="{A495FC30-7130-4F17-AAD5-855B544E86D1}"/>
    <cellStyle name="Total 2 8 2" xfId="22026" xr:uid="{7A9C0C59-1CC1-4BCA-83E5-4BFF158117FA}"/>
    <cellStyle name="Total 2 8 2 2" xfId="40371" xr:uid="{AE1B402B-E88E-48FC-80D1-BB646F1F8E8C}"/>
    <cellStyle name="Total 2 8 3" xfId="40370" xr:uid="{BEA68517-3BD6-41E8-801F-E97D3579D340}"/>
    <cellStyle name="Total 2 9" xfId="22027" xr:uid="{D9AE3183-3A98-4F9F-9C89-FB2582EC132C}"/>
    <cellStyle name="Total 2 9 2" xfId="40372" xr:uid="{6143261A-F191-4AE6-9CE7-C884C175BF9C}"/>
    <cellStyle name="Total 3" xfId="3937" xr:uid="{66628367-9279-46CE-8DCD-CD812C584869}"/>
    <cellStyle name="Total 3 2" xfId="22028" xr:uid="{587EA31E-EAF7-410A-8392-79F407F6485A}"/>
    <cellStyle name="Total 3 2 2" xfId="22029" xr:uid="{FFB7A74E-3D7E-49A5-A557-782F5227AC51}"/>
    <cellStyle name="Total 3 2 2 2" xfId="22030" xr:uid="{B0D8810F-708F-48FE-A8E3-660B927AFB6F}"/>
    <cellStyle name="Total 3 2 2 2 2" xfId="40374" xr:uid="{3264AAF6-BD11-4C35-89F6-F168A36156D3}"/>
    <cellStyle name="Total 3 2 2 3" xfId="40373" xr:uid="{441AA1F3-D968-461A-9BE5-D43E549C17A3}"/>
    <cellStyle name="Total 3 2 3" xfId="22031" xr:uid="{CCEB964E-0C3F-43EF-ABCA-E832D001FF6A}"/>
    <cellStyle name="Total 3 2 3 2" xfId="22032" xr:uid="{5C257629-912C-48E3-BBBC-0CB73F6991DA}"/>
    <cellStyle name="Total 3 2 3 2 2" xfId="40376" xr:uid="{915C7D38-9BAD-40CB-8338-1A54C52C06BF}"/>
    <cellStyle name="Total 3 2 3 3" xfId="40375" xr:uid="{7178BFA7-DE69-4E28-B652-F3631421EF63}"/>
    <cellStyle name="Total 3 2 4" xfId="22033" xr:uid="{CD945F9C-1054-4440-AD25-0AD58E72D4C3}"/>
    <cellStyle name="Total 3 2 4 2" xfId="22034" xr:uid="{FA57B77A-D0C8-4D9F-8270-7E03E8FFBB7F}"/>
    <cellStyle name="Total 3 2 4 2 2" xfId="40378" xr:uid="{5564123A-8F41-42C6-87BF-3878C868DE04}"/>
    <cellStyle name="Total 3 2 4 3" xfId="40377" xr:uid="{AD2D635F-E92F-42F9-AEDD-6F20A12BF7F4}"/>
    <cellStyle name="Total 3 2 5" xfId="22035" xr:uid="{1B8F3A8C-446D-4671-847B-02165C528C26}"/>
    <cellStyle name="Total 3 2 5 2" xfId="22036" xr:uid="{6F535216-D160-4C00-B825-44510299F6F0}"/>
    <cellStyle name="Total 3 2 5 2 2" xfId="40380" xr:uid="{5A67AB7D-76B9-4265-ABD4-DD205C5E253D}"/>
    <cellStyle name="Total 3 2 5 3" xfId="40379" xr:uid="{FDCB5FF8-D7FC-4B3B-ABC9-F5C8EC9A1B37}"/>
    <cellStyle name="Total 3 2 6" xfId="22037" xr:uid="{3C3EA1D9-A948-4D77-A202-5192DE5A10C6}"/>
    <cellStyle name="Total 3 2 6 2" xfId="40381" xr:uid="{0D66AC9B-23E3-4D36-A043-6A625BD2769A}"/>
    <cellStyle name="Total 3 2 7" xfId="22038" xr:uid="{E0021E48-60F6-4CD0-B5B6-57AB3429CBDD}"/>
    <cellStyle name="Total 3 2 7 2" xfId="40382" xr:uid="{AA0BBBFB-BDCD-436E-AEFC-551D4CAF9DEC}"/>
    <cellStyle name="Total 3 3" xfId="22039" xr:uid="{3755C4CA-4B86-4DC0-8E64-E10FB7AC33E7}"/>
    <cellStyle name="Total 3 3 2" xfId="22040" xr:uid="{A359A891-8311-4D2A-B590-56E2A86FBE39}"/>
    <cellStyle name="Total 3 3 2 2" xfId="40384" xr:uid="{A28E4580-406E-4BFD-B030-5C3076B78099}"/>
    <cellStyle name="Total 3 3 3" xfId="40383" xr:uid="{65DC64BE-8451-418C-91C7-053AA31EF18B}"/>
    <cellStyle name="Total 3 4" xfId="22041" xr:uid="{F873647C-8B5D-4BD4-9512-69526D830165}"/>
    <cellStyle name="Total 3 4 2" xfId="22042" xr:uid="{14AE1D06-6211-4B24-8D26-7E1B45056A2D}"/>
    <cellStyle name="Total 3 4 2 2" xfId="40386" xr:uid="{8D22DB3C-1E0B-4360-8070-ABFC8D6DB61D}"/>
    <cellStyle name="Total 3 4 3" xfId="40385" xr:uid="{292B74CF-A117-4201-B5DC-564E2FB7D999}"/>
    <cellStyle name="Total 3 5" xfId="22043" xr:uid="{2BEDF5ED-635F-4363-8F51-EEF0D4929F64}"/>
    <cellStyle name="Total 3 5 2" xfId="22044" xr:uid="{40A5CD13-6322-4A62-996A-D7D7DAA9ACEC}"/>
    <cellStyle name="Total 3 5 2 2" xfId="40388" xr:uid="{8C3AADD3-CC5A-4666-A3A9-419B573B9CA1}"/>
    <cellStyle name="Total 3 5 3" xfId="40387" xr:uid="{FCC88068-0011-4B2E-B2C2-14EC829D70CF}"/>
    <cellStyle name="Total 3 6" xfId="22045" xr:uid="{27BC367F-433D-465B-BF15-18434F2CD8BA}"/>
    <cellStyle name="Total 3 6 2" xfId="22046" xr:uid="{9CED4F84-B0A9-40EF-9732-5923A672DEBE}"/>
    <cellStyle name="Total 3 6 2 2" xfId="40390" xr:uid="{E0CEFED7-1144-4516-AB61-670A4F5BCD1D}"/>
    <cellStyle name="Total 3 6 3" xfId="40389" xr:uid="{C4CCC318-251C-4FAE-8109-0D79A0473DF5}"/>
    <cellStyle name="Total 3 7" xfId="22047" xr:uid="{DCCB0E2A-88FD-44DC-AB09-9A75C30CDDB7}"/>
    <cellStyle name="Total 3 7 2" xfId="22048" xr:uid="{B81EDCB0-EA10-4CDA-BB8D-23E97F5250C8}"/>
    <cellStyle name="Total 3 7 2 2" xfId="40392" xr:uid="{148CA881-CCCB-48C5-9460-73A33256ECEB}"/>
    <cellStyle name="Total 3 7 3" xfId="40391" xr:uid="{A886F240-DF8B-4A2D-8156-7A97F8466C0D}"/>
    <cellStyle name="Total 3 8" xfId="22049" xr:uid="{695CA62B-8B30-40A4-BF88-2CC699C326C1}"/>
    <cellStyle name="Total 3 8 2" xfId="40393" xr:uid="{295E3AB4-1F01-4C3F-85D7-C43763CD6381}"/>
    <cellStyle name="Total 3 9" xfId="22050" xr:uid="{4301D1B6-1A2F-4758-AFBE-98E8E77B4355}"/>
    <cellStyle name="Total 3 9 2" xfId="40394" xr:uid="{B7761EDE-F4AC-421E-A0C4-7BF08A8FE0F6}"/>
    <cellStyle name="Total 4" xfId="22051" xr:uid="{93E13D74-08E7-4F62-BAAA-3D470D7C44B7}"/>
    <cellStyle name="Total 4 2" xfId="22052" xr:uid="{18D9D59A-39F2-4F11-B2B2-3F8A944A3F73}"/>
    <cellStyle name="Total 4 2 2" xfId="22053" xr:uid="{34CBED35-75CB-4040-9A81-156AB366CA8A}"/>
    <cellStyle name="Total 4 2 2 2" xfId="40397" xr:uid="{0C11B853-E412-492C-8984-E30888B3D0BD}"/>
    <cellStyle name="Total 4 2 3" xfId="40396" xr:uid="{2D72DDB7-3F79-4142-A7A7-D7DBE30E7F59}"/>
    <cellStyle name="Total 4 3" xfId="22054" xr:uid="{1CBAD474-BD4E-4EC8-AEA4-05FFD5BD573B}"/>
    <cellStyle name="Total 4 3 2" xfId="22055" xr:uid="{D0528E76-520E-40C8-B874-F52BA4780128}"/>
    <cellStyle name="Total 4 3 2 2" xfId="40399" xr:uid="{98BC5053-4382-4719-A827-CC75F0E3FFC3}"/>
    <cellStyle name="Total 4 3 3" xfId="40398" xr:uid="{8FA6E1BA-F510-429D-9307-400AFAEF1C4D}"/>
    <cellStyle name="Total 4 4" xfId="22056" xr:uid="{DC7F3858-949B-4F0D-B4BE-3D279EC9BD9C}"/>
    <cellStyle name="Total 4 4 2" xfId="22057" xr:uid="{95CBFDAA-DCD1-4D8F-8560-AE891FC00E89}"/>
    <cellStyle name="Total 4 4 2 2" xfId="40401" xr:uid="{69CD3FC5-E75C-4955-A2BF-EAD714F678A6}"/>
    <cellStyle name="Total 4 4 3" xfId="40400" xr:uid="{4D202A96-E3C8-488F-8300-1DD0A41727ED}"/>
    <cellStyle name="Total 4 5" xfId="22058" xr:uid="{3EE4A9D4-1D66-4B1E-B040-42265CE21B44}"/>
    <cellStyle name="Total 4 5 2" xfId="22059" xr:uid="{D3F186E4-95BA-4B9F-8E13-49D1EC845205}"/>
    <cellStyle name="Total 4 5 2 2" xfId="40403" xr:uid="{B967E425-7CD3-4665-9E53-8265D89DFDC0}"/>
    <cellStyle name="Total 4 5 3" xfId="40402" xr:uid="{2E65A77B-DAD3-4998-B571-D3FC95E4B5D3}"/>
    <cellStyle name="Total 4 6" xfId="22060" xr:uid="{391584A8-6003-4C58-861D-6016017FA606}"/>
    <cellStyle name="Total 4 6 2" xfId="40404" xr:uid="{9A410708-81DA-4139-AA4E-B4B7C406189A}"/>
    <cellStyle name="Total 4 7" xfId="40395" xr:uid="{6E6ADD5B-AA78-4E19-813F-FC09E7D1043A}"/>
    <cellStyle name="Überschrift" xfId="3938" xr:uid="{6988D28E-2F07-42F4-87DF-6BE87097676F}"/>
    <cellStyle name="Überschrift 1" xfId="3939" xr:uid="{408EF07A-524C-4771-BE08-2BEDDF7CB012}"/>
    <cellStyle name="Überschrift 1 10" xfId="22061" xr:uid="{2A259B66-6A7A-4526-A373-B7748CA741CD}"/>
    <cellStyle name="Überschrift 1 10 2" xfId="40405" xr:uid="{1426796D-2058-44D7-A855-E6B6989704AB}"/>
    <cellStyle name="Überschrift 1 11" xfId="22062" xr:uid="{1092EC02-DCEE-4620-944F-E0343C4F94F0}"/>
    <cellStyle name="Überschrift 1 11 2" xfId="40406" xr:uid="{9D407EC4-BCC8-4639-B8E7-41E10010D820}"/>
    <cellStyle name="Überschrift 1 2" xfId="4253" xr:uid="{A685C7C7-A533-4503-9649-A775D62444A8}"/>
    <cellStyle name="Überschrift 1 2 2" xfId="7936" xr:uid="{6D46B408-7198-4402-AD92-DADF58A93177}"/>
    <cellStyle name="Überschrift 1 2 2 2" xfId="22063" xr:uid="{EC665E55-6574-4CF8-B6C4-D3AF8D21D0D0}"/>
    <cellStyle name="Überschrift 1 2 2 2 2" xfId="40407" xr:uid="{63123AD3-2487-427B-9CFF-2B1FD5CB6A55}"/>
    <cellStyle name="Überschrift 1 2 2 3" xfId="22064" xr:uid="{EA18812D-4FF4-4FC5-A851-E029063F1B53}"/>
    <cellStyle name="Überschrift 1 2 2 3 2" xfId="40408" xr:uid="{30BB385F-55C2-4F6B-A612-A077ACE434CE}"/>
    <cellStyle name="Überschrift 1 2 2 4" xfId="22065" xr:uid="{9D3C18CA-8D75-4791-B279-11851EC05AB4}"/>
    <cellStyle name="Überschrift 1 2 2 4 2" xfId="40409" xr:uid="{AA238B95-364E-40B5-98F0-F9B3B2D88725}"/>
    <cellStyle name="Überschrift 1 2 3" xfId="22066" xr:uid="{4BF369C0-7D50-4593-AE37-FF6D1A8E065F}"/>
    <cellStyle name="Überschrift 1 2 3 2" xfId="22067" xr:uid="{10EFC624-B72E-402B-B7BA-7559977DDDC8}"/>
    <cellStyle name="Überschrift 1 2 3 2 2" xfId="40410" xr:uid="{E532B876-B64C-4C1B-94EF-C37836A1E738}"/>
    <cellStyle name="Überschrift 1 2 3 3" xfId="22068" xr:uid="{7D8AA4B4-B9B0-4114-BA60-984E5C165937}"/>
    <cellStyle name="Überschrift 1 2 3 3 2" xfId="40411" xr:uid="{FB7D1CA4-E605-4484-8267-DD4D6B930111}"/>
    <cellStyle name="Überschrift 1 2 4" xfId="22069" xr:uid="{0CAFB9CA-D0DC-4EC2-BAE0-8190BF080B29}"/>
    <cellStyle name="Überschrift 1 2 4 2" xfId="22070" xr:uid="{5BC64CB2-FE81-48CF-B731-310A187D3AE7}"/>
    <cellStyle name="Überschrift 1 2 4 2 2" xfId="40413" xr:uid="{7E2CBAAC-AAAA-4DC4-BE4E-4D645FED34B6}"/>
    <cellStyle name="Überschrift 1 2 4 3" xfId="40412" xr:uid="{E9DC4DFA-21D5-4523-9494-55061BE10147}"/>
    <cellStyle name="Überschrift 1 2 5" xfId="22071" xr:uid="{7595F2F6-A409-4F6A-8B96-DAA8129D0E18}"/>
    <cellStyle name="Überschrift 1 2 5 2" xfId="22072" xr:uid="{52DE8955-3B34-4FF4-A440-906A60C02926}"/>
    <cellStyle name="Überschrift 1 2 5 2 2" xfId="40415" xr:uid="{53A368A6-41DD-4B8B-B15F-4039DD5CADDC}"/>
    <cellStyle name="Überschrift 1 2 5 3" xfId="40414" xr:uid="{71C49296-6763-4B75-BB14-FEA3CA1A2644}"/>
    <cellStyle name="Überschrift 1 2 6" xfId="22073" xr:uid="{04375882-4E8B-482D-A114-7BB9090FE1BC}"/>
    <cellStyle name="Überschrift 1 2 6 2" xfId="40416" xr:uid="{B06913A9-29AD-4B2F-9873-AEC260795721}"/>
    <cellStyle name="Überschrift 1 2 7" xfId="22074" xr:uid="{96093D78-CCA8-4784-B62B-3C645CC6F6F0}"/>
    <cellStyle name="Überschrift 1 2 7 2" xfId="40417" xr:uid="{085EC0DB-D5EB-46E5-B8BE-1AEC17436371}"/>
    <cellStyle name="Überschrift 1 3" xfId="7935" xr:uid="{AEC7B901-978A-401F-A8FE-EE5782566AEC}"/>
    <cellStyle name="Überschrift 1 3 2" xfId="22075" xr:uid="{2F395057-351B-4EE8-BE66-99B32D65C003}"/>
    <cellStyle name="Überschrift 1 3 2 2" xfId="22076" xr:uid="{BD00171B-3FD2-4EA1-9332-91B17B955176}"/>
    <cellStyle name="Überschrift 1 3 2 2 2" xfId="40418" xr:uid="{7C6EB4D0-8584-4B8B-A95B-848827E57FAA}"/>
    <cellStyle name="Überschrift 1 3 3" xfId="22077" xr:uid="{02843FC5-AB7F-4D94-9AB7-73CD0E4280AE}"/>
    <cellStyle name="Überschrift 1 3 3 2" xfId="40419" xr:uid="{96944597-BD8E-4EAE-91DB-AAC867D42310}"/>
    <cellStyle name="Überschrift 1 3 4" xfId="22078" xr:uid="{B4FB7426-39A1-423D-9BB5-707EA253903D}"/>
    <cellStyle name="Überschrift 1 3 4 2" xfId="40420" xr:uid="{3F64AB0D-52E1-44D6-9E46-F1F44D59A614}"/>
    <cellStyle name="Überschrift 1 4" xfId="22079" xr:uid="{A5AF459E-CB03-44E8-BDC7-B4AF5DF81AE3}"/>
    <cellStyle name="Überschrift 1 4 2" xfId="22080" xr:uid="{A63C13F4-E603-458C-9DD2-59F693FFFAF4}"/>
    <cellStyle name="Überschrift 1 4 2 2" xfId="40422" xr:uid="{FAB52390-B7CE-4B0C-94AB-F6D632C05EFE}"/>
    <cellStyle name="Überschrift 1 4 3" xfId="40421" xr:uid="{21433334-973C-452F-9490-A19F2D72322F}"/>
    <cellStyle name="Überschrift 1 5" xfId="22081" xr:uid="{590E878E-6C72-4D95-9A8C-0B9C7FC65E19}"/>
    <cellStyle name="Überschrift 1 5 2" xfId="22082" xr:uid="{14681442-7D60-4072-BB56-7520E89233A7}"/>
    <cellStyle name="Überschrift 1 5 2 2" xfId="40424" xr:uid="{8CBAF6D8-836E-4468-B613-E257C7D48A0B}"/>
    <cellStyle name="Überschrift 1 5 3" xfId="40423" xr:uid="{118DBA73-CBDF-4107-9583-4A5B8E3E9D3B}"/>
    <cellStyle name="Überschrift 1 6" xfId="22083" xr:uid="{DB6FDF99-59EB-4499-9A86-E727AD6F3C19}"/>
    <cellStyle name="Überschrift 1 6 2" xfId="22084" xr:uid="{0DAFBF39-4DBF-4C07-9269-E6AAAAD1C9D7}"/>
    <cellStyle name="Überschrift 1 6 2 2" xfId="40426" xr:uid="{00B3CC36-B207-43D5-A773-ECFFF93E883D}"/>
    <cellStyle name="Überschrift 1 6 3" xfId="40425" xr:uid="{ECEF3DB4-392C-44B3-AC95-6CD621406165}"/>
    <cellStyle name="Überschrift 1 7" xfId="22085" xr:uid="{C6380111-C0F9-430C-9574-AB0E8252DB3A}"/>
    <cellStyle name="Überschrift 1 7 2" xfId="22086" xr:uid="{54C3ED47-8A77-4A62-9F33-959120822CCD}"/>
    <cellStyle name="Überschrift 1 7 2 2" xfId="40428" xr:uid="{E41B7E7D-77C8-4FF1-A542-9F2EE0A85E7B}"/>
    <cellStyle name="Überschrift 1 7 3" xfId="40427" xr:uid="{EE8781BB-B2EF-4C10-8D00-E5052D71A4FA}"/>
    <cellStyle name="Überschrift 1 8" xfId="22087" xr:uid="{98F3CC3E-A825-4451-8E7F-F8765949CF64}"/>
    <cellStyle name="Überschrift 1 8 2" xfId="22088" xr:uid="{F5E4AB8E-EB4F-4869-B078-9ACE29B09768}"/>
    <cellStyle name="Überschrift 1 8 2 2" xfId="40430" xr:uid="{BF913BB6-0588-4B17-91ED-0833EEDF01AD}"/>
    <cellStyle name="Überschrift 1 8 3" xfId="40429" xr:uid="{66D1C823-9FFC-48C7-98F7-3604D87A2CE2}"/>
    <cellStyle name="Überschrift 1 9" xfId="22089" xr:uid="{06AA0CF6-A772-4EC3-A3A4-0488D139157B}"/>
    <cellStyle name="Überschrift 1 9 2" xfId="40431" xr:uid="{24771072-E286-47A2-93BC-BB49B1D8D1D5}"/>
    <cellStyle name="Überschrift 10" xfId="22090" xr:uid="{A1D821AD-9563-48FB-95B7-9E90D8661E2D}"/>
    <cellStyle name="Überschrift 10 2" xfId="22091" xr:uid="{C75AA710-0E3A-4836-B42E-9B9E65628445}"/>
    <cellStyle name="Überschrift 10 2 2" xfId="40433" xr:uid="{AF3DF8AE-05C5-42C2-8EC2-D6BF75A6932F}"/>
    <cellStyle name="Überschrift 10 3" xfId="40432" xr:uid="{B3F73A66-0055-424B-9F4A-F352A3042413}"/>
    <cellStyle name="Überschrift 11" xfId="22092" xr:uid="{613E8011-9DF3-4CE5-9BF0-7548BF8211AC}"/>
    <cellStyle name="Überschrift 11 2" xfId="22093" xr:uid="{04FE8348-3DE0-44EE-A618-8683C9A703D5}"/>
    <cellStyle name="Überschrift 11 2 2" xfId="40435" xr:uid="{F28B7C81-6769-42C6-9332-6E1AC1B35FCA}"/>
    <cellStyle name="Überschrift 11 3" xfId="40434" xr:uid="{486A5262-FA93-49E1-B682-7AA9F39CD566}"/>
    <cellStyle name="Überschrift 12" xfId="22094" xr:uid="{A2849F05-F6F2-4D22-8DF8-DD4A2B657574}"/>
    <cellStyle name="Überschrift 12 2" xfId="40436" xr:uid="{DF3CB1DD-4282-4C03-BF56-9D3C0868B796}"/>
    <cellStyle name="Überschrift 13" xfId="22095" xr:uid="{AAF9C6D7-1F56-48F7-B957-81B02FFA8EAE}"/>
    <cellStyle name="Überschrift 13 2" xfId="40437" xr:uid="{D183DBB9-E873-4115-B167-F6A9D2A8ECB1}"/>
    <cellStyle name="Überschrift 14" xfId="22096" xr:uid="{991EFBBC-C93C-429A-B747-83EF513875FD}"/>
    <cellStyle name="Überschrift 14 2" xfId="40438" xr:uid="{63BEE902-CCCF-4B34-A7EA-25ABA346B7A5}"/>
    <cellStyle name="Überschrift 2" xfId="3940" xr:uid="{E98F6C4C-96CC-4BB2-A847-1F18D38C525B}"/>
    <cellStyle name="Überschrift 2 10" xfId="22097" xr:uid="{5E594D98-45FD-4B06-86EA-C077CC4CE48B}"/>
    <cellStyle name="Überschrift 2 10 2" xfId="40439" xr:uid="{2920BFDE-85B0-449B-A2E0-655C49E316E7}"/>
    <cellStyle name="Überschrift 2 11" xfId="22098" xr:uid="{D122839D-B486-45E9-ACDE-A5D2D2A90DEF}"/>
    <cellStyle name="Überschrift 2 11 2" xfId="40440" xr:uid="{4CC96622-8D5F-457A-A52B-3E4B3FB80A74}"/>
    <cellStyle name="Überschrift 2 2" xfId="4254" xr:uid="{F6E3639D-05F1-4C38-A724-E64EFA7874F6}"/>
    <cellStyle name="Überschrift 2 2 2" xfId="7938" xr:uid="{D2EC42EB-021B-4D68-B5E0-35F7A9383138}"/>
    <cellStyle name="Überschrift 2 2 2 2" xfId="22099" xr:uid="{6C6AC323-6AD2-4808-BFE4-AEEBD3A5F1A4}"/>
    <cellStyle name="Überschrift 2 2 2 2 2" xfId="40441" xr:uid="{5C256E3C-350B-4606-AAF1-716A6329ECA5}"/>
    <cellStyle name="Überschrift 2 2 2 3" xfId="22100" xr:uid="{4EBA0D03-5113-40FB-BADF-BA91455D648D}"/>
    <cellStyle name="Überschrift 2 2 2 3 2" xfId="40442" xr:uid="{D128131B-1D31-4D32-90D1-B63C90D20029}"/>
    <cellStyle name="Überschrift 2 2 2 4" xfId="22101" xr:uid="{5B308F7C-1718-49E7-B119-AD084D193A1A}"/>
    <cellStyle name="Überschrift 2 2 2 4 2" xfId="40443" xr:uid="{4305A63D-8041-4783-8188-F0ED84F933FD}"/>
    <cellStyle name="Überschrift 2 2 3" xfId="22102" xr:uid="{2616E295-F546-43C8-B04C-D76867E2D235}"/>
    <cellStyle name="Überschrift 2 2 3 2" xfId="22103" xr:uid="{8C304524-BAE9-4DBE-A332-DEA8C8535C07}"/>
    <cellStyle name="Überschrift 2 2 3 2 2" xfId="40444" xr:uid="{A2D0704C-5FB9-4D32-A80F-F7E8F778F073}"/>
    <cellStyle name="Überschrift 2 2 3 3" xfId="22104" xr:uid="{767E9F2A-D996-4B14-A143-DEB073470444}"/>
    <cellStyle name="Überschrift 2 2 3 3 2" xfId="40445" xr:uid="{893F7BC7-FFBA-4A04-A463-F8D8B85DDE3B}"/>
    <cellStyle name="Überschrift 2 2 4" xfId="22105" xr:uid="{78213682-854C-4F68-AC7F-15BEAD126E16}"/>
    <cellStyle name="Überschrift 2 2 4 2" xfId="22106" xr:uid="{B64A969A-65F8-4E06-866B-E63AE50664D2}"/>
    <cellStyle name="Überschrift 2 2 4 2 2" xfId="40447" xr:uid="{6CA41FD5-3E45-4697-A5B2-B122E687AF32}"/>
    <cellStyle name="Überschrift 2 2 4 3" xfId="40446" xr:uid="{DEABEE9B-B6AB-4774-912D-1CE813A1EE88}"/>
    <cellStyle name="Überschrift 2 2 5" xfId="22107" xr:uid="{151B4908-E6C2-410F-BE1D-E6BCBA36713F}"/>
    <cellStyle name="Überschrift 2 2 5 2" xfId="22108" xr:uid="{A768B2CE-5008-4BF7-89A7-BDE8C931E74F}"/>
    <cellStyle name="Überschrift 2 2 5 2 2" xfId="40449" xr:uid="{AE3C53D3-3566-4B10-8760-5AB6054CF0FC}"/>
    <cellStyle name="Überschrift 2 2 5 3" xfId="40448" xr:uid="{0E42DF7B-6186-4307-A9CA-BEF11C60A2E4}"/>
    <cellStyle name="Überschrift 2 2 6" xfId="22109" xr:uid="{31BE8CBF-A63A-429B-8145-C6FF0054C35E}"/>
    <cellStyle name="Überschrift 2 2 6 2" xfId="40450" xr:uid="{ED406819-733C-4DAE-BD4C-29C6C5C34AD6}"/>
    <cellStyle name="Überschrift 2 2 7" xfId="22110" xr:uid="{B1C61210-919A-4CBE-9329-EC73F7BB775E}"/>
    <cellStyle name="Überschrift 2 2 7 2" xfId="40451" xr:uid="{D4BCB12C-7864-4A6E-A062-542F80544A92}"/>
    <cellStyle name="Überschrift 2 3" xfId="7937" xr:uid="{12D86918-C8DB-405F-AC7B-856D56E1916A}"/>
    <cellStyle name="Überschrift 2 3 2" xfId="22111" xr:uid="{1B8B8E90-2EF6-418F-906A-C284BF06BF80}"/>
    <cellStyle name="Überschrift 2 3 2 2" xfId="22112" xr:uid="{F1743F53-314C-4CAA-9B3E-D206387D30B1}"/>
    <cellStyle name="Überschrift 2 3 2 2 2" xfId="40452" xr:uid="{51C20BE7-5696-458C-8A3A-C417EB4CFE8E}"/>
    <cellStyle name="Überschrift 2 3 3" xfId="22113" xr:uid="{52712E7A-2EF9-4676-A9AC-E45C1D9B0961}"/>
    <cellStyle name="Überschrift 2 3 3 2" xfId="40453" xr:uid="{FEA64A10-BC95-4FF2-A8DC-AC1C3B2D9D1B}"/>
    <cellStyle name="Überschrift 2 3 4" xfId="22114" xr:uid="{EF1780A6-D93F-43A4-A0F1-4D62519286E3}"/>
    <cellStyle name="Überschrift 2 3 4 2" xfId="40454" xr:uid="{D9AE8406-1E7C-4F3A-BFEC-571D6009F33D}"/>
    <cellStyle name="Überschrift 2 4" xfId="22115" xr:uid="{191EA279-8547-40F5-83FC-821B6D8FE13C}"/>
    <cellStyle name="Überschrift 2 4 2" xfId="22116" xr:uid="{F147EFB5-C494-4180-AB38-92E2176672AB}"/>
    <cellStyle name="Überschrift 2 4 2 2" xfId="40456" xr:uid="{BC6E30A9-BA05-4228-8968-2581EC9FD704}"/>
    <cellStyle name="Überschrift 2 4 3" xfId="40455" xr:uid="{55DC6EC8-B4FE-428D-850D-AD7C488DA706}"/>
    <cellStyle name="Überschrift 2 5" xfId="22117" xr:uid="{2410F060-9799-4D89-8CAC-2A8C27BCE095}"/>
    <cellStyle name="Überschrift 2 5 2" xfId="22118" xr:uid="{3B4BCC2A-8D2F-48C6-BB89-F0114D082B68}"/>
    <cellStyle name="Überschrift 2 5 2 2" xfId="40458" xr:uid="{EDAB874C-FB86-4B85-BCD2-C2CB0BDF06D3}"/>
    <cellStyle name="Überschrift 2 5 3" xfId="40457" xr:uid="{DD205D63-3F4A-4446-A3C7-A3D99397D8D5}"/>
    <cellStyle name="Überschrift 2 6" xfId="22119" xr:uid="{3400B08F-3462-4AB4-B20F-F8E36DBB6859}"/>
    <cellStyle name="Überschrift 2 6 2" xfId="22120" xr:uid="{53AEB17D-8B49-4B2C-9F19-2CE7DCA387A9}"/>
    <cellStyle name="Überschrift 2 6 2 2" xfId="40460" xr:uid="{74230126-CB92-4274-AEC5-D13F8D13E936}"/>
    <cellStyle name="Überschrift 2 6 3" xfId="40459" xr:uid="{6ACE646F-5849-4AE6-A962-2C1F81F0A59D}"/>
    <cellStyle name="Überschrift 2 7" xfId="22121" xr:uid="{BF67FEE1-2625-422A-AF96-B569CFA84F39}"/>
    <cellStyle name="Überschrift 2 7 2" xfId="22122" xr:uid="{CAEF61EB-31DD-4839-B54A-40817D6FBF47}"/>
    <cellStyle name="Überschrift 2 7 2 2" xfId="40462" xr:uid="{59DE7534-1B25-4EF9-9DBB-145DECCC4097}"/>
    <cellStyle name="Überschrift 2 7 3" xfId="40461" xr:uid="{9F5E9286-58F3-4D1F-A745-177F09C75A6C}"/>
    <cellStyle name="Überschrift 2 8" xfId="22123" xr:uid="{CA7F46A4-3EEB-472C-A980-09C3EDB70091}"/>
    <cellStyle name="Überschrift 2 8 2" xfId="22124" xr:uid="{07DC1AD2-EBDF-4020-A2C8-1D83EED8C65A}"/>
    <cellStyle name="Überschrift 2 8 2 2" xfId="40464" xr:uid="{8B8E8246-61A1-47C6-BF2A-C07172E0F1A2}"/>
    <cellStyle name="Überschrift 2 8 3" xfId="40463" xr:uid="{7B99573C-16DD-44CC-A419-F72B4D766DE2}"/>
    <cellStyle name="Überschrift 2 9" xfId="22125" xr:uid="{BCDA8531-1C76-45FF-B78C-D2F4FCA816FF}"/>
    <cellStyle name="Überschrift 2 9 2" xfId="40465" xr:uid="{4B00A2B3-44F4-4CFC-99F6-E6B6EADAC75F}"/>
    <cellStyle name="Überschrift 3" xfId="3941" xr:uid="{273A5D29-708A-46FD-9E80-707E1AE67139}"/>
    <cellStyle name="Überschrift 3 10" xfId="22126" xr:uid="{EF95B25F-FC70-4F2A-8934-3FC42297FDB1}"/>
    <cellStyle name="Überschrift 3 10 2" xfId="40466" xr:uid="{2E99B0C7-2BA3-4A87-8C48-10933D40F954}"/>
    <cellStyle name="Überschrift 3 11" xfId="22127" xr:uid="{354A7A85-7BBF-4DB3-8683-A58745F0B338}"/>
    <cellStyle name="Überschrift 3 11 2" xfId="40467" xr:uid="{2282A772-CF1C-4815-9B9A-1013B4633969}"/>
    <cellStyle name="Überschrift 3 2" xfId="4255" xr:uid="{E4FB7F9B-6254-45E1-A943-6079A8C314AF}"/>
    <cellStyle name="Überschrift 3 2 2" xfId="7940" xr:uid="{C45717DF-E73F-419B-BB0A-8CC82246709C}"/>
    <cellStyle name="Überschrift 3 2 2 2" xfId="22128" xr:uid="{FE93A4D7-4E36-41E9-AC05-78EFB61386E5}"/>
    <cellStyle name="Überschrift 3 2 2 2 2" xfId="40468" xr:uid="{68F7E5ED-E1DE-4AD7-932C-D40052BC07DF}"/>
    <cellStyle name="Überschrift 3 2 2 3" xfId="22129" xr:uid="{3085A894-67FA-4D0F-B7C1-6EEC576B49AE}"/>
    <cellStyle name="Überschrift 3 2 2 3 2" xfId="40469" xr:uid="{34DBD7D4-A7A2-441F-9B16-E0457A632533}"/>
    <cellStyle name="Überschrift 3 2 2 4" xfId="22130" xr:uid="{754004AD-729A-4612-A204-A6EEF50BE83C}"/>
    <cellStyle name="Überschrift 3 2 2 4 2" xfId="40470" xr:uid="{0ADCBA7E-3916-4509-A547-515E51EAD700}"/>
    <cellStyle name="Überschrift 3 2 3" xfId="22131" xr:uid="{6676B712-4B0E-4B2B-880D-DE6A93736C84}"/>
    <cellStyle name="Überschrift 3 2 3 2" xfId="22132" xr:uid="{3F328ABA-258E-44BC-B150-E6F6DBEE2E69}"/>
    <cellStyle name="Überschrift 3 2 3 2 2" xfId="40471" xr:uid="{B1E57C08-A281-455E-9104-E09519BBC65B}"/>
    <cellStyle name="Überschrift 3 2 3 3" xfId="22133" xr:uid="{41BEFE68-242C-4848-93AC-0A6ADE08777E}"/>
    <cellStyle name="Überschrift 3 2 3 3 2" xfId="40472" xr:uid="{4819F9CA-1ECB-4A02-99E6-37DC9B3006D7}"/>
    <cellStyle name="Überschrift 3 2 4" xfId="22134" xr:uid="{7AFEFAC2-CA0E-4F62-AF91-D42D0E453AB5}"/>
    <cellStyle name="Überschrift 3 2 4 2" xfId="22135" xr:uid="{37A1E769-BB33-44DB-BC2C-7B14F690EB2A}"/>
    <cellStyle name="Überschrift 3 2 4 2 2" xfId="40474" xr:uid="{6FBD5541-CADF-4995-8CBF-C8FBA5EE6A62}"/>
    <cellStyle name="Überschrift 3 2 4 3" xfId="40473" xr:uid="{4A23F2E7-63F1-4A98-BEEA-7FDC196B50C8}"/>
    <cellStyle name="Überschrift 3 2 5" xfId="22136" xr:uid="{64DC66BF-8BB7-4681-ADB0-9CCED717BD64}"/>
    <cellStyle name="Überschrift 3 2 5 2" xfId="22137" xr:uid="{6FA596AF-3034-4F5B-8021-4F4FD4455178}"/>
    <cellStyle name="Überschrift 3 2 5 2 2" xfId="40476" xr:uid="{EFA4D51A-E815-46E8-B236-D3336C123BC6}"/>
    <cellStyle name="Überschrift 3 2 5 3" xfId="40475" xr:uid="{9590A470-BB1D-4A95-A5EE-0A38EF4E9F0D}"/>
    <cellStyle name="Überschrift 3 2 6" xfId="22138" xr:uid="{B885009D-82C4-4FA0-9130-ED1BABCB23D2}"/>
    <cellStyle name="Überschrift 3 2 6 2" xfId="40477" xr:uid="{F26712AB-610B-46B6-BB85-2A0B6A53DEEC}"/>
    <cellStyle name="Überschrift 3 2 7" xfId="22139" xr:uid="{10A20EF3-AB6B-41E1-8F9C-F94A8824EC7C}"/>
    <cellStyle name="Überschrift 3 2 7 2" xfId="40478" xr:uid="{83192A20-E9DB-4CCE-8EE4-D90A83A6649E}"/>
    <cellStyle name="Überschrift 3 3" xfId="7939" xr:uid="{2CE98CFB-AAB3-4526-9598-2F4FA2BB7B44}"/>
    <cellStyle name="Überschrift 3 3 2" xfId="22140" xr:uid="{A30311BD-B674-4287-815F-C8DD15378B7C}"/>
    <cellStyle name="Überschrift 3 3 2 2" xfId="22141" xr:uid="{4070F70B-345C-4682-BAD7-A44071059BA5}"/>
    <cellStyle name="Überschrift 3 3 2 2 2" xfId="40479" xr:uid="{A34F6147-6FED-46F7-8C9D-D974BE0AD8C2}"/>
    <cellStyle name="Überschrift 3 3 3" xfId="22142" xr:uid="{8B052DA5-D16D-4EC8-84F8-BFE646E4C739}"/>
    <cellStyle name="Überschrift 3 3 3 2" xfId="40480" xr:uid="{70287583-1FA5-40B7-9A50-E46412C1B831}"/>
    <cellStyle name="Überschrift 3 3 4" xfId="22143" xr:uid="{7C4C395A-4135-4D83-8FB0-30630F98BF2F}"/>
    <cellStyle name="Überschrift 3 3 4 2" xfId="40481" xr:uid="{669E343D-BBED-402D-B016-429A05187628}"/>
    <cellStyle name="Überschrift 3 4" xfId="22144" xr:uid="{A9F69A6D-0599-40CD-8891-6BE0C662BFBB}"/>
    <cellStyle name="Überschrift 3 4 2" xfId="22145" xr:uid="{519F48E5-BD36-4FE1-8B5C-D6E2368E14FC}"/>
    <cellStyle name="Überschrift 3 4 2 2" xfId="40483" xr:uid="{A84772C0-704A-42C7-9DE2-E045990D28B2}"/>
    <cellStyle name="Überschrift 3 4 3" xfId="40482" xr:uid="{33AB4232-9573-4678-9503-1B73BBCC01AD}"/>
    <cellStyle name="Überschrift 3 5" xfId="22146" xr:uid="{7B2D09FA-6EAD-4779-A5E3-50045BD84813}"/>
    <cellStyle name="Überschrift 3 5 2" xfId="22147" xr:uid="{67782603-C6CA-4678-A64F-30E0BF148585}"/>
    <cellStyle name="Überschrift 3 5 2 2" xfId="40485" xr:uid="{CF9E5603-3007-49FB-BA35-3E3AAEC7EA05}"/>
    <cellStyle name="Überschrift 3 5 3" xfId="40484" xr:uid="{273E1F9C-1361-4A1F-B6A2-BF6813A49374}"/>
    <cellStyle name="Überschrift 3 6" xfId="22148" xr:uid="{5A57EF07-E11F-4102-A4D8-BF76C07A4069}"/>
    <cellStyle name="Überschrift 3 6 2" xfId="22149" xr:uid="{CA17C3CF-47D1-4290-9D00-01D2F1D56616}"/>
    <cellStyle name="Überschrift 3 6 2 2" xfId="40487" xr:uid="{A167FDC0-AC7D-4389-B50D-9CA6B1B218AA}"/>
    <cellStyle name="Überschrift 3 6 3" xfId="40486" xr:uid="{4D4FA38D-0A07-46D8-866D-A97C5872AD45}"/>
    <cellStyle name="Überschrift 3 7" xfId="22150" xr:uid="{C35CA2D1-3CCC-4C4E-860B-70C63DEFEF80}"/>
    <cellStyle name="Überschrift 3 7 2" xfId="22151" xr:uid="{CBB770E1-4758-4A2C-B757-1E330B3CFB97}"/>
    <cellStyle name="Überschrift 3 7 2 2" xfId="40489" xr:uid="{C4E26943-225C-408A-8AD6-9AED627DE676}"/>
    <cellStyle name="Überschrift 3 7 3" xfId="40488" xr:uid="{34635516-196F-46F5-97BB-4D69F071D3E4}"/>
    <cellStyle name="Überschrift 3 8" xfId="22152" xr:uid="{25EEC394-3958-4812-8C60-47BE31F5A7DE}"/>
    <cellStyle name="Überschrift 3 8 2" xfId="22153" xr:uid="{34D65301-74EE-4A37-8CC1-3E4B6D04D05F}"/>
    <cellStyle name="Überschrift 3 8 2 2" xfId="40491" xr:uid="{9D7E2F16-24A4-432C-8478-E7C2532C4E2B}"/>
    <cellStyle name="Überschrift 3 8 3" xfId="40490" xr:uid="{A89D140A-D852-4EF9-8E7A-E8CB573A9561}"/>
    <cellStyle name="Überschrift 3 9" xfId="22154" xr:uid="{B3FF73C5-7ED8-41D1-AB9A-4DFFD41043A1}"/>
    <cellStyle name="Überschrift 3 9 2" xfId="40492" xr:uid="{5071DCB1-655C-4EDE-BEC3-A93F37FA0D58}"/>
    <cellStyle name="Überschrift 4" xfId="3942" xr:uid="{2C8B788A-BD8E-4956-BAFC-D46E8A6B3E3E}"/>
    <cellStyle name="Überschrift 4 10" xfId="22155" xr:uid="{DA70D4D9-ECDB-4AE7-9927-E36F2FE1EDE5}"/>
    <cellStyle name="Überschrift 4 10 2" xfId="40493" xr:uid="{AC04959B-FA3D-4121-95EF-1BC3C2BFCBDF}"/>
    <cellStyle name="Überschrift 4 11" xfId="22156" xr:uid="{6F7B2F34-817B-47A7-BA5C-FDD979DFAE1A}"/>
    <cellStyle name="Überschrift 4 11 2" xfId="40494" xr:uid="{7253A4D0-D9ED-4EDF-8697-37AFBF7916D1}"/>
    <cellStyle name="Überschrift 4 2" xfId="4256" xr:uid="{E8FCA2F1-79AD-4F7E-BF45-C44FF35E90D7}"/>
    <cellStyle name="Überschrift 4 2 2" xfId="7942" xr:uid="{7C33D839-DEC4-4134-A942-6D343DF55022}"/>
    <cellStyle name="Überschrift 4 2 2 2" xfId="22157" xr:uid="{0249BD80-5A79-4F24-A9B4-421B0D6E48B0}"/>
    <cellStyle name="Überschrift 4 2 2 2 2" xfId="40495" xr:uid="{ED588C2D-1EC5-4816-8F7F-2172717D0EA3}"/>
    <cellStyle name="Überschrift 4 2 2 3" xfId="22158" xr:uid="{FA7F8EF9-4390-4535-919E-07FA0FEC0A1D}"/>
    <cellStyle name="Überschrift 4 2 2 3 2" xfId="40496" xr:uid="{376E9D0D-8E39-46C0-8DD9-7826C2F95D60}"/>
    <cellStyle name="Überschrift 4 2 2 4" xfId="22159" xr:uid="{9BF61A98-8760-48DF-8434-B3F00DD0488D}"/>
    <cellStyle name="Überschrift 4 2 2 4 2" xfId="40497" xr:uid="{F1C0207B-F0B3-4B6C-979E-C99409E23262}"/>
    <cellStyle name="Überschrift 4 2 3" xfId="22160" xr:uid="{7FDA617F-F7A3-44D7-A3C7-FF7F47E64320}"/>
    <cellStyle name="Überschrift 4 2 3 2" xfId="22161" xr:uid="{5DA2B046-F375-49D1-B999-95EE1653EACF}"/>
    <cellStyle name="Überschrift 4 2 3 2 2" xfId="40498" xr:uid="{CB77F162-20AD-490E-A819-71A81C2F6162}"/>
    <cellStyle name="Überschrift 4 2 3 3" xfId="22162" xr:uid="{910F096C-5977-4A44-8237-3695368EBD1D}"/>
    <cellStyle name="Überschrift 4 2 3 3 2" xfId="40499" xr:uid="{24CAB858-029D-4FF5-94EF-13521A672CEF}"/>
    <cellStyle name="Überschrift 4 2 4" xfId="22163" xr:uid="{645ADAAC-10F8-4149-AB41-33466AAF4C61}"/>
    <cellStyle name="Überschrift 4 2 4 2" xfId="22164" xr:uid="{DC91DFB7-91A9-4DB7-8100-C5954C6B6F0B}"/>
    <cellStyle name="Überschrift 4 2 4 2 2" xfId="40501" xr:uid="{2DE3B4F9-776E-4930-9D0C-5D047D39407F}"/>
    <cellStyle name="Überschrift 4 2 4 3" xfId="40500" xr:uid="{6EB9C4B5-E0AB-4F65-9D5B-C5013C1097D9}"/>
    <cellStyle name="Überschrift 4 2 5" xfId="22165" xr:uid="{E0F471DE-FB21-4513-AA4B-9B83166AE4C8}"/>
    <cellStyle name="Überschrift 4 2 5 2" xfId="22166" xr:uid="{E43A50FA-FD44-4D19-9B8A-968D0D49AAE7}"/>
    <cellStyle name="Überschrift 4 2 5 2 2" xfId="40503" xr:uid="{076659AF-FBD5-4543-955C-5724D0880871}"/>
    <cellStyle name="Überschrift 4 2 5 3" xfId="40502" xr:uid="{F36387D4-3808-4FAA-A181-7E3ED6156C31}"/>
    <cellStyle name="Überschrift 4 2 6" xfId="22167" xr:uid="{1F4481E2-E086-4E2E-A97D-A62AC97F617A}"/>
    <cellStyle name="Überschrift 4 2 6 2" xfId="40504" xr:uid="{250B5417-E59E-49C3-AA6E-280BAE3932CB}"/>
    <cellStyle name="Überschrift 4 2 7" xfId="22168" xr:uid="{274C1DF8-3D28-4852-9058-77FF42722D91}"/>
    <cellStyle name="Überschrift 4 2 7 2" xfId="40505" xr:uid="{CA2B37D8-6A2E-4FEC-8376-AC3A46DFA323}"/>
    <cellStyle name="Überschrift 4 3" xfId="7941" xr:uid="{9C06ED29-44B3-47CA-9416-D67D56829CA8}"/>
    <cellStyle name="Überschrift 4 3 2" xfId="22169" xr:uid="{488D2EE9-0B8F-416A-9253-DB34B9A8E522}"/>
    <cellStyle name="Überschrift 4 3 2 2" xfId="22170" xr:uid="{330FD8B7-E4D3-48E7-82AB-EEE0031674BC}"/>
    <cellStyle name="Überschrift 4 3 2 2 2" xfId="40506" xr:uid="{FF487BE2-CCEA-497B-A8AE-CA02BCD3B0D8}"/>
    <cellStyle name="Überschrift 4 3 3" xfId="22171" xr:uid="{2BA385B1-C5DA-4F2A-AE09-23B848CB3207}"/>
    <cellStyle name="Überschrift 4 3 3 2" xfId="40507" xr:uid="{7E1D1EFF-EC43-4AD9-AC05-023933209EE7}"/>
    <cellStyle name="Überschrift 4 3 4" xfId="22172" xr:uid="{2FC3BC2C-BA41-4762-9936-52607C4D2FA9}"/>
    <cellStyle name="Überschrift 4 3 4 2" xfId="40508" xr:uid="{828BBC44-4A79-42CD-999C-520FC8D7DFB3}"/>
    <cellStyle name="Überschrift 4 4" xfId="22173" xr:uid="{D957341D-8785-4C72-9035-4F6A5D116BFA}"/>
    <cellStyle name="Überschrift 4 4 2" xfId="22174" xr:uid="{1DB4B433-B785-4ECF-BEC3-FEFA5787CEF7}"/>
    <cellStyle name="Überschrift 4 4 2 2" xfId="40510" xr:uid="{A4165DCA-6EB5-4399-A4C5-EBBD6544E1A1}"/>
    <cellStyle name="Überschrift 4 4 3" xfId="40509" xr:uid="{BD8A1CEE-FA61-4CAB-9F22-72930B794A07}"/>
    <cellStyle name="Überschrift 4 5" xfId="22175" xr:uid="{C80C6230-BE87-4F24-B5E5-271CE5BA4324}"/>
    <cellStyle name="Überschrift 4 5 2" xfId="22176" xr:uid="{D99AA061-4428-4F93-977F-CD5DBBCCD084}"/>
    <cellStyle name="Überschrift 4 5 2 2" xfId="40512" xr:uid="{8B3A8EB6-E460-4BC3-9715-E7C18115A751}"/>
    <cellStyle name="Überschrift 4 5 3" xfId="40511" xr:uid="{7861ABEB-4A9E-4486-B1FC-2A8AE5B05E60}"/>
    <cellStyle name="Überschrift 4 6" xfId="22177" xr:uid="{DAC1EA54-4891-4A67-93B2-504A8E047814}"/>
    <cellStyle name="Überschrift 4 6 2" xfId="22178" xr:uid="{71A1246F-DD75-49DE-9A35-450233E2E174}"/>
    <cellStyle name="Überschrift 4 6 2 2" xfId="40514" xr:uid="{3A01BB19-E003-454C-9716-C04F9DFBF1C8}"/>
    <cellStyle name="Überschrift 4 6 3" xfId="40513" xr:uid="{8536EC2F-2398-4144-A0E6-F35756884028}"/>
    <cellStyle name="Überschrift 4 7" xfId="22179" xr:uid="{A969FB63-5242-406B-8BF4-1B82B93DACDC}"/>
    <cellStyle name="Überschrift 4 7 2" xfId="22180" xr:uid="{5D51C848-B7E4-46D3-9413-47E7F52ED81C}"/>
    <cellStyle name="Überschrift 4 7 2 2" xfId="40516" xr:uid="{A47B7429-0B20-4A7C-8B67-FA188FCA27B7}"/>
    <cellStyle name="Überschrift 4 7 3" xfId="40515" xr:uid="{716F6B05-49C9-473D-B395-73456F7E99BF}"/>
    <cellStyle name="Überschrift 4 8" xfId="22181" xr:uid="{9ECB4342-4640-4E6D-A988-8AB0D10948D9}"/>
    <cellStyle name="Überschrift 4 8 2" xfId="22182" xr:uid="{693F3B59-02EF-4B8C-84A8-C48EC7E99DFA}"/>
    <cellStyle name="Überschrift 4 8 2 2" xfId="40518" xr:uid="{9F5610A1-392A-4B35-9845-0D5E277A8F46}"/>
    <cellStyle name="Überschrift 4 8 3" xfId="40517" xr:uid="{D50D792B-22AF-4FE6-B375-AE5D584DF29E}"/>
    <cellStyle name="Überschrift 4 9" xfId="22183" xr:uid="{6B261DAD-2C02-4BC4-A95F-31461D81E00D}"/>
    <cellStyle name="Überschrift 4 9 2" xfId="40519" xr:uid="{AC436560-DE7B-47AD-B174-1BC30DD9705C}"/>
    <cellStyle name="Überschrift 5" xfId="4252" xr:uid="{1C2FE623-516D-4BF8-8BDB-BF8F6DEBB03F}"/>
    <cellStyle name="Überschrift 5 2" xfId="7943" xr:uid="{32BDA621-B25F-43D2-ADCA-0AE4506461E6}"/>
    <cellStyle name="Überschrift 5 2 2" xfId="22184" xr:uid="{FEC39821-EDA6-4B62-BF18-F42B8AC347D1}"/>
    <cellStyle name="Überschrift 5 2 2 2" xfId="40520" xr:uid="{93FA473B-5098-4FDC-AE67-56272F26B3E1}"/>
    <cellStyle name="Überschrift 5 2 3" xfId="22185" xr:uid="{C33BA04E-243B-4B03-BF4E-B4AA519B7052}"/>
    <cellStyle name="Überschrift 5 2 3 2" xfId="40521" xr:uid="{FDD19F11-8A7D-400F-8D85-349D116633E9}"/>
    <cellStyle name="Überschrift 5 2 4" xfId="22186" xr:uid="{D1697609-5D23-4AA1-8A54-959DCE7FFF2D}"/>
    <cellStyle name="Überschrift 5 2 4 2" xfId="40522" xr:uid="{103F1EAF-8A87-4893-B36C-AD872D30AAE0}"/>
    <cellStyle name="Überschrift 5 3" xfId="22187" xr:uid="{445D050F-04CA-4202-8CAC-3FEF120CB7C7}"/>
    <cellStyle name="Überschrift 5 3 2" xfId="22188" xr:uid="{F98044AE-6D21-4464-A159-96CA1A48F75F}"/>
    <cellStyle name="Überschrift 5 3 2 2" xfId="40523" xr:uid="{5171012F-C11E-4311-ABDB-90BC554D9835}"/>
    <cellStyle name="Überschrift 5 3 3" xfId="22189" xr:uid="{BA4E3781-7CED-4D05-A797-67DC6B1FFFEC}"/>
    <cellStyle name="Überschrift 5 3 3 2" xfId="40524" xr:uid="{0DFE771C-D90B-4491-84AB-28314F6FCA58}"/>
    <cellStyle name="Überschrift 5 4" xfId="22190" xr:uid="{A17828C3-ADBA-4EAE-9272-8719ECB465D3}"/>
    <cellStyle name="Überschrift 5 4 2" xfId="22191" xr:uid="{96A740CE-11B5-4145-8C2F-5FDBFFCF050A}"/>
    <cellStyle name="Überschrift 5 4 2 2" xfId="40526" xr:uid="{3674D0F8-E544-4A28-9D48-9B272C1EE64B}"/>
    <cellStyle name="Überschrift 5 4 3" xfId="40525" xr:uid="{F51B061E-3D28-44C6-BFC9-D4EBF23B9820}"/>
    <cellStyle name="Überschrift 5 5" xfId="22192" xr:uid="{104ECCDF-CD42-4CD9-AF06-4F0333624BBA}"/>
    <cellStyle name="Überschrift 5 5 2" xfId="22193" xr:uid="{FFC509BE-56DE-4E78-93F5-C996EDCB11F2}"/>
    <cellStyle name="Überschrift 5 5 2 2" xfId="40528" xr:uid="{A51C7D5A-4A08-4B22-B6DB-F4AAE8681001}"/>
    <cellStyle name="Überschrift 5 5 3" xfId="40527" xr:uid="{FB722F5D-20FA-4884-937D-E13F2EB1065E}"/>
    <cellStyle name="Überschrift 5 6" xfId="22194" xr:uid="{9E60D0A9-1410-4192-9BD8-F9F21F7CAEDE}"/>
    <cellStyle name="Überschrift 5 6 2" xfId="40529" xr:uid="{E4C60E3B-F69E-4BE4-A6F0-EC55B768B130}"/>
    <cellStyle name="Überschrift 5 7" xfId="22195" xr:uid="{ABC9F33E-8315-4FFA-90ED-07EC6DA41EDF}"/>
    <cellStyle name="Überschrift 5 7 2" xfId="40530" xr:uid="{178A7501-C940-410A-92BF-8ACDE7A574D1}"/>
    <cellStyle name="Überschrift 6" xfId="7934" xr:uid="{532386FA-A180-4190-9C35-A55F5A983A09}"/>
    <cellStyle name="Überschrift 6 2" xfId="22196" xr:uid="{3D3B614D-7B66-4ACC-8E57-07DA1AB483B6}"/>
    <cellStyle name="Überschrift 6 2 2" xfId="22197" xr:uid="{EBFE7664-58DC-45F9-A18C-B89D4A7C9E99}"/>
    <cellStyle name="Überschrift 6 2 2 2" xfId="40531" xr:uid="{A1EA4760-226C-401E-B8FE-2D0624C2DC7B}"/>
    <cellStyle name="Überschrift 6 3" xfId="22198" xr:uid="{C1505EA1-0B63-47CB-AAEA-24072A1A7198}"/>
    <cellStyle name="Überschrift 6 3 2" xfId="40532" xr:uid="{9ACA7EBF-5753-4DA1-ADBC-67C72F9E6B44}"/>
    <cellStyle name="Überschrift 6 4" xfId="22199" xr:uid="{E2A61E9C-7A4E-49D8-B0EE-4DC452B22AC5}"/>
    <cellStyle name="Überschrift 6 4 2" xfId="40533" xr:uid="{2160B18E-0229-4E85-A0B9-F27DF4F00682}"/>
    <cellStyle name="Überschrift 7" xfId="22200" xr:uid="{E942A131-25BC-4B77-9BAF-B65DDB9FD11D}"/>
    <cellStyle name="Überschrift 7 2" xfId="22201" xr:uid="{6CDD33C3-7A4C-4938-9D4B-B2867DEF6929}"/>
    <cellStyle name="Überschrift 7 2 2" xfId="40535" xr:uid="{4A36A465-93C0-40EC-B1FF-EB4C1BDCF2C5}"/>
    <cellStyle name="Überschrift 7 3" xfId="40534" xr:uid="{B827D7C8-D57E-4E7C-875B-22AC56249520}"/>
    <cellStyle name="Überschrift 8" xfId="22202" xr:uid="{1AC28065-75C6-47E6-A841-88B9740652E8}"/>
    <cellStyle name="Überschrift 8 2" xfId="22203" xr:uid="{AE6467FD-2AC1-4FA4-BA00-CEEAC66C4CD2}"/>
    <cellStyle name="Überschrift 8 2 2" xfId="40537" xr:uid="{FB5021E8-EA71-4041-925D-5C29699DC6E0}"/>
    <cellStyle name="Überschrift 8 3" xfId="40536" xr:uid="{56AA04A5-4879-4C43-AB78-8F841D73A5F5}"/>
    <cellStyle name="Überschrift 9" xfId="22204" xr:uid="{4CD999CB-BD9A-4ED3-A13E-473BB18055AB}"/>
    <cellStyle name="Überschrift 9 2" xfId="22205" xr:uid="{EB4B5047-FBD3-4FC3-B8FF-A26F9674CA7A}"/>
    <cellStyle name="Überschrift 9 2 2" xfId="40539" xr:uid="{F7DA7859-4836-4487-B28F-243D87FC14EB}"/>
    <cellStyle name="Überschrift 9 3" xfId="40538" xr:uid="{B427D079-E643-422E-B670-08C1CBAFBEDE}"/>
    <cellStyle name="Überschrift_Energy cost" xfId="25756" xr:uid="{B319C754-9A1A-49BA-B27A-0B7417EDF629}"/>
    <cellStyle name="Vérification" xfId="3943" xr:uid="{32EB3E8B-51E6-4007-8EA8-328C940F5FCA}"/>
    <cellStyle name="Vérification 10" xfId="22206" xr:uid="{72A60E48-B513-441B-849D-B49B81C9D6CD}"/>
    <cellStyle name="Vérification 10 2" xfId="40540" xr:uid="{DB5D495F-D0C8-41F6-9CC9-6FFABF3F3060}"/>
    <cellStyle name="Vérification 11" xfId="22207" xr:uid="{D1562FC4-1544-476A-859C-AE702A3BF139}"/>
    <cellStyle name="Vérification 11 2" xfId="40541" xr:uid="{750CAEDF-D075-4838-B082-812CE9F9ED75}"/>
    <cellStyle name="Vérification 2" xfId="4257" xr:uid="{A89FE6D8-DD57-4AAC-A544-E916BD1141D3}"/>
    <cellStyle name="Vérification 2 2" xfId="7945" xr:uid="{33914C93-E880-4BB8-BBE7-30ADCF90D396}"/>
    <cellStyle name="Vérification 2 2 2" xfId="22208" xr:uid="{D7383AEC-5A8E-4FAC-9990-09E39DC3FFC5}"/>
    <cellStyle name="Vérification 2 2 2 2" xfId="40542" xr:uid="{744BF362-D9DE-4E5C-97E0-0E0FBA731784}"/>
    <cellStyle name="Vérification 2 2 3" xfId="22209" xr:uid="{263C20E0-4601-4BAE-8C1D-E0A7A11BF401}"/>
    <cellStyle name="Vérification 2 2 3 2" xfId="40543" xr:uid="{878A5FC1-2612-4B0F-99E5-9E294A116F59}"/>
    <cellStyle name="Vérification 2 2 4" xfId="22210" xr:uid="{28C00029-71BF-459B-B3BA-1358F18934B6}"/>
    <cellStyle name="Vérification 2 2 4 2" xfId="40544" xr:uid="{19D9E26C-00AE-448F-8D07-600E9204A83C}"/>
    <cellStyle name="Vérification 2 3" xfId="22211" xr:uid="{2B36CCA2-B98C-4D57-8F17-ECD7CBC714D8}"/>
    <cellStyle name="Vérification 2 3 2" xfId="22212" xr:uid="{2C3BBFDB-34FC-47B9-9276-C79D95155519}"/>
    <cellStyle name="Vérification 2 3 2 2" xfId="40545" xr:uid="{1D1556DC-610C-40E2-AA8C-9BE44400E787}"/>
    <cellStyle name="Vérification 2 3 3" xfId="22213" xr:uid="{9C27D89B-A12C-4E55-86A8-73CEFED1F947}"/>
    <cellStyle name="Vérification 2 3 3 2" xfId="40546" xr:uid="{C2348C63-7482-4D68-AB88-39F1344481E7}"/>
    <cellStyle name="Vérification 2 4" xfId="22214" xr:uid="{27C41277-867E-4151-96EA-5176040915C2}"/>
    <cellStyle name="Vérification 2 4 2" xfId="22215" xr:uid="{F312215A-BF92-46F9-96CD-D20645B0BA22}"/>
    <cellStyle name="Vérification 2 4 2 2" xfId="40548" xr:uid="{EFD74E5C-E224-41F6-B8FF-7D239950CDEE}"/>
    <cellStyle name="Vérification 2 4 3" xfId="40547" xr:uid="{9846BF80-B0CA-4BED-B1F1-536F780586EC}"/>
    <cellStyle name="Vérification 2 5" xfId="22216" xr:uid="{2227F1F6-846F-4C69-AE26-5E24244EB78F}"/>
    <cellStyle name="Vérification 2 5 2" xfId="22217" xr:uid="{DB36D170-BCCF-4774-AD4E-7DCD8BD5A085}"/>
    <cellStyle name="Vérification 2 5 2 2" xfId="40550" xr:uid="{1FF6FE4E-3E77-4511-92EA-97850284232D}"/>
    <cellStyle name="Vérification 2 5 3" xfId="40549" xr:uid="{1BA14322-D92F-4979-9F7B-A173B8148169}"/>
    <cellStyle name="Vérification 2 6" xfId="22218" xr:uid="{59599124-300E-42D1-A1D8-4F192EC50954}"/>
    <cellStyle name="Vérification 2 6 2" xfId="40551" xr:uid="{53C0344E-FC38-4940-90A3-A2D6CED05B10}"/>
    <cellStyle name="Vérification 2 7" xfId="22219" xr:uid="{3DFA9E80-EBB4-458D-A9B0-83BF394AF444}"/>
    <cellStyle name="Vérification 2 7 2" xfId="40552" xr:uid="{E82121F8-2A4C-410C-9168-1D82E437D713}"/>
    <cellStyle name="Vérification 3" xfId="7944" xr:uid="{FC678694-BDB3-493B-BFF7-E93826D224E7}"/>
    <cellStyle name="Vérification 3 2" xfId="22220" xr:uid="{36224F3E-86FD-4BC5-9835-02669772825D}"/>
    <cellStyle name="Vérification 3 2 2" xfId="22221" xr:uid="{CA2F0A36-8231-4B5D-9C17-8B8490262108}"/>
    <cellStyle name="Vérification 3 2 2 2" xfId="40553" xr:uid="{4C2486C2-104D-4986-A614-70A259092558}"/>
    <cellStyle name="Vérification 3 3" xfId="22222" xr:uid="{2EA63DEE-CFC5-4F9A-AE17-D86F99988D30}"/>
    <cellStyle name="Vérification 3 3 2" xfId="40554" xr:uid="{A5F4642B-0E80-4E0C-A4AC-20DD73B5180D}"/>
    <cellStyle name="Vérification 3 4" xfId="22223" xr:uid="{094D6F8C-8BA0-4675-B82D-64DC8A54FDAB}"/>
    <cellStyle name="Vérification 3 4 2" xfId="40555" xr:uid="{47BFF7DE-2DCE-44DF-8373-43235A805059}"/>
    <cellStyle name="Vérification 4" xfId="22224" xr:uid="{7866F790-807E-48FF-B819-9A1E23AE79AE}"/>
    <cellStyle name="Vérification 4 2" xfId="22225" xr:uid="{079F6333-61BD-40FB-A932-37C8BC5CA0AF}"/>
    <cellStyle name="Vérification 4 2 2" xfId="40557" xr:uid="{BA470A99-FDD2-424F-8569-1AEAAE3A7D6C}"/>
    <cellStyle name="Vérification 4 3" xfId="40556" xr:uid="{B4D64782-A04A-41B3-85E1-B7351A373985}"/>
    <cellStyle name="Vérification 5" xfId="22226" xr:uid="{313B1AD6-58D1-4762-B1B5-1143B89498C8}"/>
    <cellStyle name="Vérification 5 2" xfId="22227" xr:uid="{8E037F58-A883-4A97-97C5-152B56BD254A}"/>
    <cellStyle name="Vérification 5 2 2" xfId="40559" xr:uid="{524C79A8-1FD9-4102-BADB-085F97F3D1F3}"/>
    <cellStyle name="Vérification 5 3" xfId="40558" xr:uid="{9B546C8C-8EAD-401D-8665-688EF5BC5C2D}"/>
    <cellStyle name="Vérification 6" xfId="22228" xr:uid="{261512D2-5F75-49F2-A7CD-A75E7BBC35F7}"/>
    <cellStyle name="Vérification 6 2" xfId="22229" xr:uid="{D17742F0-4C73-4275-B64D-EDD1AA6F6A30}"/>
    <cellStyle name="Vérification 6 2 2" xfId="40561" xr:uid="{C270F449-B1C4-4B49-B1F7-F1740F83170E}"/>
    <cellStyle name="Vérification 6 3" xfId="40560" xr:uid="{06B57492-B4C9-4E24-9112-78E0555B02A6}"/>
    <cellStyle name="Vérification 7" xfId="22230" xr:uid="{4F3B2210-B4FD-4D9A-BB61-A00A884F44D7}"/>
    <cellStyle name="Vérification 7 2" xfId="22231" xr:uid="{DE830FC9-7132-4DF6-BE97-EB230BA98CBD}"/>
    <cellStyle name="Vérification 7 2 2" xfId="40563" xr:uid="{A3B70100-87E5-4926-89BB-4360CB3BBB65}"/>
    <cellStyle name="Vérification 7 3" xfId="40562" xr:uid="{2CECB154-64F0-491C-A0A5-43C2504480B6}"/>
    <cellStyle name="Vérification 8" xfId="22232" xr:uid="{81CC0005-8D9E-4F1F-B12A-D8E1CBE90349}"/>
    <cellStyle name="Vérification 8 2" xfId="22233" xr:uid="{7BA93192-9A4E-4798-A29F-D948E9DBB2C6}"/>
    <cellStyle name="Vérification 8 2 2" xfId="40565" xr:uid="{A95F8254-0473-4EA2-8BCE-5F7DA4FB19E6}"/>
    <cellStyle name="Vérification 8 3" xfId="40564" xr:uid="{EF5189D3-155B-4168-A8D3-615D1DC16D92}"/>
    <cellStyle name="Vérification 9" xfId="22234" xr:uid="{6C757373-F6D3-4704-889F-6C77F3948458}"/>
    <cellStyle name="Vérification 9 2" xfId="40566" xr:uid="{07602F83-3885-479A-8A26-642CD1DD2174}"/>
    <cellStyle name="Verknüpfte Zelle" xfId="3944" xr:uid="{3831B40A-CE67-4B1D-A80C-CFFD7CEA83A9}"/>
    <cellStyle name="Verknüpfte Zelle 10" xfId="22235" xr:uid="{3337E58C-21C2-403B-8704-E80A3B809905}"/>
    <cellStyle name="Verknüpfte Zelle 10 2" xfId="40567" xr:uid="{3BF591F0-A0C6-496E-AFD1-00FFCD1804FC}"/>
    <cellStyle name="Verknüpfte Zelle 11" xfId="22236" xr:uid="{959972B9-7CAF-47AF-93DD-C1232E5B66E5}"/>
    <cellStyle name="Verknüpfte Zelle 11 2" xfId="40568" xr:uid="{DDA0E1FC-2722-41F3-8DE6-809CC7263AE2}"/>
    <cellStyle name="Verknüpfte Zelle 2" xfId="4258" xr:uid="{1DCBB26B-DA1D-475E-B9FB-89423E5B0FAA}"/>
    <cellStyle name="Verknüpfte Zelle 2 2" xfId="7947" xr:uid="{C87324AE-68C8-4BF3-A635-71167B177DE9}"/>
    <cellStyle name="Verknüpfte Zelle 2 2 2" xfId="22237" xr:uid="{C5A720B1-7F7B-4F31-BF9C-7DCDB784848C}"/>
    <cellStyle name="Verknüpfte Zelle 2 2 2 2" xfId="40569" xr:uid="{7E6427F4-3B33-44A4-9DA3-3C5BB7052678}"/>
    <cellStyle name="Verknüpfte Zelle 2 2 3" xfId="22238" xr:uid="{FF75E8E8-9DB3-4397-BA27-627D1525C123}"/>
    <cellStyle name="Verknüpfte Zelle 2 2 3 2" xfId="40570" xr:uid="{2B8BB8E8-2652-49E2-96E3-5F3820ECBBDA}"/>
    <cellStyle name="Verknüpfte Zelle 2 2 4" xfId="22239" xr:uid="{B2404DFA-B68B-4C85-9892-BD487CEC0B12}"/>
    <cellStyle name="Verknüpfte Zelle 2 2 4 2" xfId="40571" xr:uid="{BFFEC487-4F0F-4E03-84D0-369A05719A36}"/>
    <cellStyle name="Verknüpfte Zelle 2 3" xfId="22240" xr:uid="{6C16B0DD-DDE4-4113-8277-1104FB5C4B78}"/>
    <cellStyle name="Verknüpfte Zelle 2 3 2" xfId="22241" xr:uid="{7112F8BA-457E-4BDE-92FA-BFC3F94EEA36}"/>
    <cellStyle name="Verknüpfte Zelle 2 3 2 2" xfId="40572" xr:uid="{E072859E-FB09-495C-9FCF-C748E01708B8}"/>
    <cellStyle name="Verknüpfte Zelle 2 3 3" xfId="22242" xr:uid="{C555321D-88BB-4013-A154-D1957E78CA5C}"/>
    <cellStyle name="Verknüpfte Zelle 2 3 3 2" xfId="40573" xr:uid="{AC758F10-545C-407C-BA57-0E272A65DAB3}"/>
    <cellStyle name="Verknüpfte Zelle 2 4" xfId="22243" xr:uid="{BEF6FE95-80A7-4669-8527-547D608CFC52}"/>
    <cellStyle name="Verknüpfte Zelle 2 4 2" xfId="22244" xr:uid="{1B860B5F-D655-46C8-B7D2-F48A2F709210}"/>
    <cellStyle name="Verknüpfte Zelle 2 4 2 2" xfId="40575" xr:uid="{74292CBF-08F5-43AF-BC6A-7F2E4EBF46CB}"/>
    <cellStyle name="Verknüpfte Zelle 2 4 3" xfId="40574" xr:uid="{D5D9F10E-C54A-4D9E-92EC-E17A962E7F4A}"/>
    <cellStyle name="Verknüpfte Zelle 2 5" xfId="22245" xr:uid="{E535886C-A820-4B82-8C21-AF4494C93826}"/>
    <cellStyle name="Verknüpfte Zelle 2 5 2" xfId="22246" xr:uid="{5EFFCE19-8C55-499B-BE79-2F2A82F653DB}"/>
    <cellStyle name="Verknüpfte Zelle 2 5 2 2" xfId="40577" xr:uid="{939F69ED-6DC1-4D34-8DF6-F1C40846FB43}"/>
    <cellStyle name="Verknüpfte Zelle 2 5 3" xfId="40576" xr:uid="{FE34B0A3-BC5C-4CE9-ABA3-0CE704DF617C}"/>
    <cellStyle name="Verknüpfte Zelle 2 6" xfId="22247" xr:uid="{233732D4-D907-40E6-B77E-10250092D829}"/>
    <cellStyle name="Verknüpfte Zelle 2 6 2" xfId="40578" xr:uid="{7F3430D7-F66C-4D8A-AB1F-3395D2B765BA}"/>
    <cellStyle name="Verknüpfte Zelle 2 7" xfId="22248" xr:uid="{236F4ECA-61D0-4AFA-BA2A-E7F149E9BE66}"/>
    <cellStyle name="Verknüpfte Zelle 2 7 2" xfId="40579" xr:uid="{FF56F56F-042B-41A8-B843-452648E7D617}"/>
    <cellStyle name="Verknüpfte Zelle 3" xfId="7946" xr:uid="{FB4AD762-D096-41FE-ACC3-FB1C824BE437}"/>
    <cellStyle name="Verknüpfte Zelle 3 2" xfId="22249" xr:uid="{F08220FA-7018-4E64-92A5-1367840FCEB5}"/>
    <cellStyle name="Verknüpfte Zelle 3 2 2" xfId="22250" xr:uid="{FD281F3A-E052-4223-95D4-65512DA09383}"/>
    <cellStyle name="Verknüpfte Zelle 3 2 2 2" xfId="40580" xr:uid="{8C7A95BE-4D21-4659-AFFD-33C1301B854F}"/>
    <cellStyle name="Verknüpfte Zelle 3 3" xfId="22251" xr:uid="{AC29023C-CD90-467F-A4EC-57E0EF43C2B0}"/>
    <cellStyle name="Verknüpfte Zelle 3 3 2" xfId="40581" xr:uid="{CA3DFC24-21E8-4A93-B43A-FC5D1B05B82A}"/>
    <cellStyle name="Verknüpfte Zelle 3 4" xfId="22252" xr:uid="{942554E9-E98A-4C89-BBBB-61F6F2045B50}"/>
    <cellStyle name="Verknüpfte Zelle 3 4 2" xfId="40582" xr:uid="{B4551ACE-DED7-458F-ABF2-B5F551FD7CC2}"/>
    <cellStyle name="Verknüpfte Zelle 4" xfId="22253" xr:uid="{D381D29D-E40B-4586-A0D0-382E5ADDAB2B}"/>
    <cellStyle name="Verknüpfte Zelle 4 2" xfId="22254" xr:uid="{BC1B0CF7-96B3-471C-A9C8-A9FF4F2B7F6A}"/>
    <cellStyle name="Verknüpfte Zelle 4 2 2" xfId="40584" xr:uid="{B11A23F6-DD75-40D0-AE24-42CDD4079630}"/>
    <cellStyle name="Verknüpfte Zelle 4 3" xfId="40583" xr:uid="{CAD94718-A483-4402-BC68-A413F85402E9}"/>
    <cellStyle name="Verknüpfte Zelle 5" xfId="22255" xr:uid="{14A7CEE8-7430-4C04-99B5-8B206949DDC2}"/>
    <cellStyle name="Verknüpfte Zelle 5 2" xfId="22256" xr:uid="{39E66E5C-2D09-490F-9204-01B4C8E83502}"/>
    <cellStyle name="Verknüpfte Zelle 5 2 2" xfId="40586" xr:uid="{D44AD447-C260-45BA-BACD-637CBF39834A}"/>
    <cellStyle name="Verknüpfte Zelle 5 3" xfId="40585" xr:uid="{C15AF5E4-DFAD-4003-8CC1-A50C321152F9}"/>
    <cellStyle name="Verknüpfte Zelle 6" xfId="22257" xr:uid="{026A394F-10D1-4EAB-AF0A-F8AD6FCF4DD5}"/>
    <cellStyle name="Verknüpfte Zelle 6 2" xfId="22258" xr:uid="{0A56A5A7-59DD-47FA-94A7-CA569B191B3F}"/>
    <cellStyle name="Verknüpfte Zelle 6 2 2" xfId="40588" xr:uid="{2C121416-A0A1-4188-B884-F525C5512211}"/>
    <cellStyle name="Verknüpfte Zelle 6 3" xfId="40587" xr:uid="{4FE2DC58-3AA7-4755-9BC8-4D2D8AD8D89F}"/>
    <cellStyle name="Verknüpfte Zelle 7" xfId="22259" xr:uid="{8D843A36-70A7-4B14-A3CA-751CE66CD96F}"/>
    <cellStyle name="Verknüpfte Zelle 7 2" xfId="22260" xr:uid="{A8A0D728-485D-49A2-868C-8D7D85F117C2}"/>
    <cellStyle name="Verknüpfte Zelle 7 2 2" xfId="40590" xr:uid="{0B2E1B28-FE16-4834-B7AE-7A7F3F31A437}"/>
    <cellStyle name="Verknüpfte Zelle 7 3" xfId="40589" xr:uid="{49A34315-CE8F-4E76-BC77-B81CCF32D1C3}"/>
    <cellStyle name="Verknüpfte Zelle 8" xfId="22261" xr:uid="{41468451-0741-4500-9405-CF85AA37A899}"/>
    <cellStyle name="Verknüpfte Zelle 8 2" xfId="22262" xr:uid="{9BFFBD2A-01F6-4DA8-9AA5-293384747BFA}"/>
    <cellStyle name="Verknüpfte Zelle 8 2 2" xfId="40592" xr:uid="{0720B71D-96D5-4C94-9B35-5C5236924AAB}"/>
    <cellStyle name="Verknüpfte Zelle 8 3" xfId="40591" xr:uid="{2BB3F4F2-CE26-4DC2-B9F5-3DD57C6524F7}"/>
    <cellStyle name="Verknüpfte Zelle 9" xfId="22263" xr:uid="{AF4F2974-7E8F-4B12-9E79-144839BC0FAF}"/>
    <cellStyle name="Verknüpfte Zelle 9 2" xfId="40593" xr:uid="{C5F78244-13DF-4EA8-A4F4-17F367E93B75}"/>
    <cellStyle name="Warnender Text" xfId="3945" xr:uid="{98D401B8-7961-473D-A1B5-EF82AFABC4A9}"/>
    <cellStyle name="Warnender Text 10" xfId="22264" xr:uid="{1A97BBA7-965C-49DD-A9B6-2A26142E0351}"/>
    <cellStyle name="Warnender Text 10 2" xfId="40594" xr:uid="{B4C99A8B-7686-4F7F-B9D3-A22F0B6FD428}"/>
    <cellStyle name="Warnender Text 11" xfId="22265" xr:uid="{0AA65346-DF8A-44B7-9203-AD5677DC5682}"/>
    <cellStyle name="Warnender Text 11 2" xfId="40595" xr:uid="{C0565DBE-1CE9-4BBE-987B-A5A18D40C7B7}"/>
    <cellStyle name="Warnender Text 2" xfId="4259" xr:uid="{44C3B343-4FC4-45F7-9A16-431886541444}"/>
    <cellStyle name="Warnender Text 2 2" xfId="7949" xr:uid="{C9F63E1C-3AC4-4E8C-94D3-EA3D472143EF}"/>
    <cellStyle name="Warnender Text 2 2 2" xfId="22266" xr:uid="{511E9BBC-1B74-4CF6-941E-01175985F59D}"/>
    <cellStyle name="Warnender Text 2 2 2 2" xfId="40596" xr:uid="{F0069562-6F55-49B9-AED4-9750C1163ADC}"/>
    <cellStyle name="Warnender Text 2 2 3" xfId="22267" xr:uid="{3CF1478C-BC4F-43CA-81FD-BC4239831E88}"/>
    <cellStyle name="Warnender Text 2 2 3 2" xfId="40597" xr:uid="{70A92EC5-623F-409F-BC98-6DC770CE1CB7}"/>
    <cellStyle name="Warnender Text 2 2 4" xfId="22268" xr:uid="{06320BC6-11DD-45CF-B5C3-8E774156A33C}"/>
    <cellStyle name="Warnender Text 2 2 4 2" xfId="40598" xr:uid="{E7C12D9A-EEC9-4B93-8F2F-FC67BA5F026A}"/>
    <cellStyle name="Warnender Text 2 3" xfId="22269" xr:uid="{ECC89193-5FD8-41A5-B44A-9660AC88F3DC}"/>
    <cellStyle name="Warnender Text 2 3 2" xfId="22270" xr:uid="{13745E9E-F754-4DFE-887A-A80A7F1C9B87}"/>
    <cellStyle name="Warnender Text 2 3 2 2" xfId="40599" xr:uid="{E42DAA61-0607-4734-B063-2EF4A6D70224}"/>
    <cellStyle name="Warnender Text 2 3 3" xfId="22271" xr:uid="{1168EB46-2E6E-4984-9CCF-48DE5D066FFA}"/>
    <cellStyle name="Warnender Text 2 3 3 2" xfId="40600" xr:uid="{38445C0F-A928-4018-BC4E-FA1F05A11126}"/>
    <cellStyle name="Warnender Text 2 4" xfId="22272" xr:uid="{6252B991-831A-4379-B361-4DB7674AD727}"/>
    <cellStyle name="Warnender Text 2 4 2" xfId="22273" xr:uid="{A4F9EAF2-46E8-4AB0-9528-AD1B83BFC25A}"/>
    <cellStyle name="Warnender Text 2 4 2 2" xfId="40602" xr:uid="{56250EE2-2BD9-4A86-96D8-C86939FD1283}"/>
    <cellStyle name="Warnender Text 2 4 3" xfId="40601" xr:uid="{554D62CF-EA3C-4890-96C9-F61A29E7D4AF}"/>
    <cellStyle name="Warnender Text 2 5" xfId="22274" xr:uid="{702D5957-D7A9-47B5-8917-97FA1B90F800}"/>
    <cellStyle name="Warnender Text 2 5 2" xfId="22275" xr:uid="{DB0AEE5D-B751-4909-991D-ED360E4E7823}"/>
    <cellStyle name="Warnender Text 2 5 2 2" xfId="40604" xr:uid="{F10C0FCB-FB9D-4259-9DAB-EDB62CC65C1C}"/>
    <cellStyle name="Warnender Text 2 5 3" xfId="40603" xr:uid="{BA515CA0-03DB-4E48-B4BB-656DC5A9FE46}"/>
    <cellStyle name="Warnender Text 2 6" xfId="22276" xr:uid="{8AEE386A-7C9F-4219-82C2-35372CFBF02A}"/>
    <cellStyle name="Warnender Text 2 6 2" xfId="40605" xr:uid="{23B3DD81-8B15-450E-A991-6D55DE74FBF5}"/>
    <cellStyle name="Warnender Text 2 7" xfId="22277" xr:uid="{DAC16BB2-071F-4F90-9CBD-4B59268D3F50}"/>
    <cellStyle name="Warnender Text 2 7 2" xfId="40606" xr:uid="{FD53F9AA-8C98-4C49-A8E3-3AAB9C7E7D56}"/>
    <cellStyle name="Warnender Text 3" xfId="7948" xr:uid="{D6068059-B7F1-4B89-AE2C-FC3AEE5F3DD5}"/>
    <cellStyle name="Warnender Text 3 2" xfId="22278" xr:uid="{1C498624-9A63-48E5-A0D2-E247B5134B5A}"/>
    <cellStyle name="Warnender Text 3 2 2" xfId="22279" xr:uid="{C3DEFDE8-4FFA-4A2C-9971-5FA8DA5CB395}"/>
    <cellStyle name="Warnender Text 3 2 2 2" xfId="40607" xr:uid="{72AA8736-0316-4AFA-9047-46C61966D170}"/>
    <cellStyle name="Warnender Text 3 3" xfId="22280" xr:uid="{5F137792-0178-4BFB-97EB-D7DEFF29A8A8}"/>
    <cellStyle name="Warnender Text 3 3 2" xfId="40608" xr:uid="{7991D194-5507-43F3-9A05-58111F38A930}"/>
    <cellStyle name="Warnender Text 3 4" xfId="22281" xr:uid="{09B4C197-630B-476F-9050-768725B98C06}"/>
    <cellStyle name="Warnender Text 3 4 2" xfId="40609" xr:uid="{120CBEAA-371B-423D-BBC0-76B4DD81EFCF}"/>
    <cellStyle name="Warnender Text 4" xfId="22282" xr:uid="{CF2D2C0A-3E2F-4780-91C9-57C9E98E5509}"/>
    <cellStyle name="Warnender Text 4 2" xfId="22283" xr:uid="{3ED72D69-AF3C-441F-AD8C-4F05D7A5C8BE}"/>
    <cellStyle name="Warnender Text 4 2 2" xfId="40611" xr:uid="{88FE3326-B367-40B3-8515-E82E7401BC0D}"/>
    <cellStyle name="Warnender Text 4 3" xfId="40610" xr:uid="{9A57A9F7-4F72-4C11-9361-FEA8E56887FE}"/>
    <cellStyle name="Warnender Text 5" xfId="22284" xr:uid="{F16D744E-E856-4A4E-8ACA-DDCB556C63D1}"/>
    <cellStyle name="Warnender Text 5 2" xfId="22285" xr:uid="{2E1C2436-3B91-406B-B9B7-998EF7E49833}"/>
    <cellStyle name="Warnender Text 5 2 2" xfId="40613" xr:uid="{C68C040C-EBD4-4E93-B300-F63C35346C18}"/>
    <cellStyle name="Warnender Text 5 3" xfId="40612" xr:uid="{F1F6CE54-36E6-468C-BC78-B23A12E066A9}"/>
    <cellStyle name="Warnender Text 6" xfId="22286" xr:uid="{3AD9A8E8-D9CC-418F-9EF2-B9A1D4CCA115}"/>
    <cellStyle name="Warnender Text 6 2" xfId="22287" xr:uid="{90238ABB-2EED-4AF1-9572-9AFAC64EB06D}"/>
    <cellStyle name="Warnender Text 6 2 2" xfId="40615" xr:uid="{2E2ADB83-8543-4D2B-984F-3F19E4C02198}"/>
    <cellStyle name="Warnender Text 6 3" xfId="40614" xr:uid="{BF2CF93F-B6B5-4354-B53B-D3AB4AF3E0E6}"/>
    <cellStyle name="Warnender Text 7" xfId="22288" xr:uid="{FFF09B3A-76C9-433A-8307-F73BDF58AE81}"/>
    <cellStyle name="Warnender Text 7 2" xfId="22289" xr:uid="{671DB9CC-97C5-4266-961F-7CFCDA6444E3}"/>
    <cellStyle name="Warnender Text 7 2 2" xfId="40617" xr:uid="{A068F0E4-A3D4-4A01-BB79-261984E12C28}"/>
    <cellStyle name="Warnender Text 7 3" xfId="40616" xr:uid="{B3D69410-5804-4B2E-AF37-AAA6B7E8C8DB}"/>
    <cellStyle name="Warnender Text 8" xfId="22290" xr:uid="{546A088B-6460-42FD-8137-E8051CA90C1C}"/>
    <cellStyle name="Warnender Text 8 2" xfId="22291" xr:uid="{EAFBE51E-A94E-44B4-A094-E86646546C88}"/>
    <cellStyle name="Warnender Text 8 2 2" xfId="40619" xr:uid="{5CF267F3-C26F-40D4-A550-EACBA5B011A1}"/>
    <cellStyle name="Warnender Text 8 3" xfId="40618" xr:uid="{7ED56727-6F4A-4713-8CDF-A3F139F6A520}"/>
    <cellStyle name="Warnender Text 9" xfId="22292" xr:uid="{A673D13C-3C27-4284-B24C-6D9DD0DFCC54}"/>
    <cellStyle name="Warnender Text 9 2" xfId="40620" xr:uid="{E6AB6C51-82B0-451A-903D-9FB8DCD8A387}"/>
    <cellStyle name="Warning Text 2" xfId="3946" xr:uid="{D40F1ACB-E0D7-4723-9EC2-EA8A24D11E7B}"/>
    <cellStyle name="Warning Text 2 10" xfId="22293" xr:uid="{1ED3BC32-31C1-466A-BF1C-1561896579BC}"/>
    <cellStyle name="Warning Text 2 10 2" xfId="40621" xr:uid="{182FC16F-9EFD-4E04-A19A-561DD30ABC4B}"/>
    <cellStyle name="Warning Text 2 11" xfId="22294" xr:uid="{C54BC649-AE09-4F47-8DA0-A45FE6066E77}"/>
    <cellStyle name="Warning Text 2 11 2" xfId="40622" xr:uid="{EE3AB674-4950-4FEA-9CF0-3665783C135F}"/>
    <cellStyle name="Warning Text 2 2" xfId="4260" xr:uid="{D6D005B5-9529-47DE-B00E-C36512863D4E}"/>
    <cellStyle name="Warning Text 2 2 2" xfId="7951" xr:uid="{078A3C3F-BEC8-4232-B94D-490050C6CA0C}"/>
    <cellStyle name="Warning Text 2 2 2 2" xfId="22295" xr:uid="{8195BC58-AE7A-4765-9966-CAEA863FD37E}"/>
    <cellStyle name="Warning Text 2 2 2 2 2" xfId="40623" xr:uid="{48515CBD-ECAC-4EF3-BB87-7B849D7CBECD}"/>
    <cellStyle name="Warning Text 2 2 2 3" xfId="22296" xr:uid="{9DF48040-DA55-4822-8740-A40FA4546B3D}"/>
    <cellStyle name="Warning Text 2 2 2 3 2" xfId="40624" xr:uid="{02B1122A-1967-4F93-A5B6-0194D5CA6E44}"/>
    <cellStyle name="Warning Text 2 2 2 4" xfId="22297" xr:uid="{1C15919A-9AE0-41C8-AFEA-FC1CC650E5D6}"/>
    <cellStyle name="Warning Text 2 2 2 4 2" xfId="40625" xr:uid="{F1B6A7EE-D602-459D-8E5E-E7BAABB0969D}"/>
    <cellStyle name="Warning Text 2 2 3" xfId="22298" xr:uid="{537FE8B4-BFEF-4CF7-A2A1-9C085938D396}"/>
    <cellStyle name="Warning Text 2 2 3 2" xfId="22299" xr:uid="{5E802DD7-E41D-4DA7-A7AA-CE10C5539793}"/>
    <cellStyle name="Warning Text 2 2 3 2 2" xfId="40626" xr:uid="{4D8C3F39-2B97-4D64-BA69-55BE26893F85}"/>
    <cellStyle name="Warning Text 2 2 3 3" xfId="22300" xr:uid="{6CAB17D3-9FAA-4016-9CE8-CB14B301B7BE}"/>
    <cellStyle name="Warning Text 2 2 3 3 2" xfId="40627" xr:uid="{B0EEBE26-03B3-41A6-8E9D-88A0CE511771}"/>
    <cellStyle name="Warning Text 2 2 4" xfId="22301" xr:uid="{91EFDE78-D7D1-4675-8629-19255573A04E}"/>
    <cellStyle name="Warning Text 2 2 4 2" xfId="22302" xr:uid="{5470FA99-A242-40EF-9537-5770D0719435}"/>
    <cellStyle name="Warning Text 2 2 4 2 2" xfId="40629" xr:uid="{9BE6D84C-6229-4ABE-A058-1058ACE874C4}"/>
    <cellStyle name="Warning Text 2 2 4 3" xfId="40628" xr:uid="{48A61DE1-A32B-4475-A640-369534E3F3EA}"/>
    <cellStyle name="Warning Text 2 2 5" xfId="22303" xr:uid="{A9913465-0741-4902-9724-5A488E297FE8}"/>
    <cellStyle name="Warning Text 2 2 5 2" xfId="22304" xr:uid="{A3850436-6397-4BB3-BEF1-B973A7B43984}"/>
    <cellStyle name="Warning Text 2 2 5 2 2" xfId="40631" xr:uid="{DBD79AA8-C3AB-47BB-9418-79260A6D5DE0}"/>
    <cellStyle name="Warning Text 2 2 5 3" xfId="40630" xr:uid="{C4066298-230E-42A4-B9D4-0C7EE91D72CC}"/>
    <cellStyle name="Warning Text 2 2 6" xfId="22305" xr:uid="{B3F02E74-C7CD-431C-86CD-BBD9D1DD1804}"/>
    <cellStyle name="Warning Text 2 2 6 2" xfId="40632" xr:uid="{FD1F6EE1-54EE-4C82-A508-DB7A6D42E7A2}"/>
    <cellStyle name="Warning Text 2 2 7" xfId="22306" xr:uid="{EB55290E-7A94-4BDF-8CC8-3C27C824C841}"/>
    <cellStyle name="Warning Text 2 2 7 2" xfId="40633" xr:uid="{95D8D2BB-794D-4FE7-B745-18F9A3F006F5}"/>
    <cellStyle name="Warning Text 2 3" xfId="7950" xr:uid="{C2F04424-D4D8-491F-8258-60A5C3264DD3}"/>
    <cellStyle name="Warning Text 2 3 2" xfId="22307" xr:uid="{966EF33D-B9E9-4394-A0DB-DF98C87B1B61}"/>
    <cellStyle name="Warning Text 2 3 2 2" xfId="22308" xr:uid="{C3155B68-F535-4A0B-A84A-0C4FAFBC93CA}"/>
    <cellStyle name="Warning Text 2 3 2 2 2" xfId="40634" xr:uid="{7EE292A7-5659-4D0A-AEAB-4B54BD8540BD}"/>
    <cellStyle name="Warning Text 2 3 3" xfId="22309" xr:uid="{7378A6F7-0D6E-435F-8D40-596CF346D2B7}"/>
    <cellStyle name="Warning Text 2 3 3 2" xfId="40635" xr:uid="{D1E90EF8-CF49-4403-9F5E-CC5819F8ECF2}"/>
    <cellStyle name="Warning Text 2 3 4" xfId="22310" xr:uid="{5576E6AD-2C75-4988-A66B-7BC535A12868}"/>
    <cellStyle name="Warning Text 2 3 4 2" xfId="40636" xr:uid="{4F75EBA0-289F-4CAA-A438-75E848B1DB1E}"/>
    <cellStyle name="Warning Text 2 4" xfId="22311" xr:uid="{FCC55B37-E486-49F8-86B7-8F599C917E1A}"/>
    <cellStyle name="Warning Text 2 4 2" xfId="22312" xr:uid="{E72A36E8-0BCF-42A9-9D67-7A08D5CBA413}"/>
    <cellStyle name="Warning Text 2 4 2 2" xfId="40638" xr:uid="{3C17FC9A-7356-44B5-907F-37D9E3E02200}"/>
    <cellStyle name="Warning Text 2 4 3" xfId="40637" xr:uid="{DC7C44DD-812C-4C11-803A-D171F552F573}"/>
    <cellStyle name="Warning Text 2 5" xfId="22313" xr:uid="{AC232DFD-89D0-4530-A430-0868018C2CDC}"/>
    <cellStyle name="Warning Text 2 5 2" xfId="22314" xr:uid="{D7A69F7D-586D-4516-AACD-6AC2D32307C6}"/>
    <cellStyle name="Warning Text 2 5 2 2" xfId="40640" xr:uid="{7F5C7FD5-9B12-4DCB-94F5-5B1DEEF513D2}"/>
    <cellStyle name="Warning Text 2 5 3" xfId="40639" xr:uid="{526E6C9C-8970-4DA0-A1F8-ED659A34D3F3}"/>
    <cellStyle name="Warning Text 2 6" xfId="22315" xr:uid="{275B23A0-54FD-4BC4-B2CF-BA98D162B69A}"/>
    <cellStyle name="Warning Text 2 6 2" xfId="22316" xr:uid="{6CBB5EC3-8DC1-4B80-AEF8-48BC0585CD50}"/>
    <cellStyle name="Warning Text 2 6 2 2" xfId="40642" xr:uid="{9F86A00E-3DA2-4B36-98D9-D930166E0744}"/>
    <cellStyle name="Warning Text 2 6 3" xfId="40641" xr:uid="{20C692FB-C342-49AC-97D2-DBF065CE01F6}"/>
    <cellStyle name="Warning Text 2 7" xfId="22317" xr:uid="{D22D8048-0F45-49D9-B820-BB5BF5E6E2A7}"/>
    <cellStyle name="Warning Text 2 7 2" xfId="22318" xr:uid="{A582FD74-B6F1-4FD8-92FF-6D810E2A6A37}"/>
    <cellStyle name="Warning Text 2 7 2 2" xfId="40644" xr:uid="{9D76183B-DA8A-4FF1-85E3-6D925148C0B4}"/>
    <cellStyle name="Warning Text 2 7 3" xfId="40643" xr:uid="{6CEA9CE6-8AA8-427A-BB03-1AEBA5A36765}"/>
    <cellStyle name="Warning Text 2 8" xfId="22319" xr:uid="{B94E4A1D-F488-4937-9749-0977C5CFAEFA}"/>
    <cellStyle name="Warning Text 2 8 2" xfId="22320" xr:uid="{C097D203-AD8D-4ED8-A9B2-6DD0E655BA1F}"/>
    <cellStyle name="Warning Text 2 8 2 2" xfId="40646" xr:uid="{535E0390-E764-4398-8167-DC0E982CEB0D}"/>
    <cellStyle name="Warning Text 2 8 3" xfId="40645" xr:uid="{0435470E-06C1-4838-8E38-265543175116}"/>
    <cellStyle name="Warning Text 2 9" xfId="22321" xr:uid="{51177E45-D032-41F0-9C2F-E4FCBC8ABFF1}"/>
    <cellStyle name="Warning Text 2 9 2" xfId="40647" xr:uid="{AF7F044B-C69D-4956-87BB-D3E298422F3C}"/>
    <cellStyle name="Warning Text 3" xfId="3947" xr:uid="{3C763532-EAE4-426B-AA8D-CA2310FA5A8B}"/>
    <cellStyle name="Warning Text 3 2" xfId="22322" xr:uid="{AAD267DD-0555-491F-B36D-4BE547C56CE8}"/>
    <cellStyle name="Warning Text 3 2 2" xfId="22323" xr:uid="{F3C78393-0934-4100-9CEC-AA5B5D08ECA2}"/>
    <cellStyle name="Warning Text 3 2 2 2" xfId="22324" xr:uid="{28543FF6-9BEF-4F88-B038-4EB41553775E}"/>
    <cellStyle name="Warning Text 3 2 2 2 2" xfId="40649" xr:uid="{D695783A-7B36-4933-9A84-1F0D95975DB5}"/>
    <cellStyle name="Warning Text 3 2 2 3" xfId="40648" xr:uid="{6627B0E8-9E8C-47B7-9CDD-3888D501628B}"/>
    <cellStyle name="Warning Text 3 2 3" xfId="22325" xr:uid="{F42AFF1D-8065-469E-BD78-67DAFC799FFF}"/>
    <cellStyle name="Warning Text 3 2 3 2" xfId="22326" xr:uid="{27EB3205-C526-478B-978A-3C708169E48D}"/>
    <cellStyle name="Warning Text 3 2 3 2 2" xfId="40651" xr:uid="{FD685A2D-A57C-4C03-BE38-C23A782CA0F8}"/>
    <cellStyle name="Warning Text 3 2 3 3" xfId="40650" xr:uid="{0BE0811D-9483-4B75-ADAB-DB29EE651091}"/>
    <cellStyle name="Warning Text 3 2 4" xfId="22327" xr:uid="{6E1285E2-E8D6-4528-8A5A-56385AE6DE31}"/>
    <cellStyle name="Warning Text 3 2 4 2" xfId="22328" xr:uid="{DC88DFF6-0BD7-4F1F-8FF9-2128529ECFE2}"/>
    <cellStyle name="Warning Text 3 2 4 2 2" xfId="40653" xr:uid="{5676731F-5CBA-4B48-B6C3-E757D6D7B14D}"/>
    <cellStyle name="Warning Text 3 2 4 3" xfId="40652" xr:uid="{221D2CC0-3B6C-499B-8547-63014FE8974F}"/>
    <cellStyle name="Warning Text 3 2 5" xfId="22329" xr:uid="{29395644-4153-47D8-9603-47BAE1A23BD1}"/>
    <cellStyle name="Warning Text 3 2 5 2" xfId="22330" xr:uid="{7D0C5D96-8072-42A9-8ADF-F94E2DA7E3D0}"/>
    <cellStyle name="Warning Text 3 2 5 2 2" xfId="40655" xr:uid="{4C8C5450-72BE-4643-AEC5-C26D0DF10BED}"/>
    <cellStyle name="Warning Text 3 2 5 3" xfId="40654" xr:uid="{50ECB501-73F3-4525-B65F-F15AE2350C50}"/>
    <cellStyle name="Warning Text 3 2 6" xfId="22331" xr:uid="{B88BFA2D-ECD0-4FE7-B0A2-ECE181C6DB84}"/>
    <cellStyle name="Warning Text 3 2 6 2" xfId="40656" xr:uid="{60FA728D-66B9-445C-9981-795E898B5E31}"/>
    <cellStyle name="Warning Text 3 2 7" xfId="22332" xr:uid="{4D04C202-F86F-4949-92BF-A770FEDE42EE}"/>
    <cellStyle name="Warning Text 3 2 7 2" xfId="40657" xr:uid="{D02B5D21-C598-4ACC-955D-654D0F91E936}"/>
    <cellStyle name="Warning Text 3 3" xfId="22333" xr:uid="{E50AA715-70B1-4070-9E64-1A69FBE4CC74}"/>
    <cellStyle name="Warning Text 3 3 2" xfId="22334" xr:uid="{8C9FD5F9-0D33-4676-8942-080F29BD7F7E}"/>
    <cellStyle name="Warning Text 3 3 2 2" xfId="40659" xr:uid="{CF29561E-E946-4B22-9235-BCF283B3791D}"/>
    <cellStyle name="Warning Text 3 3 3" xfId="40658" xr:uid="{7B7EA646-AE31-4122-AEA3-3415839F3B01}"/>
    <cellStyle name="Warning Text 3 4" xfId="22335" xr:uid="{2915A982-AC91-4CEE-86A9-CA3D23FB432E}"/>
    <cellStyle name="Warning Text 3 4 2" xfId="22336" xr:uid="{9CFC19CA-F065-4B1C-8124-B908101486FF}"/>
    <cellStyle name="Warning Text 3 4 2 2" xfId="40661" xr:uid="{D76673E6-104F-4317-B51D-E5774771C81F}"/>
    <cellStyle name="Warning Text 3 4 3" xfId="40660" xr:uid="{EBBA4D3C-3500-490D-B35F-990C3265E5C4}"/>
    <cellStyle name="Warning Text 3 5" xfId="22337" xr:uid="{18DE9A4B-DD7C-4792-B646-5C49B8BB7ED7}"/>
    <cellStyle name="Warning Text 3 5 2" xfId="22338" xr:uid="{12C6AE52-B54D-452F-B508-FD0894F1D717}"/>
    <cellStyle name="Warning Text 3 5 2 2" xfId="40663" xr:uid="{D067BDE6-1428-46F1-B442-7A733D69BA1E}"/>
    <cellStyle name="Warning Text 3 5 3" xfId="40662" xr:uid="{B735CAD2-164C-4587-B5B8-657CB8B9E764}"/>
    <cellStyle name="Warning Text 3 6" xfId="22339" xr:uid="{AF00C480-332A-4F02-8F72-172CEE144A81}"/>
    <cellStyle name="Warning Text 3 6 2" xfId="22340" xr:uid="{BB209B3D-48E5-47A5-BAD2-3AF8C8F09349}"/>
    <cellStyle name="Warning Text 3 6 2 2" xfId="40665" xr:uid="{85C75126-0318-4459-A1E5-39B6D1F725FA}"/>
    <cellStyle name="Warning Text 3 6 3" xfId="40664" xr:uid="{AAAFE689-955D-4E96-8541-0F45FF4C21F7}"/>
    <cellStyle name="Warning Text 3 7" xfId="22341" xr:uid="{11329EAC-8F63-4D50-959D-1189096DEA01}"/>
    <cellStyle name="Warning Text 3 7 2" xfId="22342" xr:uid="{C99D1802-1823-44EF-9B76-689E670EB044}"/>
    <cellStyle name="Warning Text 3 7 2 2" xfId="40667" xr:uid="{7F361A93-B26F-4B1E-8B0A-0ACDB64067E4}"/>
    <cellStyle name="Warning Text 3 7 3" xfId="40666" xr:uid="{5633062A-BC7A-4866-B0E6-1DC0D888FF0E}"/>
    <cellStyle name="Warning Text 3 8" xfId="22343" xr:uid="{79F66D02-F19A-4479-969B-E0D430EA156D}"/>
    <cellStyle name="Warning Text 3 8 2" xfId="40668" xr:uid="{2EDF0F4B-7A40-4EB2-A563-28F67C34D441}"/>
    <cellStyle name="Warning Text 3 9" xfId="22344" xr:uid="{1EC842C8-CA52-431E-BF94-A4A32FEA5B97}"/>
    <cellStyle name="Warning Text 3 9 2" xfId="40669" xr:uid="{165E1720-9B47-4AF8-A422-E91EEF1E22E6}"/>
    <cellStyle name="Warning Text 4" xfId="22345" xr:uid="{EFEE235E-DD0D-42F1-BDF5-4121659F92F5}"/>
    <cellStyle name="Warning Text 4 2" xfId="22346" xr:uid="{6DFA23CA-14D3-4424-A9E0-84CB2F118257}"/>
    <cellStyle name="Warning Text 4 2 2" xfId="22347" xr:uid="{759915B9-1E1F-48FE-A99D-44015B114288}"/>
    <cellStyle name="Warning Text 4 2 2 2" xfId="40672" xr:uid="{78158724-1931-4500-946E-7D44E9CAC41C}"/>
    <cellStyle name="Warning Text 4 2 3" xfId="40671" xr:uid="{CFD415C1-54EC-4836-BA66-E458F993A59C}"/>
    <cellStyle name="Warning Text 4 3" xfId="22348" xr:uid="{61CE000C-19C8-444B-ABF5-7F3D997FBD2F}"/>
    <cellStyle name="Warning Text 4 3 2" xfId="22349" xr:uid="{A686E4E8-74E4-4066-AE4F-8EACB25BA9C0}"/>
    <cellStyle name="Warning Text 4 3 2 2" xfId="40674" xr:uid="{CBB6F04E-A889-4893-86C8-40B7A6090D92}"/>
    <cellStyle name="Warning Text 4 3 3" xfId="40673" xr:uid="{AC8EE85D-9889-4ECC-8DCC-F06D78DEAEF1}"/>
    <cellStyle name="Warning Text 4 4" xfId="22350" xr:uid="{4B6E2B86-FD7C-4BBE-B24F-6285D9941A66}"/>
    <cellStyle name="Warning Text 4 4 2" xfId="22351" xr:uid="{8EA91D6E-2E58-4927-8CE6-3A153D49E0DA}"/>
    <cellStyle name="Warning Text 4 4 2 2" xfId="40676" xr:uid="{FD62E483-E43F-46AA-9230-B6454C1BCD8E}"/>
    <cellStyle name="Warning Text 4 4 3" xfId="40675" xr:uid="{4F4990D1-157E-4EE6-A203-287131E14334}"/>
    <cellStyle name="Warning Text 4 5" xfId="22352" xr:uid="{31C99CA6-D464-4EE7-BC42-D0821EAE9381}"/>
    <cellStyle name="Warning Text 4 5 2" xfId="22353" xr:uid="{E67C3178-12FC-4388-9869-B12B249C9F94}"/>
    <cellStyle name="Warning Text 4 5 2 2" xfId="40678" xr:uid="{9D09C9C1-4592-4418-BDF3-FAC60F67942C}"/>
    <cellStyle name="Warning Text 4 5 3" xfId="40677" xr:uid="{DC4320B2-9AD4-42AC-A66B-2E011F1EEF25}"/>
    <cellStyle name="Warning Text 4 6" xfId="22354" xr:uid="{73EB8D08-CFB2-4257-82E7-73A8A31A9303}"/>
    <cellStyle name="Warning Text 4 6 2" xfId="40679" xr:uid="{A6AE16F8-B8AD-404F-BD03-ED505B3386A1}"/>
    <cellStyle name="Warning Text 4 7" xfId="40670" xr:uid="{ADBB3BBB-DC6F-4861-9A5A-9E5E399A83CA}"/>
    <cellStyle name="Zelle überprüfen" xfId="3948" xr:uid="{60E58058-E642-4576-A827-792F987F3659}"/>
    <cellStyle name="Zelle überprüfen 10" xfId="22355" xr:uid="{50C94837-74DC-4F9C-9D53-DAC039E0FEDE}"/>
    <cellStyle name="Zelle überprüfen 10 2" xfId="40680" xr:uid="{8AEA2283-41A5-484F-AC9A-98B9F95BFA56}"/>
    <cellStyle name="Zelle überprüfen 11" xfId="22356" xr:uid="{CC519A97-B58A-443D-893C-95C23F37F120}"/>
    <cellStyle name="Zelle überprüfen 11 2" xfId="40681" xr:uid="{CA9C6993-E9FC-4CF9-8F9F-5DADB3D8AC3A}"/>
    <cellStyle name="Zelle überprüfen 2" xfId="4261" xr:uid="{216E1E69-50B5-42CC-8346-53B97D2CBDEA}"/>
    <cellStyle name="Zelle überprüfen 2 2" xfId="7953" xr:uid="{4E032E97-47B2-4F02-B91D-D21726638187}"/>
    <cellStyle name="Zelle überprüfen 2 2 2" xfId="22357" xr:uid="{28E58A36-F5EE-4DC8-AEB0-59D84DE18CB2}"/>
    <cellStyle name="Zelle überprüfen 2 2 2 2" xfId="40682" xr:uid="{0AA73750-0361-410A-A18E-61F517637107}"/>
    <cellStyle name="Zelle überprüfen 2 2 3" xfId="22358" xr:uid="{22C16A82-E655-4CAC-8625-DC78B27222CB}"/>
    <cellStyle name="Zelle überprüfen 2 2 3 2" xfId="40683" xr:uid="{1C457BC9-BDEE-4E8F-BEDA-7BA6637FE11F}"/>
    <cellStyle name="Zelle überprüfen 2 2 4" xfId="22359" xr:uid="{B0777794-C5DE-4DFD-A558-1634D33B52BC}"/>
    <cellStyle name="Zelle überprüfen 2 2 4 2" xfId="40684" xr:uid="{1742F303-ACDE-4352-93D7-8AA9E7B3FD1B}"/>
    <cellStyle name="Zelle überprüfen 2 3" xfId="22360" xr:uid="{41302B42-00B4-405C-BC79-60DEE7549C36}"/>
    <cellStyle name="Zelle überprüfen 2 3 2" xfId="22361" xr:uid="{2468EEE3-5278-49EE-ADB6-F6992CB1CFFA}"/>
    <cellStyle name="Zelle überprüfen 2 3 2 2" xfId="40685" xr:uid="{7B4DFE9A-280B-403D-AB01-D29BCEA00145}"/>
    <cellStyle name="Zelle überprüfen 2 3 3" xfId="22362" xr:uid="{EC5266D2-6958-4B9F-98AA-925AA81725C4}"/>
    <cellStyle name="Zelle überprüfen 2 3 3 2" xfId="40686" xr:uid="{52BBC2EA-C283-4CE6-9DCA-47EB90972202}"/>
    <cellStyle name="Zelle überprüfen 2 4" xfId="22363" xr:uid="{7D38FE67-0675-41E0-857C-9C6A7E49A7CB}"/>
    <cellStyle name="Zelle überprüfen 2 4 2" xfId="22364" xr:uid="{3C0EACE1-0E4C-4A8A-BB85-E34552557654}"/>
    <cellStyle name="Zelle überprüfen 2 4 2 2" xfId="40688" xr:uid="{C54D7C9F-C2CA-45B3-ABE7-0A82A11BF031}"/>
    <cellStyle name="Zelle überprüfen 2 4 3" xfId="40687" xr:uid="{50126601-7D22-4C7B-98BC-85C3399B494A}"/>
    <cellStyle name="Zelle überprüfen 2 5" xfId="22365" xr:uid="{942093FB-E84A-457A-85EE-A1BD703E3789}"/>
    <cellStyle name="Zelle überprüfen 2 5 2" xfId="22366" xr:uid="{237DB592-DE43-41E1-949B-22B714CE5980}"/>
    <cellStyle name="Zelle überprüfen 2 5 2 2" xfId="40690" xr:uid="{DF0D9891-027A-47A5-9877-57A0BC0FC3C9}"/>
    <cellStyle name="Zelle überprüfen 2 5 3" xfId="40689" xr:uid="{5F54ED4E-4EB2-43B9-8EA6-BE4D4FE936A6}"/>
    <cellStyle name="Zelle überprüfen 2 6" xfId="22367" xr:uid="{6919516A-1CB2-4EDF-82D5-5D945B27B2BE}"/>
    <cellStyle name="Zelle überprüfen 2 6 2" xfId="40691" xr:uid="{88AB1519-ACBE-436B-A08D-0C12BAED3FD1}"/>
    <cellStyle name="Zelle überprüfen 2 7" xfId="22368" xr:uid="{0B8514ED-E7C7-4A1B-B69E-C80FBA76E530}"/>
    <cellStyle name="Zelle überprüfen 2 7 2" xfId="40692" xr:uid="{71E6C544-4240-4A39-9EDD-DC991E691AA1}"/>
    <cellStyle name="Zelle überprüfen 3" xfId="7952" xr:uid="{630C1ED2-113A-4411-907D-1F4B3A9F8C6F}"/>
    <cellStyle name="Zelle überprüfen 3 2" xfId="22369" xr:uid="{DA204E41-64E3-4650-878F-6C16032DBF64}"/>
    <cellStyle name="Zelle überprüfen 3 2 2" xfId="22370" xr:uid="{0CB7688D-0C62-46EE-A873-45523556C7C9}"/>
    <cellStyle name="Zelle überprüfen 3 2 2 2" xfId="40693" xr:uid="{85AA4CDF-9DC1-4C62-BB0E-5DD1BE1B0FE7}"/>
    <cellStyle name="Zelle überprüfen 3 3" xfId="22371" xr:uid="{55C52976-2B43-4060-BB76-34AF43185B77}"/>
    <cellStyle name="Zelle überprüfen 3 3 2" xfId="40694" xr:uid="{58915BA3-E581-4858-B3A2-6F44FF2BABFB}"/>
    <cellStyle name="Zelle überprüfen 3 4" xfId="22372" xr:uid="{ADDEFA01-C911-47E0-A918-49113AC2FFE1}"/>
    <cellStyle name="Zelle überprüfen 3 4 2" xfId="40695" xr:uid="{87BABB7F-40C3-424B-84D7-72110A4C01D7}"/>
    <cellStyle name="Zelle überprüfen 4" xfId="22373" xr:uid="{2E371A3E-6A11-4E3D-80DA-5AE06EB2C1E7}"/>
    <cellStyle name="Zelle überprüfen 4 2" xfId="22374" xr:uid="{2C80FFBC-D812-4537-837C-4C448911158E}"/>
    <cellStyle name="Zelle überprüfen 4 2 2" xfId="40697" xr:uid="{6D558CB6-F17F-4083-A6D3-D7DCAAEA59CF}"/>
    <cellStyle name="Zelle überprüfen 4 3" xfId="40696" xr:uid="{87CDF121-6CE1-423D-BDD5-F1D389F58C54}"/>
    <cellStyle name="Zelle überprüfen 5" xfId="22375" xr:uid="{4C9DAAC1-3BFD-4D44-877B-D57E1A66410B}"/>
    <cellStyle name="Zelle überprüfen 5 2" xfId="22376" xr:uid="{1F724E73-28FA-41B7-8D72-30BAD50E4D57}"/>
    <cellStyle name="Zelle überprüfen 5 2 2" xfId="40699" xr:uid="{A6CD298E-216E-4875-8673-950DB2C941DB}"/>
    <cellStyle name="Zelle überprüfen 5 3" xfId="40698" xr:uid="{75A0E2A6-0964-4DB2-AB9D-B8EDB8BCC31A}"/>
    <cellStyle name="Zelle überprüfen 6" xfId="22377" xr:uid="{0AFAFB6F-3EFC-46C7-BF42-388DE43FCE3A}"/>
    <cellStyle name="Zelle überprüfen 6 2" xfId="22378" xr:uid="{A36C1792-DC4E-4E17-BE21-FCFD458B66A1}"/>
    <cellStyle name="Zelle überprüfen 6 2 2" xfId="40701" xr:uid="{D57D63F4-9B2B-4F10-85CA-105DB5221E9B}"/>
    <cellStyle name="Zelle überprüfen 6 3" xfId="40700" xr:uid="{552D57EA-AC1E-4B38-AAEE-D1D0486492CA}"/>
    <cellStyle name="Zelle überprüfen 7" xfId="22379" xr:uid="{A8BC723B-44EA-4CD7-9AD4-C15F7B9BB636}"/>
    <cellStyle name="Zelle überprüfen 7 2" xfId="22380" xr:uid="{68975594-DDB5-4F2C-873F-4992AC03451F}"/>
    <cellStyle name="Zelle überprüfen 7 2 2" xfId="40703" xr:uid="{A7F92ADF-17A8-43C8-B945-1FD35C38F4B7}"/>
    <cellStyle name="Zelle überprüfen 7 3" xfId="40702" xr:uid="{51FBE232-93C4-463C-8D28-4EB43A45DC50}"/>
    <cellStyle name="Zelle überprüfen 8" xfId="22381" xr:uid="{B8D7BDAB-1921-4482-BE2C-7820FBA3A859}"/>
    <cellStyle name="Zelle überprüfen 8 2" xfId="22382" xr:uid="{3C614AD5-605B-4C92-B3C4-776CE8C854A3}"/>
    <cellStyle name="Zelle überprüfen 8 2 2" xfId="40705" xr:uid="{B7A6FB8C-93C8-40B3-8B2C-CA6EF92BFE33}"/>
    <cellStyle name="Zelle überprüfen 8 3" xfId="40704" xr:uid="{1E2E30AC-3D50-4BFE-86BE-0405AB203506}"/>
    <cellStyle name="Zelle überprüfen 9" xfId="22383" xr:uid="{2B915BAB-A94A-402D-80D4-EF39547F743B}"/>
    <cellStyle name="Zelle überprüfen 9 2" xfId="40706" xr:uid="{6A21FB2F-6937-4434-A187-6B647FCB8C71}"/>
    <cellStyle name="Обычный_CRF2002 (1)" xfId="25757" xr:uid="{13DFA2CA-C231-4D57-8EA5-0441197CD76C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M:/Vangelis/PROJECTS/SURE/Results/sps1_cli.xlsx" TargetMode="External"/><Relationship Id="rId1" Type="http://schemas.openxmlformats.org/officeDocument/2006/relationships/externalLinkPath" Target="file:///M:/Vangelis/PROJECTS/SURE/Results/sps1_cl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9.7927402459068743E-5</v>
          </cell>
          <cell r="G4">
            <v>1.1115690366061998E-4</v>
          </cell>
          <cell r="H4">
            <v>1.1460219320776493E-4</v>
          </cell>
          <cell r="I4">
            <v>0.89321167969853132</v>
          </cell>
          <cell r="J4">
            <v>2.2089759129123667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9.7927402459068743E-5</v>
          </cell>
          <cell r="G5">
            <v>1.1115690366061998E-4</v>
          </cell>
          <cell r="H5">
            <v>1.1460219320776493E-4</v>
          </cell>
          <cell r="I5">
            <v>0.89321167969853132</v>
          </cell>
          <cell r="J5">
            <v>2.2089759129123667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1.2168653840548401E-5</v>
          </cell>
          <cell r="G6">
            <v>3.7022444495946401E-8</v>
          </cell>
          <cell r="I6">
            <v>9.0209610713468502E-2</v>
          </cell>
          <cell r="J6">
            <v>0.16573439134089099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1.2168653840548401E-5</v>
          </cell>
          <cell r="G7">
            <v>1.22056762850444E-5</v>
          </cell>
          <cell r="H7">
            <v>1.22056762850444E-5</v>
          </cell>
          <cell r="I7">
            <v>9.0247637202219705E-2</v>
          </cell>
          <cell r="J7">
            <v>0.25598202854311097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3.2682025955248437</v>
          </cell>
          <cell r="F8">
            <v>3.8319808104918933</v>
          </cell>
          <cell r="G8">
            <v>3.7298848598098018</v>
          </cell>
          <cell r="H8">
            <v>3.8822834252648164</v>
          </cell>
          <cell r="I8">
            <v>4.0183109412713289</v>
          </cell>
          <cell r="J8">
            <v>4.259498612571635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3.2682025955248437</v>
          </cell>
          <cell r="F9">
            <v>3.8319808104918933</v>
          </cell>
          <cell r="G9">
            <v>3.7298848598098018</v>
          </cell>
          <cell r="H9">
            <v>3.8822834252648164</v>
          </cell>
          <cell r="I9">
            <v>4.0183109412713289</v>
          </cell>
          <cell r="J9">
            <v>4.259498612571635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0.66996026644738682</v>
          </cell>
          <cell r="F10">
            <v>7.7717200975104664E-2</v>
          </cell>
          <cell r="G10">
            <v>4.9432759402300894E-2</v>
          </cell>
          <cell r="H10">
            <v>0.11041803947898006</v>
          </cell>
          <cell r="I10">
            <v>1.3664430018864859E-2</v>
          </cell>
          <cell r="J10">
            <v>0.16419328724621396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2.085011001407342</v>
          </cell>
          <cell r="F11">
            <v>0.22648253152292336</v>
          </cell>
          <cell r="G11">
            <v>0.12937828424155898</v>
          </cell>
          <cell r="H11">
            <v>0.23434845216027739</v>
          </cell>
          <cell r="I11">
            <v>1.5476444079463383E-2</v>
          </cell>
          <cell r="J11">
            <v>0.18147679116686852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107.965597622492</v>
          </cell>
          <cell r="F12">
            <v>12.452414911373801</v>
          </cell>
          <cell r="G12">
            <v>7.9272916120727901</v>
          </cell>
          <cell r="H12">
            <v>17.298958134487101</v>
          </cell>
          <cell r="I12">
            <v>2.17634277420674</v>
          </cell>
          <cell r="J12">
            <v>25.796979717110698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1.9142836457888599</v>
          </cell>
          <cell r="F13">
            <v>0.22078749842861367</v>
          </cell>
          <cell r="G13">
            <v>0.14055481581689364</v>
          </cell>
          <cell r="H13">
            <v>0.30671911585970041</v>
          </cell>
          <cell r="I13">
            <v>3.8587637840544982E-2</v>
          </cell>
          <cell r="J13">
            <v>0.45739325739557896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1.20038785464135E-8</v>
          </cell>
          <cell r="G14">
            <v>2.9161908575665101E-8</v>
          </cell>
          <cell r="H14">
            <v>1.9651641184816899E-3</v>
          </cell>
          <cell r="I14">
            <v>1.48201583228739E-8</v>
          </cell>
          <cell r="J14">
            <v>2.0403318706874101E-2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2.49932841526459E-2</v>
          </cell>
          <cell r="F15">
            <v>1.8485025150375346E-2</v>
          </cell>
          <cell r="G15">
            <v>1.1757569420173322E-2</v>
          </cell>
          <cell r="H15">
            <v>5.5343250238429099E-3</v>
          </cell>
          <cell r="I15">
            <v>3.2499280697565695E-3</v>
          </cell>
          <cell r="J15">
            <v>2.1938122841349088E-2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6.7990978997299063</v>
          </cell>
          <cell r="F16">
            <v>2.0507422698868927E-5</v>
          </cell>
          <cell r="G16">
            <v>0.20645181140708707</v>
          </cell>
          <cell r="H16">
            <v>0.16917670597533865</v>
          </cell>
          <cell r="I16">
            <v>0.25566310540283155</v>
          </cell>
          <cell r="J16">
            <v>0.18164873018742983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6.7990978997299063</v>
          </cell>
          <cell r="F17">
            <v>2.0507422698868927E-5</v>
          </cell>
          <cell r="G17">
            <v>0.20645181140708707</v>
          </cell>
          <cell r="H17">
            <v>0.16917670597533865</v>
          </cell>
          <cell r="I17">
            <v>0.25566310540283155</v>
          </cell>
          <cell r="J17">
            <v>0.18164873018742983</v>
          </cell>
        </row>
        <row r="18">
          <cell r="B18" t="str">
            <v>G-INTC-IMP00-IT</v>
          </cell>
          <cell r="C18" t="str">
            <v>VAR_cap</v>
          </cell>
          <cell r="D18" t="str">
            <v>-</v>
          </cell>
          <cell r="E18">
            <v>1.5</v>
          </cell>
          <cell r="F18">
            <v>1.5</v>
          </cell>
          <cell r="G18">
            <v>1.5</v>
          </cell>
          <cell r="H18">
            <v>1.5</v>
          </cell>
          <cell r="I18">
            <v>1.5</v>
          </cell>
          <cell r="J18">
            <v>1.5</v>
          </cell>
        </row>
        <row r="19">
          <cell r="B19" t="str">
            <v>SCOM-EBAT</v>
          </cell>
          <cell r="C19" t="str">
            <v>VAR_fout</v>
          </cell>
          <cell r="D19" t="str">
            <v>AUX_SCOM-EBAT_OUT</v>
          </cell>
          <cell r="E19">
            <v>2.2448451377422367E-5</v>
          </cell>
          <cell r="F19">
            <v>2.2351283701111709E-5</v>
          </cell>
          <cell r="G19">
            <v>3.3403499248833374E-5</v>
          </cell>
          <cell r="H19">
            <v>8.1210228529483264E-5</v>
          </cell>
          <cell r="I19">
            <v>1.3156082097517504E-4</v>
          </cell>
          <cell r="J19">
            <v>8.5950964252699119E-5</v>
          </cell>
        </row>
        <row r="20">
          <cell r="B20" t="str">
            <v>SCOM-EBAT</v>
          </cell>
          <cell r="C20" t="str">
            <v>VAR_fout</v>
          </cell>
          <cell r="D20" t="str">
            <v>SCOM_ELC</v>
          </cell>
          <cell r="E20">
            <v>2.2448451377422343E-5</v>
          </cell>
          <cell r="F20">
            <v>2.2351283701111696E-5</v>
          </cell>
          <cell r="G20">
            <v>3.3403499248833347E-5</v>
          </cell>
          <cell r="H20">
            <v>8.1210228529483142E-5</v>
          </cell>
          <cell r="I20">
            <v>1.3156082097517493E-4</v>
          </cell>
          <cell r="J20">
            <v>8.5950964252699024E-5</v>
          </cell>
        </row>
        <row r="21">
          <cell r="B21" t="str">
            <v>SCOM-EBAT</v>
          </cell>
          <cell r="C21" t="str">
            <v>VAR_fin</v>
          </cell>
          <cell r="D21" t="str">
            <v>AUX_SCOM-EBAT_IN</v>
          </cell>
          <cell r="E21">
            <v>2.4943546242377721E-5</v>
          </cell>
          <cell r="F21">
            <v>2.4828865099931026E-5</v>
          </cell>
          <cell r="G21">
            <v>3.6972963829639741E-5</v>
          </cell>
          <cell r="H21">
            <v>8.9841227833092503E-5</v>
          </cell>
          <cell r="I21">
            <v>1.4551561804100044E-4</v>
          </cell>
          <cell r="J21">
            <v>9.5061953049976072E-5</v>
          </cell>
        </row>
        <row r="22">
          <cell r="B22" t="str">
            <v>SCOM-EBAT</v>
          </cell>
          <cell r="C22" t="str">
            <v>VAR_fin</v>
          </cell>
          <cell r="D22" t="str">
            <v>SCOM_ELC</v>
          </cell>
          <cell r="E22">
            <v>2.4943546242377721E-5</v>
          </cell>
          <cell r="F22">
            <v>2.4828865099931026E-5</v>
          </cell>
          <cell r="G22">
            <v>3.6972963829639741E-5</v>
          </cell>
          <cell r="H22">
            <v>8.9841227833092503E-5</v>
          </cell>
          <cell r="I22">
            <v>1.4551561804100044E-4</v>
          </cell>
          <cell r="J22">
            <v>9.5061953049976072E-5</v>
          </cell>
        </row>
        <row r="23">
          <cell r="B23" t="str">
            <v>SCOM-EBAT</v>
          </cell>
          <cell r="C23" t="str">
            <v>VAR_ncap</v>
          </cell>
          <cell r="D23" t="str">
            <v>-</v>
          </cell>
          <cell r="E23">
            <v>6.7632542294735998E-6</v>
          </cell>
          <cell r="F23">
            <v>1.4604951405904999E-8</v>
          </cell>
          <cell r="G23">
            <v>4.4922285192963596E-6</v>
          </cell>
          <cell r="H23">
            <v>2.3823048889551399E-5</v>
          </cell>
          <cell r="I23">
            <v>7.9572802771089E-6</v>
          </cell>
          <cell r="J23">
            <v>2.3896067023067498E-5</v>
          </cell>
        </row>
        <row r="24">
          <cell r="B24" t="str">
            <v>SCOM-EBAT</v>
          </cell>
          <cell r="C24" t="str">
            <v>VAR_cap</v>
          </cell>
          <cell r="D24" t="str">
            <v>-</v>
          </cell>
          <cell r="E24">
            <v>9.1657699471580097E-6</v>
          </cell>
          <cell r="F24">
            <v>9.1803748985639211E-6</v>
          </cell>
          <cell r="G24">
            <v>1.367260341786031E-5</v>
          </cell>
          <cell r="H24">
            <v>3.3276598450181898E-5</v>
          </cell>
          <cell r="I24">
            <v>5.3898050832079924E-5</v>
          </cell>
          <cell r="J24">
            <v>3.5206183215382761E-5</v>
          </cell>
        </row>
        <row r="25">
          <cell r="B25" t="str">
            <v>SCOM-SWHSTG-CHPNGA</v>
          </cell>
          <cell r="C25" t="str">
            <v>VAR_fout</v>
          </cell>
          <cell r="D25" t="str">
            <v>SCOM_LTH_CHPNGA</v>
          </cell>
          <cell r="G25">
            <v>6.4837514880284894E-3</v>
          </cell>
          <cell r="H25">
            <v>3.6243617079297985E-3</v>
          </cell>
          <cell r="I25">
            <v>1.0759806193719914E-2</v>
          </cell>
          <cell r="J25">
            <v>1.5046354263430485E-4</v>
          </cell>
        </row>
        <row r="26">
          <cell r="B26" t="str">
            <v>SCOM-SWHSTG-CHPNGA</v>
          </cell>
          <cell r="C26" t="str">
            <v>VAR_fout</v>
          </cell>
          <cell r="D26" t="str">
            <v>AUX_SCOM-CHPNGA_OUT</v>
          </cell>
          <cell r="G26">
            <v>6.4754813968447749E-3</v>
          </cell>
          <cell r="H26">
            <v>3.624361707929802E-3</v>
          </cell>
          <cell r="I26">
            <v>1.0759806193719926E-2</v>
          </cell>
          <cell r="J26">
            <v>1.5046354263430488E-4</v>
          </cell>
        </row>
        <row r="27">
          <cell r="B27" t="str">
            <v>SCOM-SWHSTG-CHPNGA</v>
          </cell>
          <cell r="C27" t="str">
            <v>VAR_fin</v>
          </cell>
          <cell r="D27" t="str">
            <v>SCOM_LTH_CHPNGA</v>
          </cell>
          <cell r="G27">
            <v>7.7186450367444969E-3</v>
          </cell>
          <cell r="H27">
            <v>4.1659329976207176E-3</v>
          </cell>
          <cell r="I27">
            <v>1.1569684079268902E-2</v>
          </cell>
          <cell r="J27">
            <v>1.5198337639829132E-4</v>
          </cell>
        </row>
        <row r="28">
          <cell r="B28" t="str">
            <v>SCOM-SWHSTG-CHPNGA</v>
          </cell>
          <cell r="C28" t="str">
            <v>VAR_fin</v>
          </cell>
          <cell r="D28" t="str">
            <v>AUX_SCOM-CHPNGA_IN</v>
          </cell>
          <cell r="G28">
            <v>7.7186450367444969E-3</v>
          </cell>
          <cell r="H28">
            <v>4.1659329976207176E-3</v>
          </cell>
          <cell r="I28">
            <v>1.1569684079268902E-2</v>
          </cell>
          <cell r="J28">
            <v>1.5198337639829132E-4</v>
          </cell>
        </row>
        <row r="29">
          <cell r="B29" t="str">
            <v>SCOM-SWHSTG-CHPNGA</v>
          </cell>
          <cell r="C29" t="str">
            <v>VAR_ncap</v>
          </cell>
          <cell r="D29" t="str">
            <v>-</v>
          </cell>
          <cell r="E29">
            <v>4.5202514439142603E-5</v>
          </cell>
          <cell r="F29">
            <v>5.7521554553820396E-7</v>
          </cell>
          <cell r="G29">
            <v>1.5469569184868E-3</v>
          </cell>
          <cell r="H29">
            <v>1.41067499417635E-5</v>
          </cell>
          <cell r="I29">
            <v>5.7916020176668705E-7</v>
          </cell>
          <cell r="J29">
            <v>1.66929492136301E-7</v>
          </cell>
        </row>
        <row r="30">
          <cell r="B30" t="str">
            <v>SCOM-SWHSTG-CHPNGA</v>
          </cell>
          <cell r="C30" t="str">
            <v>VAR_cap</v>
          </cell>
          <cell r="D30" t="str">
            <v>-</v>
          </cell>
          <cell r="E30">
            <v>4.5202514439142603E-5</v>
          </cell>
          <cell r="F30">
            <v>4.5717890981549596E-5</v>
          </cell>
          <cell r="G30">
            <v>1.5925303123727281E-3</v>
          </cell>
          <cell r="H30">
            <v>1.6062937132132781E-3</v>
          </cell>
          <cell r="I30">
            <v>3.2756581087433115E-3</v>
          </cell>
          <cell r="J30">
            <v>4.7035596063730017E-5</v>
          </cell>
        </row>
        <row r="31">
          <cell r="B31" t="str">
            <v>D-EH2</v>
          </cell>
          <cell r="C31" t="str">
            <v>VAR_fout</v>
          </cell>
          <cell r="D31" t="str">
            <v>EH2</v>
          </cell>
          <cell r="I31">
            <v>2.0201240221470423E-5</v>
          </cell>
          <cell r="J31">
            <v>0.1135343487566533</v>
          </cell>
        </row>
        <row r="32">
          <cell r="B32" t="str">
            <v>D-EH2</v>
          </cell>
          <cell r="C32" t="str">
            <v>VAR_fin</v>
          </cell>
          <cell r="D32" t="str">
            <v>H2</v>
          </cell>
          <cell r="I32">
            <v>2.0405293153000456E-5</v>
          </cell>
          <cell r="J32">
            <v>0.11468116036025582</v>
          </cell>
        </row>
        <row r="33">
          <cell r="B33" t="str">
            <v>D-EH2</v>
          </cell>
          <cell r="C33" t="str">
            <v>VAR_ncap</v>
          </cell>
          <cell r="D33" t="str">
            <v>-</v>
          </cell>
          <cell r="H33">
            <v>1.1297089155883901E-8</v>
          </cell>
          <cell r="I33">
            <v>8.6730400689891997E-6</v>
          </cell>
          <cell r="J33">
            <v>8.8668164235984406E-3</v>
          </cell>
        </row>
        <row r="34">
          <cell r="B34" t="str">
            <v>D-EH2</v>
          </cell>
          <cell r="C34" t="str">
            <v>VAR_cap</v>
          </cell>
          <cell r="D34" t="str">
            <v>-</v>
          </cell>
          <cell r="H34">
            <v>1.1297089155883901E-8</v>
          </cell>
          <cell r="I34">
            <v>8.7188581528845195E-6</v>
          </cell>
          <cell r="J34">
            <v>8.8755352817513292E-3</v>
          </cell>
        </row>
        <row r="35">
          <cell r="B35" t="str">
            <v>ITOT-EBAT</v>
          </cell>
          <cell r="C35" t="str">
            <v>VAR_fout</v>
          </cell>
          <cell r="D35" t="str">
            <v>AUX_ITOT-EBAT_OUT</v>
          </cell>
          <cell r="E35">
            <v>2.2358256730935419E-5</v>
          </cell>
          <cell r="F35">
            <v>2.2260367481352006E-5</v>
          </cell>
          <cell r="G35">
            <v>3.3290310380604893E-5</v>
          </cell>
          <cell r="H35">
            <v>8.1290350532223381E-5</v>
          </cell>
          <cell r="I35">
            <v>1.4990380814111238E-4</v>
          </cell>
          <cell r="J35">
            <v>1.0949446805113612E-4</v>
          </cell>
        </row>
        <row r="36">
          <cell r="B36" t="str">
            <v>ITOT-EBAT</v>
          </cell>
          <cell r="C36" t="str">
            <v>VAR_fout</v>
          </cell>
          <cell r="D36" t="str">
            <v>ITOT_ELC</v>
          </cell>
          <cell r="E36">
            <v>2.2358256730935395E-5</v>
          </cell>
          <cell r="F36">
            <v>2.2260367481351982E-5</v>
          </cell>
          <cell r="G36">
            <v>3.3290310380604866E-5</v>
          </cell>
          <cell r="H36">
            <v>8.1290350532223286E-5</v>
          </cell>
          <cell r="I36">
            <v>1.4990380814111225E-4</v>
          </cell>
          <cell r="J36">
            <v>1.0949446805113599E-4</v>
          </cell>
        </row>
        <row r="37">
          <cell r="B37" t="str">
            <v>ITOT-EBAT</v>
          </cell>
          <cell r="C37" t="str">
            <v>VAR_fin</v>
          </cell>
          <cell r="D37" t="str">
            <v>ITOT_ELC</v>
          </cell>
          <cell r="E37">
            <v>2.4843803158007023E-5</v>
          </cell>
          <cell r="F37">
            <v>2.4729250569729424E-5</v>
          </cell>
          <cell r="G37">
            <v>3.6830578928856688E-5</v>
          </cell>
          <cell r="H37">
            <v>8.9929729475121285E-5</v>
          </cell>
          <cell r="I37">
            <v>1.6580048180792845E-4</v>
          </cell>
          <cell r="J37">
            <v>1.2109542603852513E-4</v>
          </cell>
        </row>
        <row r="38">
          <cell r="B38" t="str">
            <v>ITOT-EBAT</v>
          </cell>
          <cell r="C38" t="str">
            <v>VAR_fin</v>
          </cell>
          <cell r="D38" t="str">
            <v>AUX_ITOT-EBAT_IN</v>
          </cell>
          <cell r="E38">
            <v>2.4843803158007023E-5</v>
          </cell>
          <cell r="F38">
            <v>2.4729250569729424E-5</v>
          </cell>
          <cell r="G38">
            <v>3.6830578928856688E-5</v>
          </cell>
          <cell r="H38">
            <v>8.9929729475121285E-5</v>
          </cell>
          <cell r="I38">
            <v>1.6580048180792845E-4</v>
          </cell>
          <cell r="J38">
            <v>1.2109542603852513E-4</v>
          </cell>
        </row>
        <row r="39">
          <cell r="B39" t="str">
            <v>ITOT-EBAT</v>
          </cell>
          <cell r="C39" t="str">
            <v>VAR_ncap</v>
          </cell>
          <cell r="D39" t="str">
            <v>-</v>
          </cell>
          <cell r="E39">
            <v>6.9854691930965302E-6</v>
          </cell>
          <cell r="F39">
            <v>1.45790480159196E-8</v>
          </cell>
          <cell r="G39">
            <v>4.4760736278306898E-6</v>
          </cell>
          <cell r="H39">
            <v>2.3710340814766201E-5</v>
          </cell>
          <cell r="I39">
            <v>1.20440269104645E-5</v>
          </cell>
          <cell r="J39">
            <v>3.0884874698750101E-5</v>
          </cell>
        </row>
        <row r="40">
          <cell r="B40" t="str">
            <v>ITOT-EBAT</v>
          </cell>
          <cell r="C40" t="str">
            <v>VAR_cap</v>
          </cell>
          <cell r="D40" t="str">
            <v>-</v>
          </cell>
          <cell r="E40">
            <v>9.1291878907523902E-6</v>
          </cell>
          <cell r="F40">
            <v>9.1437669387683103E-6</v>
          </cell>
          <cell r="G40">
            <v>1.361984056659896E-5</v>
          </cell>
          <cell r="H40">
            <v>3.3310306980623401E-5</v>
          </cell>
          <cell r="I40">
            <v>6.1410816841245817E-5</v>
          </cell>
          <cell r="J40">
            <v>4.4849247404677593E-5</v>
          </cell>
        </row>
        <row r="41">
          <cell r="B41" t="str">
            <v>EWSTINCCS</v>
          </cell>
          <cell r="C41" t="str">
            <v>VAR_fout</v>
          </cell>
          <cell r="D41" t="str">
            <v>ELC35</v>
          </cell>
          <cell r="I41">
            <v>1.5858419656105578</v>
          </cell>
          <cell r="J41">
            <v>4.4441154615835252</v>
          </cell>
        </row>
        <row r="42">
          <cell r="B42" t="str">
            <v>EWSTINCCS</v>
          </cell>
          <cell r="C42" t="str">
            <v>VAR_fout</v>
          </cell>
          <cell r="D42" t="str">
            <v>CO2_O</v>
          </cell>
          <cell r="I42">
            <v>407.12861676512682</v>
          </cell>
          <cell r="J42">
            <v>1140.9248965879244</v>
          </cell>
        </row>
        <row r="43">
          <cell r="B43" t="str">
            <v>EWSTINCCS</v>
          </cell>
          <cell r="C43" t="str">
            <v>VAR_fout</v>
          </cell>
          <cell r="D43" t="str">
            <v>CO2</v>
          </cell>
          <cell r="I43">
            <v>-407.12861676512699</v>
          </cell>
          <cell r="J43">
            <v>-1140.9248965879201</v>
          </cell>
        </row>
        <row r="44">
          <cell r="B44" t="str">
            <v>EWSTINCCS</v>
          </cell>
          <cell r="C44" t="str">
            <v>VAR_fout</v>
          </cell>
          <cell r="D44" t="str">
            <v>CO2_E</v>
          </cell>
          <cell r="I44">
            <v>439.68462514971202</v>
          </cell>
          <cell r="J44">
            <v>1207.9988899950299</v>
          </cell>
        </row>
        <row r="45">
          <cell r="B45" t="str">
            <v>EWSTINCCS</v>
          </cell>
          <cell r="C45" t="str">
            <v>VAR_fin</v>
          </cell>
          <cell r="D45" t="str">
            <v>EWST</v>
          </cell>
          <cell r="I45">
            <v>4.7379808744581071</v>
          </cell>
          <cell r="J45">
            <v>13.017229418049924</v>
          </cell>
        </row>
        <row r="46">
          <cell r="B46" t="str">
            <v>EWSTINCCS</v>
          </cell>
          <cell r="C46" t="str">
            <v>VAR_ncap</v>
          </cell>
          <cell r="D46" t="str">
            <v>-</v>
          </cell>
          <cell r="I46">
            <v>5.9160846541342897E-2</v>
          </cell>
          <cell r="J46">
            <v>0.106629717286673</v>
          </cell>
        </row>
        <row r="47">
          <cell r="B47" t="str">
            <v>EWSTINCCS</v>
          </cell>
          <cell r="C47" t="str">
            <v>VAR_cap</v>
          </cell>
          <cell r="D47" t="str">
            <v>-</v>
          </cell>
          <cell r="I47">
            <v>5.9160846541342897E-2</v>
          </cell>
          <cell r="J47">
            <v>0.16579056382801599</v>
          </cell>
        </row>
        <row r="48">
          <cell r="B48" t="str">
            <v>D-RES_LTH</v>
          </cell>
          <cell r="C48" t="str">
            <v>VAR_fout</v>
          </cell>
          <cell r="D48" t="str">
            <v>RHNS_LTH_DH</v>
          </cell>
          <cell r="F48">
            <v>5.4452431674786958E-2</v>
          </cell>
          <cell r="G48">
            <v>7.2475852573072444E-2</v>
          </cell>
          <cell r="H48">
            <v>0.11672227069129953</v>
          </cell>
          <cell r="I48">
            <v>0.30274686497260678</v>
          </cell>
          <cell r="J48">
            <v>0.45465005977903472</v>
          </cell>
        </row>
        <row r="49">
          <cell r="B49" t="str">
            <v>D-RES_LTH</v>
          </cell>
          <cell r="C49" t="str">
            <v>VAR_fout</v>
          </cell>
          <cell r="D49" t="str">
            <v>RHEM_LTH_DH</v>
          </cell>
          <cell r="E49">
            <v>2.0317104497054577</v>
          </cell>
          <cell r="F49">
            <v>3.758803920195593</v>
          </cell>
          <cell r="G49">
            <v>3.4445302629688599</v>
          </cell>
          <cell r="H49">
            <v>4.1143688879703024</v>
          </cell>
          <cell r="I49">
            <v>3.4661341151390714</v>
          </cell>
          <cell r="J49">
            <v>2.9862494262670771</v>
          </cell>
        </row>
        <row r="50">
          <cell r="B50" t="str">
            <v>D-RES_LTH</v>
          </cell>
          <cell r="C50" t="str">
            <v>VAR_fout</v>
          </cell>
          <cell r="D50" t="str">
            <v>RHES_LTH_DH</v>
          </cell>
          <cell r="E50">
            <v>1.7872784362023391</v>
          </cell>
          <cell r="F50">
            <v>3.53918580296765</v>
          </cell>
          <cell r="G50">
            <v>3.5859182410632009</v>
          </cell>
          <cell r="H50">
            <v>3.3432990634520845</v>
          </cell>
          <cell r="I50">
            <v>2.7127779519420772</v>
          </cell>
          <cell r="J50">
            <v>2.4109018505851898</v>
          </cell>
        </row>
        <row r="51">
          <cell r="B51" t="str">
            <v>D-RES_LTH</v>
          </cell>
          <cell r="C51" t="str">
            <v>VAR_fout</v>
          </cell>
          <cell r="D51" t="str">
            <v>RHSA_LTH</v>
          </cell>
          <cell r="E51">
            <v>4.5210113064189494</v>
          </cell>
          <cell r="F51">
            <v>1.8955477777799188</v>
          </cell>
          <cell r="G51">
            <v>1.8955477834799455</v>
          </cell>
          <cell r="H51">
            <v>1.895547789753294</v>
          </cell>
          <cell r="I51">
            <v>1.8955478073633201</v>
          </cell>
          <cell r="J51">
            <v>1.8955482178943408</v>
          </cell>
        </row>
        <row r="52">
          <cell r="B52" t="str">
            <v>D-RES_LTH</v>
          </cell>
          <cell r="C52" t="str">
            <v>VAR_fout</v>
          </cell>
          <cell r="D52" t="str">
            <v>RHNM_LTH_DH</v>
          </cell>
          <cell r="F52">
            <v>0.35008111119988011</v>
          </cell>
          <cell r="G52">
            <v>0.38254308378153756</v>
          </cell>
          <cell r="H52">
            <v>0.44347226689890451</v>
          </cell>
          <cell r="I52">
            <v>0.59598974396547755</v>
          </cell>
          <cell r="J52">
            <v>1.5391308031588455</v>
          </cell>
        </row>
        <row r="53">
          <cell r="B53" t="str">
            <v>D-RES_LTH</v>
          </cell>
          <cell r="C53" t="str">
            <v>VAR_fin</v>
          </cell>
          <cell r="D53" t="str">
            <v>LTH</v>
          </cell>
          <cell r="E53">
            <v>9.2187282619501634</v>
          </cell>
          <cell r="F53">
            <v>10.609353327504381</v>
          </cell>
          <cell r="G53">
            <v>10.346386750280898</v>
          </cell>
          <cell r="H53">
            <v>10.893227311848005</v>
          </cell>
          <cell r="I53">
            <v>9.787856509519985</v>
          </cell>
          <cell r="J53">
            <v>10.055919722620079</v>
          </cell>
        </row>
        <row r="54">
          <cell r="B54" t="str">
            <v>D-RES_LTH</v>
          </cell>
          <cell r="C54" t="str">
            <v>VAR_ncap</v>
          </cell>
          <cell r="D54" t="str">
            <v>-</v>
          </cell>
          <cell r="E54">
            <v>0.627671746916031</v>
          </cell>
          <cell r="F54">
            <v>3.1465886654025402E-2</v>
          </cell>
          <cell r="G54">
            <v>4.9042463090370704E-3</v>
          </cell>
          <cell r="H54">
            <v>8.6974278260947106E-3</v>
          </cell>
          <cell r="I54">
            <v>1.48142438128234E-2</v>
          </cell>
          <cell r="J54">
            <v>8.3260188503465005E-2</v>
          </cell>
        </row>
        <row r="55">
          <cell r="B55" t="str">
            <v>D-RES_LTH</v>
          </cell>
          <cell r="C55" t="str">
            <v>VAR_cap</v>
          </cell>
          <cell r="D55" t="str">
            <v>-</v>
          </cell>
          <cell r="E55">
            <v>0.627671746916031</v>
          </cell>
          <cell r="F55">
            <v>0.65913763357005695</v>
          </cell>
          <cell r="G55">
            <v>0.66404187987909402</v>
          </cell>
          <cell r="H55">
            <v>0.67273930770518897</v>
          </cell>
          <cell r="I55">
            <v>0.69828301318184804</v>
          </cell>
          <cell r="J55">
            <v>0.78154320168531299</v>
          </cell>
        </row>
        <row r="56">
          <cell r="B56" t="str">
            <v>RHES-SHSTG-CHPNGA</v>
          </cell>
          <cell r="C56" t="str">
            <v>VAR_fout</v>
          </cell>
          <cell r="D56" t="str">
            <v>RHES_LTH_CHPNGA</v>
          </cell>
          <cell r="E56">
            <v>9.0490667707360969E-5</v>
          </cell>
          <cell r="G56">
            <v>3.553438395905463E-5</v>
          </cell>
          <cell r="H56">
            <v>2.2167603063382533E-5</v>
          </cell>
          <cell r="I56">
            <v>7.7404525927733309E-5</v>
          </cell>
          <cell r="J56">
            <v>1.0615020546791354E-4</v>
          </cell>
        </row>
        <row r="57">
          <cell r="B57" t="str">
            <v>RHES-SHSTG-CHPNGA</v>
          </cell>
          <cell r="C57" t="str">
            <v>VAR_fout</v>
          </cell>
          <cell r="D57" t="str">
            <v>AUX_RES_CHPNGA_OUT</v>
          </cell>
          <cell r="E57">
            <v>9.0490667707361213E-5</v>
          </cell>
          <cell r="G57">
            <v>3.5497407492916237E-5</v>
          </cell>
          <cell r="H57">
            <v>2.2167603063382533E-5</v>
          </cell>
          <cell r="I57">
            <v>7.740452592773358E-5</v>
          </cell>
          <cell r="J57">
            <v>1.0615020546791362E-4</v>
          </cell>
        </row>
        <row r="58">
          <cell r="B58" t="str">
            <v>RHES-SHSTG-CHPNGA</v>
          </cell>
          <cell r="C58" t="str">
            <v>VAR_fin</v>
          </cell>
          <cell r="D58" t="str">
            <v>RHES_LTH_CHPNGA</v>
          </cell>
          <cell r="E58">
            <v>1.2040517593415804E-4</v>
          </cell>
          <cell r="G58">
            <v>4.5807827638993157E-5</v>
          </cell>
          <cell r="H58">
            <v>2.7662066176703461E-5</v>
          </cell>
          <cell r="I58">
            <v>9.1046135163691514E-5</v>
          </cell>
          <cell r="J58">
            <v>1.1794372347428705E-4</v>
          </cell>
        </row>
        <row r="59">
          <cell r="B59" t="str">
            <v>RHES-SHSTG-CHPNGA</v>
          </cell>
          <cell r="C59" t="str">
            <v>VAR_fin</v>
          </cell>
          <cell r="D59" t="str">
            <v>AUX_RES_CHPNGA_IN</v>
          </cell>
          <cell r="E59">
            <v>1.2040517593415804E-4</v>
          </cell>
          <cell r="G59">
            <v>4.5807827638993157E-5</v>
          </cell>
          <cell r="H59">
            <v>2.7662066176703461E-5</v>
          </cell>
          <cell r="I59">
            <v>9.1046135163691514E-5</v>
          </cell>
          <cell r="J59">
            <v>1.1794372347428705E-4</v>
          </cell>
        </row>
        <row r="60">
          <cell r="B60" t="str">
            <v>RHES-SHSTG-CHPNGA</v>
          </cell>
          <cell r="C60" t="str">
            <v>VAR_ncap</v>
          </cell>
          <cell r="D60" t="str">
            <v>-</v>
          </cell>
          <cell r="E60">
            <v>4.1892661722083702E-5</v>
          </cell>
          <cell r="F60">
            <v>5.3079147754813605E-7</v>
          </cell>
          <cell r="G60">
            <v>5.1179283796453301E-7</v>
          </cell>
          <cell r="H60">
            <v>3.2794779538915602E-7</v>
          </cell>
          <cell r="I60">
            <v>3.4493960546965599E-6</v>
          </cell>
          <cell r="J60">
            <v>4.1821249602698798E-5</v>
          </cell>
        </row>
        <row r="61">
          <cell r="B61" t="str">
            <v>RHES-SHSTG-CHPNGA</v>
          </cell>
          <cell r="C61" t="str">
            <v>VAR_cap</v>
          </cell>
          <cell r="D61" t="str">
            <v>-</v>
          </cell>
          <cell r="E61">
            <v>4.1892661722083702E-5</v>
          </cell>
          <cell r="F61">
            <v>4.2349853616269931E-5</v>
          </cell>
          <cell r="G61">
            <v>4.2634875211337254E-5</v>
          </cell>
          <cell r="H61">
            <v>4.2364883833765496E-5</v>
          </cell>
          <cell r="I61">
            <v>3.99913660920886E-5</v>
          </cell>
          <cell r="J61">
            <v>5.9557833471897184E-5</v>
          </cell>
        </row>
        <row r="62">
          <cell r="B62" t="str">
            <v>RHNS-CHPWOD</v>
          </cell>
          <cell r="C62" t="str">
            <v>VAR_fout</v>
          </cell>
          <cell r="D62" t="str">
            <v>RHNS_LTH_CHPWOD</v>
          </cell>
          <cell r="H62">
            <v>4.2672843707278528E-5</v>
          </cell>
          <cell r="I62">
            <v>7.4341163823120717E-5</v>
          </cell>
          <cell r="J62">
            <v>3.3324422185936752E-5</v>
          </cell>
        </row>
        <row r="63">
          <cell r="B63" t="str">
            <v>RHNS-CHPWOD</v>
          </cell>
          <cell r="C63" t="str">
            <v>VAR_fout</v>
          </cell>
          <cell r="D63" t="str">
            <v>RHNS_KEV_WOD_ELC_CHP</v>
          </cell>
          <cell r="H63">
            <v>1.58072871355628E-5</v>
          </cell>
          <cell r="I63">
            <v>2.8725162485393142E-5</v>
          </cell>
          <cell r="J63">
            <v>1.3060599078986024E-5</v>
          </cell>
        </row>
        <row r="64">
          <cell r="B64" t="str">
            <v>RHNS-CHPWOD</v>
          </cell>
          <cell r="C64" t="str">
            <v>VAR_fin</v>
          </cell>
          <cell r="D64" t="str">
            <v>RWOD</v>
          </cell>
          <cell r="H64">
            <v>7.1476484494593375E-5</v>
          </cell>
          <cell r="I64">
            <v>1.2348045323292813E-4</v>
          </cell>
          <cell r="J64">
            <v>5.3471303060251296E-5</v>
          </cell>
        </row>
        <row r="65">
          <cell r="B65" t="str">
            <v>RHNS-CHPWOD</v>
          </cell>
          <cell r="C65" t="str">
            <v>VAR_ncap</v>
          </cell>
          <cell r="D65" t="str">
            <v>-</v>
          </cell>
          <cell r="H65">
            <v>1.4054239917895099E-6</v>
          </cell>
          <cell r="I65">
            <v>1.5875619283840401E-6</v>
          </cell>
          <cell r="J65">
            <v>3.8228380040734998E-8</v>
          </cell>
        </row>
        <row r="66">
          <cell r="B66" t="str">
            <v>RHNS-CHPWOD</v>
          </cell>
          <cell r="C66" t="str">
            <v>VAR_cap</v>
          </cell>
          <cell r="D66" t="str">
            <v>-</v>
          </cell>
          <cell r="H66">
            <v>1.4054239917895099E-6</v>
          </cell>
          <cell r="I66">
            <v>2.54744727403804E-6</v>
          </cell>
          <cell r="J66">
            <v>1.19037529269784E-6</v>
          </cell>
        </row>
        <row r="67">
          <cell r="B67" t="str">
            <v>D-ICOA</v>
          </cell>
          <cell r="C67" t="str">
            <v>VAR_fout</v>
          </cell>
          <cell r="D67" t="str">
            <v>ICOA</v>
          </cell>
          <cell r="E67">
            <v>3.5600000800603699</v>
          </cell>
          <cell r="F67">
            <v>3.4647164345082166</v>
          </cell>
          <cell r="G67">
            <v>5.2137436667387303E-4</v>
          </cell>
          <cell r="H67">
            <v>9.4964022489929411E-6</v>
          </cell>
          <cell r="I67">
            <v>8.7158069587001419E-6</v>
          </cell>
          <cell r="J67">
            <v>2.0932756778315616E-6</v>
          </cell>
        </row>
        <row r="68">
          <cell r="B68" t="str">
            <v>D-ICOA</v>
          </cell>
          <cell r="C68" t="str">
            <v>VAR_fout</v>
          </cell>
          <cell r="D68" t="str">
            <v>CO2</v>
          </cell>
          <cell r="E68">
            <v>330.01200742159602</v>
          </cell>
          <cell r="F68">
            <v>321.179213478912</v>
          </cell>
          <cell r="G68">
            <v>4.8331403790667998E-2</v>
          </cell>
          <cell r="H68">
            <v>8.8031648848164502E-4</v>
          </cell>
          <cell r="I68">
            <v>8.0795530507150296E-4</v>
          </cell>
          <cell r="J68">
            <v>1.94046655334986E-4</v>
          </cell>
        </row>
        <row r="69">
          <cell r="B69" t="str">
            <v>D-ICOA</v>
          </cell>
          <cell r="C69" t="str">
            <v>VAR_fin</v>
          </cell>
          <cell r="D69" t="str">
            <v>COA</v>
          </cell>
          <cell r="E69">
            <v>3.5600000800603699</v>
          </cell>
          <cell r="F69">
            <v>3.4647164345082166</v>
          </cell>
          <cell r="G69">
            <v>5.2137436667387303E-4</v>
          </cell>
          <cell r="H69">
            <v>9.4964022489929411E-6</v>
          </cell>
          <cell r="I69">
            <v>8.7158069587001419E-6</v>
          </cell>
          <cell r="J69">
            <v>2.0932756778315616E-6</v>
          </cell>
        </row>
        <row r="70">
          <cell r="B70" t="str">
            <v>RHNM-SHSTG-CHPWOD</v>
          </cell>
          <cell r="C70" t="str">
            <v>VAR_fout</v>
          </cell>
          <cell r="D70" t="str">
            <v>RHNM_LTH_CHPWOD</v>
          </cell>
          <cell r="E70">
            <v>3.7329826848801993E-6</v>
          </cell>
          <cell r="F70">
            <v>1.5897558080482479E-8</v>
          </cell>
          <cell r="G70">
            <v>3.7852985018064456E-6</v>
          </cell>
          <cell r="I70">
            <v>1.5746534950261295E-7</v>
          </cell>
          <cell r="J70">
            <v>1.9355990687756486E-6</v>
          </cell>
        </row>
        <row r="71">
          <cell r="B71" t="str">
            <v>RHNM-SHSTG-CHPWOD</v>
          </cell>
          <cell r="C71" t="str">
            <v>VAR_fout</v>
          </cell>
          <cell r="D71" t="str">
            <v>AUX_RNM-CHPWOD_OUT</v>
          </cell>
          <cell r="E71">
            <v>3.7329826848802116E-6</v>
          </cell>
          <cell r="G71">
            <v>3.781359585571481E-6</v>
          </cell>
          <cell r="J71">
            <v>1.2440721199685431E-6</v>
          </cell>
        </row>
        <row r="72">
          <cell r="B72" t="str">
            <v>RHNM-SHSTG-CHPWOD</v>
          </cell>
          <cell r="C72" t="str">
            <v>VAR_fin</v>
          </cell>
          <cell r="D72" t="str">
            <v>RHNM_LTH_CHPWOD</v>
          </cell>
          <cell r="E72">
            <v>2.9849288415004659E-6</v>
          </cell>
          <cell r="G72">
            <v>3.0506856577776913E-6</v>
          </cell>
          <cell r="I72">
            <v>3.1294887401795297E-7</v>
          </cell>
          <cell r="J72">
            <v>2.1505861144593879E-6</v>
          </cell>
        </row>
        <row r="73">
          <cell r="B73" t="str">
            <v>RHNM-SHSTG-CHPWOD</v>
          </cell>
          <cell r="C73" t="str">
            <v>VAR_fin</v>
          </cell>
          <cell r="D73" t="str">
            <v>AUX_RNM-CHPWOD_IN</v>
          </cell>
          <cell r="E73">
            <v>2.9849288415004659E-6</v>
          </cell>
          <cell r="G73">
            <v>3.0506856577776913E-6</v>
          </cell>
          <cell r="I73">
            <v>3.1294887401795297E-7</v>
          </cell>
          <cell r="J73">
            <v>2.1505861144593879E-6</v>
          </cell>
        </row>
        <row r="74">
          <cell r="B74" t="str">
            <v>RHNM-SHSTG-CHPWOD</v>
          </cell>
          <cell r="C74" t="str">
            <v>VAR_ncap</v>
          </cell>
          <cell r="D74" t="str">
            <v>-</v>
          </cell>
          <cell r="E74">
            <v>4.1811600850873101E-5</v>
          </cell>
          <cell r="F74">
            <v>9.6766013761042E-7</v>
          </cell>
          <cell r="G74">
            <v>1.47368254173329E-6</v>
          </cell>
          <cell r="H74">
            <v>1.1867901110369999E-6</v>
          </cell>
          <cell r="I74">
            <v>3.4575375171275602E-6</v>
          </cell>
          <cell r="J74">
            <v>6.9459320198409903E-6</v>
          </cell>
        </row>
        <row r="75">
          <cell r="B75" t="str">
            <v>RHNM-SHSTG-CHPWOD</v>
          </cell>
          <cell r="C75" t="str">
            <v>VAR_cap</v>
          </cell>
          <cell r="D75" t="str">
            <v>-</v>
          </cell>
          <cell r="E75">
            <v>4.1811600850873101E-5</v>
          </cell>
          <cell r="F75">
            <v>4.2661909569997862E-5</v>
          </cell>
          <cell r="G75">
            <v>4.3837002247509999E-5</v>
          </cell>
          <cell r="H75">
            <v>4.455102457082976E-5</v>
          </cell>
          <cell r="I75">
            <v>5.8890421335483667E-5</v>
          </cell>
          <cell r="J75">
            <v>3.238191852979249E-5</v>
          </cell>
        </row>
        <row r="76">
          <cell r="B76" t="str">
            <v>ENGA-CCS</v>
          </cell>
          <cell r="C76" t="str">
            <v>VAR_fout</v>
          </cell>
          <cell r="D76" t="str">
            <v>CO2_O</v>
          </cell>
          <cell r="I76">
            <v>1.8060705506545677E-2</v>
          </cell>
          <cell r="J76">
            <v>1.6150617409426336E-2</v>
          </cell>
        </row>
        <row r="77">
          <cell r="B77" t="str">
            <v>ENGA-CCS</v>
          </cell>
          <cell r="C77" t="str">
            <v>VAR_fout</v>
          </cell>
          <cell r="D77" t="str">
            <v>CO2</v>
          </cell>
          <cell r="I77">
            <v>-1.8060705506545701E-2</v>
          </cell>
          <cell r="J77">
            <v>-1.6150617409426301E-2</v>
          </cell>
        </row>
        <row r="78">
          <cell r="B78" t="str">
            <v>ENGA-CCS</v>
          </cell>
          <cell r="C78" t="str">
            <v>VAR_fout</v>
          </cell>
          <cell r="D78" t="str">
            <v>ELC13</v>
          </cell>
          <cell r="I78">
            <v>1.9609300544002302E-4</v>
          </cell>
          <cell r="J78">
            <v>1.7696309616671606E-4</v>
          </cell>
        </row>
        <row r="79">
          <cell r="B79" t="str">
            <v>ENGA-CCS</v>
          </cell>
          <cell r="C79" t="str">
            <v>VAR_fout</v>
          </cell>
          <cell r="D79" t="str">
            <v>CO2_E</v>
          </cell>
          <cell r="I79">
            <v>2.1016829068920599E-2</v>
          </cell>
          <cell r="J79">
            <v>1.83921505776257E-2</v>
          </cell>
        </row>
        <row r="80">
          <cell r="B80" t="str">
            <v>ENGA-CCS</v>
          </cell>
          <cell r="C80" t="str">
            <v>VAR_fin</v>
          </cell>
          <cell r="D80" t="str">
            <v>ENGA</v>
          </cell>
          <cell r="I80">
            <v>3.7263881327873489E-4</v>
          </cell>
          <cell r="J80">
            <v>3.2610196059620038E-4</v>
          </cell>
        </row>
        <row r="81">
          <cell r="B81" t="str">
            <v>ENGA-CCS</v>
          </cell>
          <cell r="C81" t="str">
            <v>VAR_fin</v>
          </cell>
          <cell r="D81" t="str">
            <v>GTC</v>
          </cell>
          <cell r="I81">
            <v>1.29157665563625E-5</v>
          </cell>
          <cell r="J81">
            <v>1.2955007178208559E-5</v>
          </cell>
        </row>
        <row r="82">
          <cell r="B82" t="str">
            <v>ENGA-CCS</v>
          </cell>
          <cell r="C82" t="str">
            <v>VAR_ncap</v>
          </cell>
          <cell r="D82" t="str">
            <v>-</v>
          </cell>
          <cell r="I82">
            <v>1.29157665563625E-5</v>
          </cell>
          <cell r="J82">
            <v>3.9240621846059298E-8</v>
          </cell>
        </row>
        <row r="83">
          <cell r="B83" t="str">
            <v>ENGA-CCS</v>
          </cell>
          <cell r="C83" t="str">
            <v>VAR_cap</v>
          </cell>
          <cell r="D83" t="str">
            <v>-</v>
          </cell>
          <cell r="I83">
            <v>1.29157665563625E-5</v>
          </cell>
          <cell r="J83">
            <v>1.29550071782086E-5</v>
          </cell>
        </row>
        <row r="84">
          <cell r="B84" t="str">
            <v>CHPWSTCCS</v>
          </cell>
          <cell r="C84" t="str">
            <v>VAR_fout</v>
          </cell>
          <cell r="D84" t="str">
            <v>ELC35</v>
          </cell>
          <cell r="I84">
            <v>0.26527008964361987</v>
          </cell>
          <cell r="J84">
            <v>0.71175150306500123</v>
          </cell>
        </row>
        <row r="85">
          <cell r="B85" t="str">
            <v>CHPWSTCCS</v>
          </cell>
          <cell r="C85" t="str">
            <v>VAR_fout</v>
          </cell>
          <cell r="D85" t="str">
            <v>CO2_O</v>
          </cell>
          <cell r="I85">
            <v>454.14371864170482</v>
          </cell>
          <cell r="J85">
            <v>1088.6107433545292</v>
          </cell>
        </row>
        <row r="86">
          <cell r="B86" t="str">
            <v>CHPWSTCCS</v>
          </cell>
          <cell r="C86" t="str">
            <v>VAR_fout</v>
          </cell>
          <cell r="D86" t="str">
            <v>CO2</v>
          </cell>
          <cell r="I86">
            <v>-454.14371864170602</v>
          </cell>
          <cell r="J86">
            <v>-1088.6107433545301</v>
          </cell>
        </row>
        <row r="87">
          <cell r="B87" t="str">
            <v>CHPWSTCCS</v>
          </cell>
          <cell r="C87" t="str">
            <v>VAR_fout</v>
          </cell>
          <cell r="D87" t="str">
            <v>LTH</v>
          </cell>
          <cell r="I87">
            <v>2.4889415974638518</v>
          </cell>
          <cell r="J87">
            <v>6.3061183171559083</v>
          </cell>
        </row>
        <row r="88">
          <cell r="B88" t="str">
            <v>CHPWSTCCS</v>
          </cell>
          <cell r="C88" t="str">
            <v>VAR_fout</v>
          </cell>
          <cell r="D88" t="str">
            <v>CO2_E</v>
          </cell>
          <cell r="I88">
            <v>510.27384117045602</v>
          </cell>
          <cell r="J88">
            <v>1223.1581386005901</v>
          </cell>
        </row>
        <row r="89">
          <cell r="B89" t="str">
            <v>CHPWSTCCS</v>
          </cell>
          <cell r="C89" t="str">
            <v>VAR_fin</v>
          </cell>
          <cell r="D89" t="str">
            <v>EWST</v>
          </cell>
          <cell r="I89">
            <v>5.4986405298540477</v>
          </cell>
          <cell r="J89">
            <v>13.180583390092613</v>
          </cell>
        </row>
        <row r="90">
          <cell r="B90" t="str">
            <v>CHPWSTCCS</v>
          </cell>
          <cell r="C90" t="str">
            <v>VAR_ncap</v>
          </cell>
          <cell r="D90" t="str">
            <v>-</v>
          </cell>
          <cell r="I90">
            <v>1.44932111296206E-2</v>
          </cell>
          <cell r="J90">
            <v>2.4393809073713999E-2</v>
          </cell>
        </row>
        <row r="91">
          <cell r="B91" t="str">
            <v>CHPWSTCCS</v>
          </cell>
          <cell r="C91" t="str">
            <v>VAR_cap</v>
          </cell>
          <cell r="D91" t="str">
            <v>-</v>
          </cell>
          <cell r="I91">
            <v>1.44932111296206E-2</v>
          </cell>
          <cell r="J91">
            <v>3.88870202033346E-2</v>
          </cell>
        </row>
        <row r="92">
          <cell r="B92" t="str">
            <v>RHNS-CHPGFC</v>
          </cell>
          <cell r="C92" t="str">
            <v>VAR_fout</v>
          </cell>
          <cell r="D92" t="str">
            <v>CO2_R</v>
          </cell>
          <cell r="H92">
            <v>2.9887676856219701E-4</v>
          </cell>
          <cell r="I92">
            <v>6.9739313412945205E-4</v>
          </cell>
          <cell r="J92">
            <v>4.5850729170968102E-4</v>
          </cell>
        </row>
        <row r="93">
          <cell r="B93" t="str">
            <v>RHNS-CHPGFC</v>
          </cell>
          <cell r="C93" t="str">
            <v>VAR_fout</v>
          </cell>
          <cell r="D93" t="str">
            <v>RHNS_LTH_CHPNGA</v>
          </cell>
          <cell r="H93">
            <v>1.4780631862192896E-6</v>
          </cell>
          <cell r="I93">
            <v>5.3162442771198005E-6</v>
          </cell>
          <cell r="J93">
            <v>2.6488586749286996E-6</v>
          </cell>
        </row>
        <row r="94">
          <cell r="B94" t="str">
            <v>RHNS-CHPGFC</v>
          </cell>
          <cell r="C94" t="str">
            <v>VAR_fout</v>
          </cell>
          <cell r="D94" t="str">
            <v>RHNS_NKEV_GAS_ELC_CHP</v>
          </cell>
          <cell r="H94">
            <v>1.3196992734100798E-6</v>
          </cell>
          <cell r="I94">
            <v>5.0153247897356618E-6</v>
          </cell>
          <cell r="J94">
            <v>2.6488586749286996E-6</v>
          </cell>
        </row>
        <row r="95">
          <cell r="B95" t="str">
            <v>RHNS-CHPGFC</v>
          </cell>
          <cell r="C95" t="str">
            <v>VAR_fin</v>
          </cell>
          <cell r="D95" t="str">
            <v>RNGA</v>
          </cell>
          <cell r="H95">
            <v>5.2992334851453486E-6</v>
          </cell>
          <cell r="I95">
            <v>1.2365126491656951E-5</v>
          </cell>
          <cell r="J95">
            <v>8.1295619097461274E-6</v>
          </cell>
        </row>
        <row r="96">
          <cell r="B96" t="str">
            <v>RHNS-CHPGFC</v>
          </cell>
          <cell r="C96" t="str">
            <v>VAR_ncap</v>
          </cell>
          <cell r="D96" t="str">
            <v>-</v>
          </cell>
          <cell r="H96">
            <v>2.0444392317103399E-7</v>
          </cell>
          <cell r="J96">
            <v>6.87442693875596E-8</v>
          </cell>
        </row>
        <row r="97">
          <cell r="B97" t="str">
            <v>RHNS-CHPGFC</v>
          </cell>
          <cell r="C97" t="str">
            <v>VAR_cap</v>
          </cell>
          <cell r="D97" t="str">
            <v>-</v>
          </cell>
          <cell r="H97">
            <v>2.0444392317103399E-7</v>
          </cell>
          <cell r="I97">
            <v>4.7081660656033601E-7</v>
          </cell>
          <cell r="J97">
            <v>3.3416886391672998E-7</v>
          </cell>
        </row>
        <row r="98">
          <cell r="B98" t="str">
            <v>D-ENGA</v>
          </cell>
          <cell r="C98" t="str">
            <v>VAR_fout</v>
          </cell>
          <cell r="D98" t="str">
            <v>CO2</v>
          </cell>
          <cell r="E98">
            <v>311.00831307751702</v>
          </cell>
          <cell r="F98">
            <v>2.38916691470525E-4</v>
          </cell>
          <cell r="G98">
            <v>4.4872429475776103</v>
          </cell>
          <cell r="H98">
            <v>33.262844494170302</v>
          </cell>
          <cell r="I98">
            <v>28.3526221287187</v>
          </cell>
          <cell r="J98">
            <v>2.6857552223192601E-4</v>
          </cell>
        </row>
        <row r="99">
          <cell r="B99" t="str">
            <v>D-ENGA</v>
          </cell>
          <cell r="C99" t="str">
            <v>VAR_fout</v>
          </cell>
          <cell r="D99" t="str">
            <v>ENGA</v>
          </cell>
          <cell r="E99">
            <v>5.6937346261241686</v>
          </cell>
          <cell r="F99">
            <v>4.9770299894012389E-6</v>
          </cell>
          <cell r="G99">
            <v>9.9166975163520965E-2</v>
          </cell>
          <cell r="H99">
            <v>0.58790381979441808</v>
          </cell>
          <cell r="I99">
            <v>0.50112184631734702</v>
          </cell>
          <cell r="J99">
            <v>3.9552773985107363E-2</v>
          </cell>
        </row>
        <row r="100">
          <cell r="B100" t="str">
            <v>D-ENGA</v>
          </cell>
          <cell r="C100" t="str">
            <v>VAR_fin</v>
          </cell>
          <cell r="D100" t="str">
            <v>NGA</v>
          </cell>
          <cell r="E100">
            <v>5.5143317921545583</v>
          </cell>
          <cell r="F100">
            <v>4.2361115508958362E-6</v>
          </cell>
          <cell r="G100">
            <v>7.9561045169815783E-2</v>
          </cell>
          <cell r="H100">
            <v>0.5897667463505375</v>
          </cell>
          <cell r="I100">
            <v>0.50270606611203383</v>
          </cell>
          <cell r="J100">
            <v>4.7619773445376934E-6</v>
          </cell>
        </row>
        <row r="101">
          <cell r="B101" t="str">
            <v>D-ENGA</v>
          </cell>
          <cell r="C101" t="str">
            <v>VAR_fin</v>
          </cell>
          <cell r="D101" t="str">
            <v>BNGA</v>
          </cell>
          <cell r="E101">
            <v>0.19759215013545572</v>
          </cell>
          <cell r="G101">
            <v>1.9871877785964359E-2</v>
          </cell>
          <cell r="H101">
            <v>9.5493288278667382E-6</v>
          </cell>
          <cell r="I101">
            <v>1.2296470515860761E-5</v>
          </cell>
          <cell r="J101">
            <v>3.8489983888596813E-2</v>
          </cell>
        </row>
        <row r="102">
          <cell r="B102" t="str">
            <v>D-ENGA</v>
          </cell>
          <cell r="C102" t="str">
            <v>VAR_fin</v>
          </cell>
          <cell r="D102" t="str">
            <v>H2</v>
          </cell>
          <cell r="G102">
            <v>5.0760917724518288E-5</v>
          </cell>
          <cell r="H102">
            <v>6.8408440778738808E-6</v>
          </cell>
          <cell r="I102">
            <v>4.8473580363008782E-6</v>
          </cell>
          <cell r="J102">
            <v>1.1859723285920663E-3</v>
          </cell>
        </row>
        <row r="103">
          <cell r="B103" t="str">
            <v>D-ENGA</v>
          </cell>
          <cell r="C103" t="str">
            <v>VAR_ncap</v>
          </cell>
          <cell r="D103" t="str">
            <v>-</v>
          </cell>
          <cell r="I103">
            <v>1.32478057230955E-8</v>
          </cell>
          <cell r="J103">
            <v>2.1914684057307701E-8</v>
          </cell>
        </row>
        <row r="104">
          <cell r="B104" t="str">
            <v>D-ENGA</v>
          </cell>
          <cell r="C104" t="str">
            <v>VAR_cap</v>
          </cell>
          <cell r="D104" t="str">
            <v>-</v>
          </cell>
          <cell r="E104">
            <v>1.0275119945409801</v>
          </cell>
          <cell r="F104">
            <v>1.0275119945409801</v>
          </cell>
          <cell r="G104">
            <v>1.0275119945409801</v>
          </cell>
          <cell r="H104">
            <v>1.0275119945409801</v>
          </cell>
          <cell r="I104">
            <v>1.0275120178968962</v>
          </cell>
          <cell r="J104">
            <v>0.72467672658536009</v>
          </cell>
        </row>
        <row r="105">
          <cell r="B105" t="str">
            <v>D-ILFO</v>
          </cell>
          <cell r="C105" t="str">
            <v>VAR_fout</v>
          </cell>
          <cell r="D105" t="str">
            <v>CO2</v>
          </cell>
          <cell r="E105">
            <v>688.71827594085198</v>
          </cell>
          <cell r="F105">
            <v>664.67889695091503</v>
          </cell>
          <cell r="G105">
            <v>593.94754651345295</v>
          </cell>
          <cell r="H105">
            <v>507.08297784456101</v>
          </cell>
          <cell r="I105">
            <v>219.807407313564</v>
          </cell>
          <cell r="J105">
            <v>5.9165691871987901E-4</v>
          </cell>
        </row>
        <row r="106">
          <cell r="B106" t="str">
            <v>D-ILFO</v>
          </cell>
          <cell r="C106" t="str">
            <v>VAR_fout</v>
          </cell>
          <cell r="D106" t="str">
            <v>ILFO</v>
          </cell>
          <cell r="E106">
            <v>9.1888178847153466</v>
          </cell>
          <cell r="F106">
            <v>8.8680866317245339</v>
          </cell>
          <cell r="G106">
            <v>7.9243973889516308</v>
          </cell>
          <cell r="H106">
            <v>7.0042822853548596</v>
          </cell>
          <cell r="I106">
            <v>3.1714773006048742</v>
          </cell>
          <cell r="J106">
            <v>0.23883447896582807</v>
          </cell>
        </row>
        <row r="107">
          <cell r="B107" t="str">
            <v>D-ILFO</v>
          </cell>
          <cell r="C107" t="str">
            <v>VAR_fin</v>
          </cell>
          <cell r="D107" t="str">
            <v>LFO</v>
          </cell>
          <cell r="E107">
            <v>9.3448884116804916</v>
          </cell>
          <cell r="F107">
            <v>9.0187095922783609</v>
          </cell>
          <cell r="G107">
            <v>8.058989776301944</v>
          </cell>
          <cell r="H107">
            <v>6.880366049451295</v>
          </cell>
          <cell r="I107">
            <v>2.9824614289493097</v>
          </cell>
          <cell r="J107">
            <v>8.0279093449101706E-6</v>
          </cell>
        </row>
        <row r="108">
          <cell r="B108" t="str">
            <v>D-ILFO</v>
          </cell>
          <cell r="C108" t="str">
            <v>VAR_fin</v>
          </cell>
          <cell r="D108" t="str">
            <v>BDS</v>
          </cell>
          <cell r="G108">
            <v>6.8125482862429507E-6</v>
          </cell>
          <cell r="H108">
            <v>0.24288692183418681</v>
          </cell>
          <cell r="I108">
            <v>0.24288669368494625</v>
          </cell>
          <cell r="J108">
            <v>0.2428860744829226</v>
          </cell>
        </row>
        <row r="109">
          <cell r="B109" t="str">
            <v>HPLNGA</v>
          </cell>
          <cell r="C109" t="str">
            <v>VAR_fout</v>
          </cell>
          <cell r="D109" t="str">
            <v>LTH</v>
          </cell>
          <cell r="E109">
            <v>1.732897689002755</v>
          </cell>
          <cell r="G109">
            <v>3.4307711038139725E-5</v>
          </cell>
          <cell r="H109">
            <v>0.38544788010574027</v>
          </cell>
          <cell r="I109">
            <v>3.9711475910534998E-4</v>
          </cell>
        </row>
        <row r="110">
          <cell r="B110" t="str">
            <v>HPLNGA</v>
          </cell>
          <cell r="C110" t="str">
            <v>VAR_fout</v>
          </cell>
          <cell r="D110" t="str">
            <v>CO2_E</v>
          </cell>
          <cell r="E110">
            <v>114.383353586561</v>
          </cell>
          <cell r="G110">
            <v>2.2645486039509898E-3</v>
          </cell>
          <cell r="H110">
            <v>25.442252845693002</v>
          </cell>
          <cell r="I110">
            <v>2.6212348365084001E-2</v>
          </cell>
        </row>
        <row r="111">
          <cell r="B111" t="str">
            <v>HPLNGA</v>
          </cell>
          <cell r="C111" t="str">
            <v>VAR_fin</v>
          </cell>
          <cell r="D111" t="str">
            <v>ENGA</v>
          </cell>
          <cell r="E111">
            <v>2.0280736451517871</v>
          </cell>
          <cell r="G111">
            <v>4.0151570992038864E-5</v>
          </cell>
          <cell r="H111">
            <v>0.45110377385980466</v>
          </cell>
          <cell r="I111">
            <v>4.6475794973553105E-4</v>
          </cell>
        </row>
        <row r="112">
          <cell r="B112" t="str">
            <v>HPLNGA</v>
          </cell>
          <cell r="C112" t="str">
            <v>VAR_ncap</v>
          </cell>
          <cell r="D112" t="str">
            <v>-</v>
          </cell>
          <cell r="E112">
            <v>7.3170719578789101E-8</v>
          </cell>
          <cell r="F112">
            <v>1.05360921792897E-7</v>
          </cell>
          <cell r="G112">
            <v>1.9203742079650299E-7</v>
          </cell>
          <cell r="H112">
            <v>8.7136754998727302E-5</v>
          </cell>
          <cell r="I112">
            <v>7.0516289593951398E-8</v>
          </cell>
          <cell r="J112">
            <v>5.2054935763811703E-8</v>
          </cell>
        </row>
        <row r="113">
          <cell r="B113" t="str">
            <v>HPLNGA</v>
          </cell>
          <cell r="C113" t="str">
            <v>VAR_cap</v>
          </cell>
          <cell r="D113" t="str">
            <v>-</v>
          </cell>
          <cell r="E113">
            <v>0.21980043451155656</v>
          </cell>
          <cell r="F113">
            <v>0.10849645404340935</v>
          </cell>
          <cell r="G113">
            <v>0.10849621931470221</v>
          </cell>
          <cell r="H113">
            <v>4.8889922547568909E-2</v>
          </cell>
          <cell r="I113">
            <v>8.7866712769073325E-5</v>
          </cell>
          <cell r="J113">
            <v>1.7407640841419669E-5</v>
          </cell>
        </row>
        <row r="114">
          <cell r="B114" t="str">
            <v>G-INTC-IMP00-AT</v>
          </cell>
          <cell r="C114" t="str">
            <v>VAR_fout</v>
          </cell>
          <cell r="D114" t="str">
            <v>ELC</v>
          </cell>
          <cell r="E114">
            <v>15.013805504334533</v>
          </cell>
          <cell r="F114">
            <v>4.2254506991970349</v>
          </cell>
          <cell r="G114">
            <v>0.84049951406179213</v>
          </cell>
          <cell r="H114">
            <v>0.52857976241037152</v>
          </cell>
          <cell r="I114">
            <v>4.2597332928535217E-3</v>
          </cell>
          <cell r="J114">
            <v>5.4439029078142323</v>
          </cell>
        </row>
        <row r="115">
          <cell r="B115" t="str">
            <v>G-INTC-IMP00-AT</v>
          </cell>
          <cell r="C115" t="str">
            <v>VAR_fin</v>
          </cell>
          <cell r="D115" t="str">
            <v>ELC_I-AT</v>
          </cell>
          <cell r="E115">
            <v>15.013805504334533</v>
          </cell>
          <cell r="F115">
            <v>4.2254506991970349</v>
          </cell>
          <cell r="G115">
            <v>0.84049951406179213</v>
          </cell>
          <cell r="H115">
            <v>0.52857976241037152</v>
          </cell>
          <cell r="I115">
            <v>4.2597332928535217E-3</v>
          </cell>
          <cell r="J115">
            <v>5.4439029078142323</v>
          </cell>
        </row>
        <row r="116">
          <cell r="B116" t="str">
            <v>G-INTC-IMP00-AT</v>
          </cell>
          <cell r="C116" t="str">
            <v>VAR_cap</v>
          </cell>
          <cell r="D116" t="str">
            <v>-</v>
          </cell>
          <cell r="E116">
            <v>1.2</v>
          </cell>
          <cell r="F116">
            <v>1.2</v>
          </cell>
          <cell r="G116">
            <v>1.2</v>
          </cell>
          <cell r="H116">
            <v>1.2</v>
          </cell>
          <cell r="I116">
            <v>1.2</v>
          </cell>
          <cell r="J116">
            <v>1.2</v>
          </cell>
        </row>
        <row r="117">
          <cell r="B117" t="str">
            <v>CHPWST</v>
          </cell>
          <cell r="C117" t="str">
            <v>VAR_fout</v>
          </cell>
          <cell r="D117" t="str">
            <v>ELC35</v>
          </cell>
          <cell r="E117">
            <v>1.4050528204157984</v>
          </cell>
          <cell r="F117">
            <v>1.3192242031434578</v>
          </cell>
          <cell r="G117">
            <v>1.2347937929907551</v>
          </cell>
          <cell r="H117">
            <v>1.2901762770874439</v>
          </cell>
          <cell r="I117">
            <v>1.0137868944128019</v>
          </cell>
          <cell r="J117">
            <v>0.50243648161045595</v>
          </cell>
        </row>
        <row r="118">
          <cell r="B118" t="str">
            <v>CHPWST</v>
          </cell>
          <cell r="C118" t="str">
            <v>VAR_fout</v>
          </cell>
          <cell r="D118" t="str">
            <v>LTH</v>
          </cell>
          <cell r="E118">
            <v>14.159860289110192</v>
          </cell>
          <cell r="F118">
            <v>13.249389018502455</v>
          </cell>
          <cell r="G118">
            <v>12.337536423170322</v>
          </cell>
          <cell r="H118">
            <v>12.779633570395882</v>
          </cell>
          <cell r="I118">
            <v>9.5120274428889271</v>
          </cell>
          <cell r="J118">
            <v>4.4515902345804603</v>
          </cell>
        </row>
        <row r="119">
          <cell r="B119" t="str">
            <v>CHPWST</v>
          </cell>
          <cell r="C119" t="str">
            <v>VAR_fout</v>
          </cell>
          <cell r="D119" t="str">
            <v>CO2_E</v>
          </cell>
          <cell r="E119">
            <v>2783.9967610384101</v>
          </cell>
          <cell r="F119">
            <v>2613.9344053613499</v>
          </cell>
          <cell r="G119">
            <v>2446.64248225151</v>
          </cell>
          <cell r="H119">
            <v>2556.3783257038599</v>
          </cell>
          <cell r="I119">
            <v>2008.7354649010199</v>
          </cell>
          <cell r="J119">
            <v>995.53729377948298</v>
          </cell>
        </row>
        <row r="120">
          <cell r="B120" t="str">
            <v>CHPWST</v>
          </cell>
          <cell r="C120" t="str">
            <v>VAR_fin</v>
          </cell>
          <cell r="D120" t="str">
            <v>EWST</v>
          </cell>
          <cell r="E120">
            <v>29.999965097396643</v>
          </cell>
          <cell r="F120">
            <v>28.167396609497253</v>
          </cell>
          <cell r="G120">
            <v>26.364681920813656</v>
          </cell>
          <cell r="H120">
            <v>27.547180233877878</v>
          </cell>
          <cell r="I120">
            <v>21.645856302812767</v>
          </cell>
          <cell r="J120">
            <v>10.72777256227891</v>
          </cell>
        </row>
        <row r="121">
          <cell r="B121" t="str">
            <v>CHPWST</v>
          </cell>
          <cell r="C121" t="str">
            <v>VAR_ncap</v>
          </cell>
          <cell r="D121" t="str">
            <v>-</v>
          </cell>
          <cell r="I121">
            <v>2.1475198333154099E-2</v>
          </cell>
          <cell r="J121">
            <v>9.0021772199731197E-3</v>
          </cell>
        </row>
        <row r="122">
          <cell r="B122" t="str">
            <v>CHPWST</v>
          </cell>
          <cell r="C122" t="str">
            <v>VAR_cap</v>
          </cell>
          <cell r="D122" t="str">
            <v>-</v>
          </cell>
          <cell r="E122">
            <v>7.6766028751963714E-2</v>
          </cell>
          <cell r="F122">
            <v>7.2076707367645459E-2</v>
          </cell>
          <cell r="G122">
            <v>7.0489655118886774E-2</v>
          </cell>
          <cell r="H122">
            <v>7.0489649101602589E-2</v>
          </cell>
          <cell r="I122">
            <v>7.1945210400710821E-2</v>
          </cell>
          <cell r="J122">
            <v>5.2703370427677844E-2</v>
          </cell>
        </row>
        <row r="123">
          <cell r="B123" t="str">
            <v>RHES-CHPNGA</v>
          </cell>
          <cell r="C123" t="str">
            <v>VAR_fout</v>
          </cell>
          <cell r="D123" t="str">
            <v>CO2_R</v>
          </cell>
          <cell r="E123">
            <v>2.67835274116322</v>
          </cell>
          <cell r="F123">
            <v>9.1192049630670199E-4</v>
          </cell>
          <cell r="G123">
            <v>1.0160794136370201E-2</v>
          </cell>
          <cell r="H123">
            <v>8.7368299406898504E-3</v>
          </cell>
          <cell r="I123">
            <v>0.12688422531398999</v>
          </cell>
          <cell r="J123">
            <v>0.119108704192858</v>
          </cell>
        </row>
        <row r="124">
          <cell r="B124" t="str">
            <v>RHES-CHPNGA</v>
          </cell>
          <cell r="C124" t="str">
            <v>VAR_fout</v>
          </cell>
          <cell r="D124" t="str">
            <v>RHES_NKEV_GAS_ELC_CHP</v>
          </cell>
          <cell r="E124">
            <v>1.2587273303933739E-2</v>
          </cell>
          <cell r="F124">
            <v>4.4867788232735196E-6</v>
          </cell>
          <cell r="G124">
            <v>4.1341118455326768E-5</v>
          </cell>
          <cell r="H124">
            <v>4.1246971786053596E-5</v>
          </cell>
          <cell r="I124">
            <v>6.3772368923669927E-4</v>
          </cell>
          <cell r="J124">
            <v>6.1003709564540947E-4</v>
          </cell>
        </row>
        <row r="125">
          <cell r="B125" t="str">
            <v>RHES-CHPNGA</v>
          </cell>
          <cell r="C125" t="str">
            <v>VAR_fout</v>
          </cell>
          <cell r="D125" t="str">
            <v>RHES_LTH_CHPNGA</v>
          </cell>
          <cell r="E125">
            <v>3.0302694990951638E-2</v>
          </cell>
          <cell r="F125">
            <v>1.0692302550277231E-5</v>
          </cell>
          <cell r="G125">
            <v>9.7009449920303981E-5</v>
          </cell>
          <cell r="H125">
            <v>9.4642100477867433E-5</v>
          </cell>
          <cell r="I125">
            <v>1.4320812670578532E-3</v>
          </cell>
          <cell r="J125">
            <v>1.3253682134009204E-3</v>
          </cell>
        </row>
        <row r="126">
          <cell r="B126" t="str">
            <v>RHES-CHPNGA</v>
          </cell>
          <cell r="C126" t="str">
            <v>VAR_fin</v>
          </cell>
          <cell r="D126" t="str">
            <v>RNGA</v>
          </cell>
          <cell r="E126">
            <v>4.7488523779489783E-2</v>
          </cell>
          <cell r="F126">
            <v>1.6168803126005362E-5</v>
          </cell>
          <cell r="G126">
            <v>1.8015592440372743E-4</v>
          </cell>
          <cell r="H126">
            <v>1.5490833228173497E-4</v>
          </cell>
          <cell r="I126">
            <v>2.2497203069856381E-3</v>
          </cell>
          <cell r="J126">
            <v>2.1118564573201679E-3</v>
          </cell>
        </row>
        <row r="127">
          <cell r="B127" t="str">
            <v>RHES-CHPNGA</v>
          </cell>
          <cell r="C127" t="str">
            <v>VAR_ncap</v>
          </cell>
          <cell r="D127" t="str">
            <v>-</v>
          </cell>
          <cell r="G127">
            <v>2.3609865506653499E-6</v>
          </cell>
          <cell r="J127">
            <v>1.1307689759113701E-5</v>
          </cell>
        </row>
        <row r="128">
          <cell r="B128" t="str">
            <v>RHES-CHPNGA</v>
          </cell>
          <cell r="C128" t="str">
            <v>VAR_cap</v>
          </cell>
          <cell r="D128" t="str">
            <v>-</v>
          </cell>
          <cell r="E128">
            <v>2.8005347908426599E-3</v>
          </cell>
          <cell r="F128">
            <v>1.3057155438299731E-6</v>
          </cell>
          <cell r="G128">
            <v>3.6665578864154922E-6</v>
          </cell>
          <cell r="H128">
            <v>3.6663612597882941E-6</v>
          </cell>
          <cell r="I128">
            <v>5.6677163519875008E-5</v>
          </cell>
          <cell r="J128">
            <v>5.4226588507141503E-5</v>
          </cell>
        </row>
        <row r="129">
          <cell r="B129" t="str">
            <v>RHEM-CHPWOD</v>
          </cell>
          <cell r="C129" t="str">
            <v>VAR_fin</v>
          </cell>
          <cell r="D129" t="str">
            <v>RWOD</v>
          </cell>
          <cell r="H129">
            <v>6.492757095745626E-6</v>
          </cell>
          <cell r="I129">
            <v>1.0527743337737745E-5</v>
          </cell>
          <cell r="J129">
            <v>2.9015515252025448E-6</v>
          </cell>
        </row>
        <row r="130">
          <cell r="B130" t="str">
            <v>G-INTC-IMP00-FR</v>
          </cell>
          <cell r="C130" t="str">
            <v>VAR_fout</v>
          </cell>
          <cell r="D130" t="str">
            <v>ELC</v>
          </cell>
          <cell r="E130">
            <v>28.948621077814021</v>
          </cell>
          <cell r="F130">
            <v>17.910578729563415</v>
          </cell>
          <cell r="G130">
            <v>23.501984143694667</v>
          </cell>
          <cell r="H130">
            <v>13.508778235176798</v>
          </cell>
          <cell r="I130">
            <v>14.134873138610718</v>
          </cell>
          <cell r="J130">
            <v>12.247090805787071</v>
          </cell>
        </row>
        <row r="131">
          <cell r="B131" t="str">
            <v>G-INTC-IMP00-FR</v>
          </cell>
          <cell r="C131" t="str">
            <v>VAR_fin</v>
          </cell>
          <cell r="D131" t="str">
            <v>ELC_I-FR</v>
          </cell>
          <cell r="E131">
            <v>28.948621077814021</v>
          </cell>
          <cell r="F131">
            <v>17.910578729563415</v>
          </cell>
          <cell r="G131">
            <v>23.501984143694667</v>
          </cell>
          <cell r="H131">
            <v>13.508778235176798</v>
          </cell>
          <cell r="I131">
            <v>14.134873138610718</v>
          </cell>
          <cell r="J131">
            <v>12.247090805787071</v>
          </cell>
        </row>
        <row r="132">
          <cell r="B132" t="str">
            <v>G-INTC-IMP00-FR</v>
          </cell>
          <cell r="C132" t="str">
            <v>VAR_cap</v>
          </cell>
          <cell r="D132" t="str">
            <v>-</v>
          </cell>
          <cell r="E132">
            <v>1.7</v>
          </cell>
          <cell r="F132">
            <v>1.7</v>
          </cell>
          <cell r="G132">
            <v>1.7</v>
          </cell>
          <cell r="H132">
            <v>1.7</v>
          </cell>
          <cell r="I132">
            <v>1.7</v>
          </cell>
          <cell r="J132">
            <v>1.7</v>
          </cell>
        </row>
        <row r="133">
          <cell r="B133" t="str">
            <v>ITOT-CHPWSTCCS</v>
          </cell>
          <cell r="C133" t="str">
            <v>VAR_fout</v>
          </cell>
          <cell r="D133" t="str">
            <v>CO2_O</v>
          </cell>
          <cell r="I133">
            <v>157.36664683342542</v>
          </cell>
          <cell r="J133">
            <v>715.22155370019254</v>
          </cell>
        </row>
        <row r="134">
          <cell r="B134" t="str">
            <v>ITOT-CHPWSTCCS</v>
          </cell>
          <cell r="C134" t="str">
            <v>VAR_fout</v>
          </cell>
          <cell r="D134" t="str">
            <v>CO2</v>
          </cell>
          <cell r="I134">
            <v>-157.36664683342599</v>
          </cell>
          <cell r="J134">
            <v>-715.221553700193</v>
          </cell>
        </row>
        <row r="135">
          <cell r="B135" t="str">
            <v>ITOT-CHPWSTCCS</v>
          </cell>
          <cell r="C135" t="str">
            <v>VAR_fout</v>
          </cell>
          <cell r="D135" t="str">
            <v>ITOT_LTH_CHP</v>
          </cell>
          <cell r="I135">
            <v>0.62701949393383194</v>
          </cell>
          <cell r="J135">
            <v>2.0114799759287001</v>
          </cell>
        </row>
        <row r="136">
          <cell r="B136" t="str">
            <v>ITOT-CHPWSTCCS</v>
          </cell>
          <cell r="C136" t="str">
            <v>VAR_fout</v>
          </cell>
          <cell r="D136" t="str">
            <v>ITOT_KEV_WST_ELC_CHP</v>
          </cell>
          <cell r="I136">
            <v>0.12379361782821342</v>
          </cell>
          <cell r="J136">
            <v>0.59296383828231358</v>
          </cell>
        </row>
        <row r="137">
          <cell r="B137" t="str">
            <v>ITOT-CHPWSTCCS</v>
          </cell>
          <cell r="C137" t="str">
            <v>VAR_fout</v>
          </cell>
          <cell r="D137" t="str">
            <v>CO2_I</v>
          </cell>
          <cell r="I137">
            <v>205.969849052336</v>
          </cell>
          <cell r="J137">
            <v>986.58294673949899</v>
          </cell>
        </row>
        <row r="138">
          <cell r="B138" t="str">
            <v>ITOT-CHPWSTCCS</v>
          </cell>
          <cell r="C138" t="str">
            <v>VAR_fin</v>
          </cell>
          <cell r="D138" t="str">
            <v>IWST</v>
          </cell>
          <cell r="I138">
            <v>2.2195026837536265</v>
          </cell>
          <cell r="J138">
            <v>10.631281753658376</v>
          </cell>
        </row>
        <row r="139">
          <cell r="B139" t="str">
            <v>ITOT-CHPWSTCCS</v>
          </cell>
          <cell r="C139" t="str">
            <v>VAR_ncap</v>
          </cell>
          <cell r="D139" t="str">
            <v>-</v>
          </cell>
          <cell r="I139">
            <v>5.0364570099090599E-3</v>
          </cell>
          <cell r="J139">
            <v>5.4568529250581498E-2</v>
          </cell>
        </row>
        <row r="140">
          <cell r="B140" t="str">
            <v>ITOT-CHPWSTCCS</v>
          </cell>
          <cell r="C140" t="str">
            <v>VAR_cap</v>
          </cell>
          <cell r="D140" t="str">
            <v>-</v>
          </cell>
          <cell r="I140">
            <v>5.0364570099090599E-3</v>
          </cell>
          <cell r="J140">
            <v>5.96049862604906E-2</v>
          </cell>
        </row>
        <row r="141">
          <cell r="B141" t="str">
            <v>RHEM-CHPGFC</v>
          </cell>
          <cell r="C141" t="str">
            <v>VAR_fout</v>
          </cell>
          <cell r="D141" t="str">
            <v>CO2_R</v>
          </cell>
          <cell r="H141">
            <v>1.38112929494393E-3</v>
          </cell>
          <cell r="I141">
            <v>5.6591669551302702E-3</v>
          </cell>
          <cell r="J141">
            <v>8.4563657114807303E-2</v>
          </cell>
        </row>
        <row r="142">
          <cell r="B142" t="str">
            <v>RHEM-CHPGFC</v>
          </cell>
          <cell r="C142" t="str">
            <v>VAR_fout</v>
          </cell>
          <cell r="D142" t="str">
            <v>RHEM_LTH_CHPNGA</v>
          </cell>
          <cell r="H142">
            <v>1.1519206034425975E-5</v>
          </cell>
          <cell r="I142">
            <v>4.6798501203417692E-5</v>
          </cell>
          <cell r="J142">
            <v>6.7471003017133464E-4</v>
          </cell>
        </row>
        <row r="143">
          <cell r="B143" t="str">
            <v>RHEM-CHPGFC</v>
          </cell>
          <cell r="C143" t="str">
            <v>VAR_fout</v>
          </cell>
          <cell r="D143" t="str">
            <v>RHEM_NKEV_GAS_ELC_CHP</v>
          </cell>
          <cell r="H143">
            <v>1.0285005387880331E-5</v>
          </cell>
          <cell r="I143">
            <v>4.4149529437186488E-5</v>
          </cell>
          <cell r="J143">
            <v>6.7471003017133464E-4</v>
          </cell>
        </row>
        <row r="144">
          <cell r="B144" t="str">
            <v>RHEM-CHPGFC</v>
          </cell>
          <cell r="C144" t="str">
            <v>VAR_fin</v>
          </cell>
          <cell r="D144" t="str">
            <v>RNGA</v>
          </cell>
          <cell r="H144">
            <v>2.4488108066381737E-5</v>
          </cell>
          <cell r="I144">
            <v>1.0033983962996933E-4</v>
          </cell>
          <cell r="J144">
            <v>1.4993556226029648E-3</v>
          </cell>
        </row>
        <row r="145">
          <cell r="B145" t="str">
            <v>RHEM-CHPGFC</v>
          </cell>
          <cell r="C145" t="str">
            <v>VAR_ncap</v>
          </cell>
          <cell r="D145" t="str">
            <v>-</v>
          </cell>
          <cell r="H145">
            <v>9.12944864284829E-7</v>
          </cell>
          <cell r="I145">
            <v>3.4284190127834099E-8</v>
          </cell>
          <cell r="J145">
            <v>5.7342475236475201E-5</v>
          </cell>
        </row>
        <row r="146">
          <cell r="B146" t="str">
            <v>RHEM-CHPGFC</v>
          </cell>
          <cell r="C146" t="str">
            <v>VAR_cap</v>
          </cell>
          <cell r="D146" t="str">
            <v>-</v>
          </cell>
          <cell r="H146">
            <v>9.12944864284829E-7</v>
          </cell>
          <cell r="I146">
            <v>3.9159215953599396E-6</v>
          </cell>
          <cell r="J146">
            <v>5.9979791155634098E-5</v>
          </cell>
        </row>
        <row r="147">
          <cell r="B147" t="str">
            <v>EHYD-RUNS10</v>
          </cell>
          <cell r="C147" t="str">
            <v>VAR_fout</v>
          </cell>
          <cell r="D147" t="str">
            <v>ELC35</v>
          </cell>
          <cell r="F147">
            <v>3.4442433473996213E-5</v>
          </cell>
          <cell r="G147">
            <v>3.4837749954427876E-5</v>
          </cell>
          <cell r="H147">
            <v>3.5260751463554941E-5</v>
          </cell>
          <cell r="I147">
            <v>3.6295033297564674E-5</v>
          </cell>
          <cell r="J147">
            <v>3.7247182408823151E-5</v>
          </cell>
        </row>
        <row r="148">
          <cell r="B148" t="str">
            <v>EHYD-RUNS10</v>
          </cell>
          <cell r="C148" t="str">
            <v>VAR_fin</v>
          </cell>
          <cell r="D148" t="str">
            <v>HYDR</v>
          </cell>
          <cell r="F148">
            <v>3.4442433473996213E-5</v>
          </cell>
          <cell r="G148">
            <v>3.4837749954427876E-5</v>
          </cell>
          <cell r="H148">
            <v>3.5260751463554941E-5</v>
          </cell>
          <cell r="I148">
            <v>3.6295033297564674E-5</v>
          </cell>
          <cell r="J148">
            <v>3.7247182408823151E-5</v>
          </cell>
        </row>
        <row r="149">
          <cell r="B149" t="str">
            <v>EHYD-RUNS10</v>
          </cell>
          <cell r="C149" t="str">
            <v>VAR_ncap</v>
          </cell>
          <cell r="D149" t="str">
            <v>-</v>
          </cell>
          <cell r="F149">
            <v>3.1128785781611102E-6</v>
          </cell>
        </row>
        <row r="150">
          <cell r="B150" t="str">
            <v>EHYD-RUNS10</v>
          </cell>
          <cell r="C150" t="str">
            <v>VAR_cap</v>
          </cell>
          <cell r="D150" t="str">
            <v>-</v>
          </cell>
          <cell r="F150">
            <v>3.1128785781611102E-6</v>
          </cell>
          <cell r="G150">
            <v>3.1128785781611102E-6</v>
          </cell>
          <cell r="H150">
            <v>3.1128785781611102E-6</v>
          </cell>
          <cell r="I150">
            <v>3.1128785781611102E-6</v>
          </cell>
          <cell r="J150">
            <v>3.1128785781611102E-6</v>
          </cell>
        </row>
        <row r="151">
          <cell r="B151" t="str">
            <v>SUP_WSTBIO</v>
          </cell>
          <cell r="C151" t="str">
            <v>VAR_fout</v>
          </cell>
          <cell r="D151" t="str">
            <v>ELC35</v>
          </cell>
          <cell r="E151">
            <v>0.11258767044729996</v>
          </cell>
          <cell r="F151">
            <v>0.10849822129397589</v>
          </cell>
          <cell r="G151">
            <v>0.10855956071328386</v>
          </cell>
          <cell r="H151">
            <v>0.1123538194251735</v>
          </cell>
          <cell r="I151">
            <v>0.10889575303883187</v>
          </cell>
          <cell r="J151">
            <v>0.19689357561836621</v>
          </cell>
        </row>
        <row r="152">
          <cell r="B152" t="str">
            <v>SUP_WSTBIO</v>
          </cell>
          <cell r="C152" t="str">
            <v>VAR_fout</v>
          </cell>
          <cell r="D152" t="str">
            <v>BIO</v>
          </cell>
          <cell r="E152">
            <v>5.6293835223649946</v>
          </cell>
          <cell r="F152">
            <v>5.4249110646988017</v>
          </cell>
          <cell r="G152">
            <v>5.427978035664192</v>
          </cell>
          <cell r="H152">
            <v>5.6176909712586758</v>
          </cell>
          <cell r="I152">
            <v>5.4447876519415948</v>
          </cell>
          <cell r="J152">
            <v>9.8446787809183043</v>
          </cell>
        </row>
        <row r="153">
          <cell r="B153" t="str">
            <v>SUP_WSTBIO</v>
          </cell>
          <cell r="C153" t="str">
            <v>VAR_fin</v>
          </cell>
          <cell r="D153" t="str">
            <v>CWST</v>
          </cell>
          <cell r="E153">
            <v>9.679322867883581</v>
          </cell>
          <cell r="F153">
            <v>9.327747082102098</v>
          </cell>
          <cell r="G153">
            <v>9.3330205196077358</v>
          </cell>
          <cell r="H153">
            <v>9.659218361438489</v>
          </cell>
          <cell r="I153">
            <v>9.3619234541098564</v>
          </cell>
          <cell r="J153">
            <v>16.927221972447519</v>
          </cell>
        </row>
        <row r="154">
          <cell r="B154" t="str">
            <v>SUP_WSTBIO</v>
          </cell>
          <cell r="C154" t="str">
            <v>VAR_ncap</v>
          </cell>
          <cell r="D154" t="str">
            <v>-</v>
          </cell>
          <cell r="E154">
            <v>4.0950725647864502E-3</v>
          </cell>
          <cell r="H154">
            <v>7.4810539995455894E-2</v>
          </cell>
          <cell r="I154">
            <v>1.4262206220464599E-2</v>
          </cell>
          <cell r="J154">
            <v>0.246407114636254</v>
          </cell>
        </row>
        <row r="155">
          <cell r="B155" t="str">
            <v>SUP_WSTBIO</v>
          </cell>
          <cell r="C155" t="str">
            <v>VAR_cap</v>
          </cell>
          <cell r="D155" t="str">
            <v>-</v>
          </cell>
          <cell r="E155">
            <v>0.21266560485850844</v>
          </cell>
          <cell r="F155">
            <v>0.20895787213300293</v>
          </cell>
          <cell r="G155">
            <v>0.20895785403322301</v>
          </cell>
          <cell r="H155">
            <v>0.2122238870047434</v>
          </cell>
          <cell r="I155">
            <v>0.20569192503142897</v>
          </cell>
          <cell r="J155">
            <v>0.37191008443357798</v>
          </cell>
        </row>
        <row r="156">
          <cell r="B156" t="str">
            <v>ITOT-CHPNGACCS</v>
          </cell>
          <cell r="C156" t="str">
            <v>VAR_fout</v>
          </cell>
          <cell r="D156" t="str">
            <v>CO2_O</v>
          </cell>
          <cell r="I156">
            <v>3.5005776857671561E-3</v>
          </cell>
          <cell r="J156">
            <v>14.708011348946824</v>
          </cell>
        </row>
        <row r="157">
          <cell r="B157" t="str">
            <v>ITOT-CHPNGACCS</v>
          </cell>
          <cell r="C157" t="str">
            <v>VAR_fout</v>
          </cell>
          <cell r="D157" t="str">
            <v>CO2</v>
          </cell>
          <cell r="I157">
            <v>-3.50057768576716E-3</v>
          </cell>
          <cell r="J157">
            <v>-14.708011348946799</v>
          </cell>
        </row>
        <row r="158">
          <cell r="B158" t="str">
            <v>ITOT-CHPNGACCS</v>
          </cell>
          <cell r="C158" t="str">
            <v>VAR_fout</v>
          </cell>
          <cell r="D158" t="str">
            <v>ITOT_NKEV_GAS_ELC_CHP</v>
          </cell>
          <cell r="I158">
            <v>2.2595170336053808E-5</v>
          </cell>
          <cell r="J158">
            <v>9.4935765341038383E-2</v>
          </cell>
        </row>
        <row r="159">
          <cell r="B159" t="str">
            <v>ITOT-CHPNGACCS</v>
          </cell>
          <cell r="C159" t="str">
            <v>VAR_fout</v>
          </cell>
          <cell r="D159" t="str">
            <v>ITOT_LTH_CHP</v>
          </cell>
          <cell r="I159">
            <v>2.5591472874397763E-5</v>
          </cell>
          <cell r="J159">
            <v>0.10492900379799011</v>
          </cell>
        </row>
        <row r="160">
          <cell r="B160" t="str">
            <v>ITOT-CHPNGACCS</v>
          </cell>
          <cell r="C160" t="str">
            <v>VAR_fout</v>
          </cell>
          <cell r="D160" t="str">
            <v>CO2_I</v>
          </cell>
          <cell r="I160">
            <v>4.4330623915911698E-3</v>
          </cell>
          <cell r="J160">
            <v>16.539342376181999</v>
          </cell>
        </row>
        <row r="161">
          <cell r="B161" t="str">
            <v>ITOT-CHPNGACCS</v>
          </cell>
          <cell r="C161" t="str">
            <v>VAR_fin</v>
          </cell>
          <cell r="D161" t="str">
            <v>INGA</v>
          </cell>
          <cell r="I161">
            <v>7.8600397014027813E-5</v>
          </cell>
          <cell r="J161">
            <v>0.29325075135074502</v>
          </cell>
        </row>
        <row r="162">
          <cell r="B162" t="str">
            <v>ITOT-CHPNGACCS</v>
          </cell>
          <cell r="C162" t="str">
            <v>VAR_ncap</v>
          </cell>
          <cell r="D162" t="str">
            <v>-</v>
          </cell>
          <cell r="I162">
            <v>5.3456878010162296E-6</v>
          </cell>
          <cell r="J162">
            <v>3.7574673871908302E-3</v>
          </cell>
        </row>
        <row r="163">
          <cell r="B163" t="str">
            <v>ITOT-CHPNGACCS</v>
          </cell>
          <cell r="C163" t="str">
            <v>VAR_cap</v>
          </cell>
          <cell r="D163" t="str">
            <v>-</v>
          </cell>
          <cell r="I163">
            <v>5.3456878010162296E-6</v>
          </cell>
          <cell r="J163">
            <v>3.7628130749918398E-3</v>
          </cell>
        </row>
        <row r="164">
          <cell r="B164" t="str">
            <v>SCOM-ESOLPV</v>
          </cell>
          <cell r="C164" t="str">
            <v>VAR_fout</v>
          </cell>
          <cell r="D164" t="str">
            <v>SCOM_SOL_ELC</v>
          </cell>
          <cell r="E164">
            <v>2.8396236857719668</v>
          </cell>
          <cell r="F164">
            <v>3.760595499530115</v>
          </cell>
          <cell r="G164">
            <v>3.8744981301561947</v>
          </cell>
          <cell r="H164">
            <v>4.7116758894640949</v>
          </cell>
          <cell r="I164">
            <v>6.3320894779210102</v>
          </cell>
          <cell r="J164">
            <v>8.5097998701767015</v>
          </cell>
        </row>
        <row r="165">
          <cell r="B165" t="str">
            <v>SCOM-ESOLPV</v>
          </cell>
          <cell r="C165" t="str">
            <v>VAR_fin</v>
          </cell>
          <cell r="D165" t="str">
            <v>SOL</v>
          </cell>
          <cell r="E165">
            <v>2.8396236857719668</v>
          </cell>
          <cell r="F165">
            <v>3.760595499530115</v>
          </cell>
          <cell r="G165">
            <v>3.8744981301561947</v>
          </cell>
          <cell r="H165">
            <v>4.7116758894640949</v>
          </cell>
          <cell r="I165">
            <v>6.3320894779210102</v>
          </cell>
          <cell r="J165">
            <v>8.5097998701767015</v>
          </cell>
        </row>
        <row r="166">
          <cell r="B166" t="str">
            <v>SCOM-ESOLPV</v>
          </cell>
          <cell r="C166" t="str">
            <v>VAR_fin</v>
          </cell>
          <cell r="D166" t="str">
            <v>SOLPVC</v>
          </cell>
          <cell r="E166">
            <v>2.8396236857719699</v>
          </cell>
          <cell r="F166">
            <v>3.7605954995301198</v>
          </cell>
          <cell r="G166">
            <v>3.8744981301562</v>
          </cell>
          <cell r="H166">
            <v>4.7116758894641002</v>
          </cell>
          <cell r="I166">
            <v>6.3320894779210102</v>
          </cell>
          <cell r="J166">
            <v>8.5097998701766997</v>
          </cell>
        </row>
        <row r="167">
          <cell r="B167" t="str">
            <v>SCOM-ESOLPV</v>
          </cell>
          <cell r="C167" t="str">
            <v>VAR_ncap</v>
          </cell>
          <cell r="D167" t="str">
            <v>-</v>
          </cell>
          <cell r="F167">
            <v>0.149000460618057</v>
          </cell>
          <cell r="G167">
            <v>1.9725151244981299E-8</v>
          </cell>
          <cell r="H167">
            <v>0.27117910065013301</v>
          </cell>
          <cell r="I167">
            <v>0.68173912755560595</v>
          </cell>
          <cell r="J167">
            <v>1.15648904289897</v>
          </cell>
        </row>
        <row r="168">
          <cell r="B168" t="str">
            <v>SCOM-ESOLPV</v>
          </cell>
          <cell r="C168" t="str">
            <v>VAR_cap</v>
          </cell>
          <cell r="D168" t="str">
            <v>-</v>
          </cell>
          <cell r="E168">
            <v>0.90292899999999998</v>
          </cell>
          <cell r="F168">
            <v>1.1716294606180571</v>
          </cell>
          <cell r="G168">
            <v>1.1716294803432081</v>
          </cell>
          <cell r="H168">
            <v>1.3582387592340219</v>
          </cell>
          <cell r="I168">
            <v>1.825356741822906</v>
          </cell>
          <cell r="J168">
            <v>2.4531271326055899</v>
          </cell>
        </row>
        <row r="169">
          <cell r="B169" t="str">
            <v>D-SCOM_LTH</v>
          </cell>
          <cell r="C169" t="str">
            <v>VAR_fout</v>
          </cell>
          <cell r="D169" t="str">
            <v>SCOM_LTH_DH</v>
          </cell>
          <cell r="E169">
            <v>5.6100001255957936</v>
          </cell>
          <cell r="F169">
            <v>6.0767024270973193</v>
          </cell>
          <cell r="G169">
            <v>6.0767028551898621</v>
          </cell>
          <cell r="H169">
            <v>8.347352200549345</v>
          </cell>
          <cell r="I169">
            <v>8.490656756336012</v>
          </cell>
          <cell r="J169">
            <v>8.4906567814478411</v>
          </cell>
        </row>
        <row r="170">
          <cell r="B170" t="str">
            <v>D-SCOM_LTH</v>
          </cell>
          <cell r="C170" t="str">
            <v>VAR_fin</v>
          </cell>
          <cell r="D170" t="str">
            <v>LTH</v>
          </cell>
          <cell r="E170">
            <v>6.0987758702385548</v>
          </cell>
          <cell r="F170">
            <v>6.60440380931108</v>
          </cell>
          <cell r="G170">
            <v>6.6018017246220673</v>
          </cell>
          <cell r="H170">
            <v>9.0627098533086983</v>
          </cell>
          <cell r="I170">
            <v>9.2062106173562253</v>
          </cell>
          <cell r="J170">
            <v>9.1941574753717639</v>
          </cell>
        </row>
        <row r="171">
          <cell r="B171" t="str">
            <v>D-SCOM_LTH</v>
          </cell>
          <cell r="C171" t="str">
            <v>VAR_ncap</v>
          </cell>
          <cell r="D171" t="str">
            <v>-</v>
          </cell>
          <cell r="E171">
            <v>0.84970025188041198</v>
          </cell>
        </row>
        <row r="172">
          <cell r="B172" t="str">
            <v>D-SCOM_LTH</v>
          </cell>
          <cell r="C172" t="str">
            <v>VAR_cap</v>
          </cell>
          <cell r="D172" t="str">
            <v>-</v>
          </cell>
          <cell r="E172">
            <v>0.84970025188041198</v>
          </cell>
          <cell r="F172">
            <v>0.84970025188041198</v>
          </cell>
          <cell r="G172">
            <v>0.84970025188041198</v>
          </cell>
          <cell r="H172">
            <v>0.84970025188041198</v>
          </cell>
          <cell r="I172">
            <v>0.84970025188041198</v>
          </cell>
          <cell r="J172">
            <v>0.84970025188041198</v>
          </cell>
        </row>
        <row r="173">
          <cell r="B173" t="str">
            <v>EHYD-RUNS15</v>
          </cell>
          <cell r="C173" t="str">
            <v>VAR_fout</v>
          </cell>
          <cell r="D173" t="str">
            <v>ELC35</v>
          </cell>
          <cell r="F173">
            <v>1.7135916188367209E-5</v>
          </cell>
          <cell r="G173">
            <v>1.717415001728745E-5</v>
          </cell>
          <cell r="H173">
            <v>1.8280351136316029E-5</v>
          </cell>
          <cell r="I173">
            <v>1.7710030589118669E-5</v>
          </cell>
          <cell r="J173">
            <v>2.0052359012983839E-5</v>
          </cell>
        </row>
        <row r="174">
          <cell r="B174" t="str">
            <v>EHYD-RUNS15</v>
          </cell>
          <cell r="C174" t="str">
            <v>VAR_fin</v>
          </cell>
          <cell r="D174" t="str">
            <v>HYDR</v>
          </cell>
          <cell r="F174">
            <v>1.7135916188367209E-5</v>
          </cell>
          <cell r="G174">
            <v>1.717415001728745E-5</v>
          </cell>
          <cell r="H174">
            <v>1.8280351136316029E-5</v>
          </cell>
          <cell r="I174">
            <v>1.7710030589118669E-5</v>
          </cell>
          <cell r="J174">
            <v>2.0052359012983839E-5</v>
          </cell>
        </row>
        <row r="175">
          <cell r="B175" t="str">
            <v>EHYD-RUNS15</v>
          </cell>
          <cell r="C175" t="str">
            <v>VAR_ncap</v>
          </cell>
          <cell r="D175" t="str">
            <v>-</v>
          </cell>
          <cell r="F175">
            <v>1.37821000176251E-6</v>
          </cell>
        </row>
        <row r="176">
          <cell r="B176" t="str">
            <v>EHYD-RUNS15</v>
          </cell>
          <cell r="C176" t="str">
            <v>VAR_cap</v>
          </cell>
          <cell r="D176" t="str">
            <v>-</v>
          </cell>
          <cell r="F176">
            <v>1.37821000176251E-6</v>
          </cell>
          <cell r="G176">
            <v>1.37821000176251E-6</v>
          </cell>
          <cell r="H176">
            <v>1.37821000176251E-6</v>
          </cell>
          <cell r="I176">
            <v>1.37821000176251E-6</v>
          </cell>
          <cell r="J176">
            <v>1.37821000176251E-6</v>
          </cell>
        </row>
        <row r="177">
          <cell r="B177" t="str">
            <v>EHYD-RUN10</v>
          </cell>
          <cell r="C177" t="str">
            <v>VAR_fout</v>
          </cell>
          <cell r="D177" t="str">
            <v>ELC13</v>
          </cell>
          <cell r="F177">
            <v>4.7805106245895403E-5</v>
          </cell>
          <cell r="G177">
            <v>4.8107972698931694E-5</v>
          </cell>
          <cell r="H177">
            <v>5.0531578442512491E-5</v>
          </cell>
          <cell r="I177">
            <v>5.0466521757540839E-5</v>
          </cell>
          <cell r="J177">
            <v>4.9276250999173052E-5</v>
          </cell>
        </row>
        <row r="178">
          <cell r="B178" t="str">
            <v>EHYD-RUN10</v>
          </cell>
          <cell r="C178" t="str">
            <v>VAR_fin</v>
          </cell>
          <cell r="D178" t="str">
            <v>HYDR</v>
          </cell>
          <cell r="F178">
            <v>4.7805106245895403E-5</v>
          </cell>
          <cell r="G178">
            <v>4.8107972698931694E-5</v>
          </cell>
          <cell r="H178">
            <v>5.0531578442512491E-5</v>
          </cell>
          <cell r="I178">
            <v>5.0466521757540839E-5</v>
          </cell>
          <cell r="J178">
            <v>4.9276250999173052E-5</v>
          </cell>
        </row>
        <row r="179">
          <cell r="B179" t="str">
            <v>EHYD-RUN10</v>
          </cell>
          <cell r="C179" t="str">
            <v>VAR_ncap</v>
          </cell>
          <cell r="D179" t="str">
            <v>-</v>
          </cell>
          <cell r="F179">
            <v>4.1105259248642602E-6</v>
          </cell>
        </row>
        <row r="180">
          <cell r="B180" t="str">
            <v>EHYD-RUN10</v>
          </cell>
          <cell r="C180" t="str">
            <v>VAR_cap</v>
          </cell>
          <cell r="D180" t="str">
            <v>-</v>
          </cell>
          <cell r="F180">
            <v>4.1105259248642602E-6</v>
          </cell>
          <cell r="G180">
            <v>4.1105259248642602E-6</v>
          </cell>
          <cell r="H180">
            <v>4.1105259248642602E-6</v>
          </cell>
          <cell r="I180">
            <v>4.1105259248642602E-6</v>
          </cell>
          <cell r="J180">
            <v>4.1105259248642602E-6</v>
          </cell>
        </row>
        <row r="181">
          <cell r="B181" t="str">
            <v>ITOT-CHPWOD</v>
          </cell>
          <cell r="C181" t="str">
            <v>VAR_fout</v>
          </cell>
          <cell r="D181" t="str">
            <v>ITOT_LTH_CHP</v>
          </cell>
          <cell r="E181">
            <v>0.65953251346108632</v>
          </cell>
          <cell r="F181">
            <v>2.0354732389492485</v>
          </cell>
          <cell r="G181">
            <v>3.3761419820773262</v>
          </cell>
          <cell r="H181">
            <v>3.8884884195398186</v>
          </cell>
          <cell r="I181">
            <v>3.6229443529834873</v>
          </cell>
          <cell r="J181">
            <v>1.943043029015538</v>
          </cell>
        </row>
        <row r="182">
          <cell r="B182" t="str">
            <v>ITOT-CHPWOD</v>
          </cell>
          <cell r="C182" t="str">
            <v>VAR_fout</v>
          </cell>
          <cell r="D182" t="str">
            <v>ITOT_KEV_WOD_ELC_CHP</v>
          </cell>
          <cell r="E182">
            <v>0.17245257776911257</v>
          </cell>
          <cell r="F182">
            <v>0.58446615159499904</v>
          </cell>
          <cell r="G182">
            <v>1.1367839519060579</v>
          </cell>
          <cell r="H182">
            <v>1.8381945256006382</v>
          </cell>
          <cell r="I182">
            <v>1.7126645984951328</v>
          </cell>
          <cell r="J182">
            <v>0.91852939080639817</v>
          </cell>
        </row>
        <row r="183">
          <cell r="B183" t="str">
            <v>ITOT-CHPWOD</v>
          </cell>
          <cell r="C183" t="str">
            <v>VAR_fin</v>
          </cell>
          <cell r="D183" t="str">
            <v>IWOD</v>
          </cell>
          <cell r="E183">
            <v>0.87254264193433051</v>
          </cell>
          <cell r="F183">
            <v>2.5882079790227039</v>
          </cell>
          <cell r="G183">
            <v>4.7756672229067378</v>
          </cell>
          <cell r="H183">
            <v>5.4301643016081069</v>
          </cell>
          <cell r="I183">
            <v>4.8551938467632327</v>
          </cell>
          <cell r="J183">
            <v>2.5012691838836707</v>
          </cell>
        </row>
        <row r="184">
          <cell r="B184" t="str">
            <v>ITOT-CHPWOD</v>
          </cell>
          <cell r="C184" t="str">
            <v>VAR_ncap</v>
          </cell>
          <cell r="D184" t="str">
            <v>-</v>
          </cell>
          <cell r="F184">
            <v>1.99313045127745E-2</v>
          </cell>
          <cell r="G184">
            <v>2.0421647290278701E-2</v>
          </cell>
          <cell r="H184">
            <v>2.5934272035446598E-2</v>
          </cell>
          <cell r="I184">
            <v>4.0027933737746497E-2</v>
          </cell>
          <cell r="J184">
            <v>3.27980884275407E-2</v>
          </cell>
        </row>
        <row r="185">
          <cell r="B185" t="str">
            <v>ITOT-CHPWOD</v>
          </cell>
          <cell r="C185" t="str">
            <v>VAR_cap</v>
          </cell>
          <cell r="D185" t="str">
            <v>-</v>
          </cell>
          <cell r="E185">
            <v>6.3764455190076404E-3</v>
          </cell>
          <cell r="F185">
            <v>2.161031310266966E-2</v>
          </cell>
          <cell r="G185">
            <v>4.2031960392948362E-2</v>
          </cell>
          <cell r="H185">
            <v>6.796623242839496E-2</v>
          </cell>
          <cell r="I185">
            <v>7.2755082920747477E-2</v>
          </cell>
          <cell r="J185">
            <v>6.6668690703102093E-2</v>
          </cell>
        </row>
        <row r="186">
          <cell r="B186" t="str">
            <v>EHYD-RUN15</v>
          </cell>
          <cell r="C186" t="str">
            <v>VAR_fout</v>
          </cell>
          <cell r="D186" t="str">
            <v>ELC13</v>
          </cell>
          <cell r="F186">
            <v>2.4450472468299145E-5</v>
          </cell>
          <cell r="G186">
            <v>2.5341286013478367E-5</v>
          </cell>
          <cell r="H186">
            <v>2.689078888261547E-5</v>
          </cell>
          <cell r="I186">
            <v>4.6454819658932381E-5</v>
          </cell>
          <cell r="J186">
            <v>6.0118496439571709</v>
          </cell>
        </row>
        <row r="187">
          <cell r="B187" t="str">
            <v>EHYD-RUN15</v>
          </cell>
          <cell r="C187" t="str">
            <v>VAR_fin</v>
          </cell>
          <cell r="D187" t="str">
            <v>HYDR</v>
          </cell>
          <cell r="F187">
            <v>2.4450472468299145E-5</v>
          </cell>
          <cell r="G187">
            <v>2.5341286013478367E-5</v>
          </cell>
          <cell r="H187">
            <v>2.689078888261547E-5</v>
          </cell>
          <cell r="I187">
            <v>4.6454819658932381E-5</v>
          </cell>
          <cell r="J187">
            <v>6.0118496439571709</v>
          </cell>
        </row>
        <row r="188">
          <cell r="B188" t="str">
            <v>EHYD-RUN15</v>
          </cell>
          <cell r="C188" t="str">
            <v>VAR_ncap</v>
          </cell>
          <cell r="D188" t="str">
            <v>-</v>
          </cell>
          <cell r="F188">
            <v>2.1004501101161101E-6</v>
          </cell>
          <cell r="I188">
            <v>4.77565624670354E-8</v>
          </cell>
          <cell r="J188">
            <v>0.42739166967472297</v>
          </cell>
        </row>
        <row r="189">
          <cell r="B189" t="str">
            <v>EHYD-RUN15</v>
          </cell>
          <cell r="C189" t="str">
            <v>VAR_cap</v>
          </cell>
          <cell r="D189" t="str">
            <v>-</v>
          </cell>
          <cell r="F189">
            <v>2.1004501101161101E-6</v>
          </cell>
          <cell r="G189">
            <v>2.1004501101161101E-6</v>
          </cell>
          <cell r="H189">
            <v>2.1004501101161101E-6</v>
          </cell>
          <cell r="I189">
            <v>3.41269135114568E-6</v>
          </cell>
          <cell r="J189">
            <v>0.42739508236607399</v>
          </cell>
        </row>
        <row r="190">
          <cell r="B190" t="str">
            <v>SCOM-SWHSTG-CHPWOD</v>
          </cell>
          <cell r="C190" t="str">
            <v>VAR_fout</v>
          </cell>
          <cell r="D190" t="str">
            <v>AUX_SCOM-CHPWOD_OUT</v>
          </cell>
          <cell r="H190">
            <v>6.999785318850185E-5</v>
          </cell>
          <cell r="I190">
            <v>1.6799919928317736E-4</v>
          </cell>
          <cell r="J190">
            <v>1.9494588787809309E-4</v>
          </cell>
        </row>
        <row r="191">
          <cell r="B191" t="str">
            <v>SCOM-SWHSTG-CHPWOD</v>
          </cell>
          <cell r="C191" t="str">
            <v>VAR_fout</v>
          </cell>
          <cell r="D191" t="str">
            <v>SCOM_LTH_CHPWOD</v>
          </cell>
          <cell r="E191">
            <v>2.0749229203426731E-6</v>
          </cell>
          <cell r="H191">
            <v>6.9997853188501742E-5</v>
          </cell>
          <cell r="I191">
            <v>1.6799919928317712E-4</v>
          </cell>
          <cell r="J191">
            <v>1.9494588787809301E-4</v>
          </cell>
        </row>
        <row r="192">
          <cell r="B192" t="str">
            <v>SCOM-SWHSTG-CHPWOD</v>
          </cell>
          <cell r="C192" t="str">
            <v>VAR_fin</v>
          </cell>
          <cell r="D192" t="str">
            <v>AUX_SCOM-CHPWOD_IN</v>
          </cell>
          <cell r="H192">
            <v>8.041801820956942E-5</v>
          </cell>
          <cell r="I192">
            <v>1.8064430030442704E-4</v>
          </cell>
          <cell r="J192">
            <v>1.9690762612745773E-4</v>
          </cell>
        </row>
        <row r="193">
          <cell r="B193" t="str">
            <v>SCOM-SWHSTG-CHPWOD</v>
          </cell>
          <cell r="C193" t="str">
            <v>VAR_fin</v>
          </cell>
          <cell r="D193" t="str">
            <v>SCOM_LTH_CHPWOD</v>
          </cell>
          <cell r="H193">
            <v>8.041801820956942E-5</v>
          </cell>
          <cell r="I193">
            <v>1.8064430030442704E-4</v>
          </cell>
          <cell r="J193">
            <v>1.9690762612745773E-4</v>
          </cell>
        </row>
        <row r="194">
          <cell r="B194" t="str">
            <v>SCOM-SWHSTG-CHPWOD</v>
          </cell>
          <cell r="C194" t="str">
            <v>VAR_ncap</v>
          </cell>
          <cell r="D194" t="str">
            <v>-</v>
          </cell>
          <cell r="E194">
            <v>2.1132870065676001E-5</v>
          </cell>
          <cell r="F194">
            <v>5.3117682040224904E-7</v>
          </cell>
          <cell r="G194">
            <v>9.2483712828015501E-7</v>
          </cell>
          <cell r="H194">
            <v>9.2805489722955496E-7</v>
          </cell>
          <cell r="I194">
            <v>1.8392568312004699E-6</v>
          </cell>
          <cell r="J194">
            <v>3.9163181021115897E-6</v>
          </cell>
        </row>
        <row r="195">
          <cell r="B195" t="str">
            <v>SCOM-SWHSTG-CHPWOD</v>
          </cell>
          <cell r="C195" t="str">
            <v>VAR_cap</v>
          </cell>
          <cell r="D195" t="str">
            <v>-</v>
          </cell>
          <cell r="E195">
            <v>2.1132870065676001E-5</v>
          </cell>
          <cell r="F195">
            <v>2.1602990558006229E-5</v>
          </cell>
          <cell r="G195">
            <v>2.2378660960872255E-5</v>
          </cell>
          <cell r="H195">
            <v>2.3102713555655745E-5</v>
          </cell>
          <cell r="I195">
            <v>3.2798622109914663E-5</v>
          </cell>
          <cell r="J195">
            <v>1.7989088679968201E-5</v>
          </cell>
        </row>
        <row r="196">
          <cell r="B196" t="str">
            <v>RHNM-ESOLPV</v>
          </cell>
          <cell r="C196" t="str">
            <v>VAR_fout</v>
          </cell>
          <cell r="D196" t="str">
            <v>RHNM_SOL_ELC</v>
          </cell>
          <cell r="F196">
            <v>0.29563184970243983</v>
          </cell>
          <cell r="G196">
            <v>0.47274852499752307</v>
          </cell>
          <cell r="H196">
            <v>0.57489753778804098</v>
          </cell>
          <cell r="I196">
            <v>0.77261421978962219</v>
          </cell>
          <cell r="J196">
            <v>1.0383289765060941</v>
          </cell>
        </row>
        <row r="197">
          <cell r="B197" t="str">
            <v>RHNM-ESOLPV</v>
          </cell>
          <cell r="C197" t="str">
            <v>VAR_fin</v>
          </cell>
          <cell r="D197" t="str">
            <v>SOL</v>
          </cell>
          <cell r="F197">
            <v>0.29563184970243983</v>
          </cell>
          <cell r="G197">
            <v>0.47274852499752307</v>
          </cell>
          <cell r="H197">
            <v>0.57489753778804098</v>
          </cell>
          <cell r="I197">
            <v>0.77261421978962219</v>
          </cell>
          <cell r="J197">
            <v>1.0383289765060941</v>
          </cell>
        </row>
        <row r="198">
          <cell r="B198" t="str">
            <v>RHNM-ESOLPV</v>
          </cell>
          <cell r="C198" t="str">
            <v>VAR_fin</v>
          </cell>
          <cell r="D198" t="str">
            <v>SOLPVC</v>
          </cell>
          <cell r="F198">
            <v>0.29563184970244</v>
          </cell>
          <cell r="G198">
            <v>0.47274852499752301</v>
          </cell>
          <cell r="H198">
            <v>0.57489753778804098</v>
          </cell>
          <cell r="I198">
            <v>0.77261421978962197</v>
          </cell>
          <cell r="J198">
            <v>1.0383289765060899</v>
          </cell>
        </row>
        <row r="199">
          <cell r="B199" t="str">
            <v>RHNM-ESOLPV</v>
          </cell>
          <cell r="C199" t="str">
            <v>VAR_ncap</v>
          </cell>
          <cell r="D199" t="str">
            <v>-</v>
          </cell>
          <cell r="F199">
            <v>9.2105355295901095E-2</v>
          </cell>
          <cell r="G199">
            <v>5.0851511341988502E-2</v>
          </cell>
          <cell r="H199">
            <v>2.2769336721294098E-2</v>
          </cell>
          <cell r="I199">
            <v>7.4947774946945697E-2</v>
          </cell>
          <cell r="J199">
            <v>0.197417505674646</v>
          </cell>
        </row>
        <row r="200">
          <cell r="B200" t="str">
            <v>RHNM-ESOLPV</v>
          </cell>
          <cell r="C200" t="str">
            <v>VAR_cap</v>
          </cell>
          <cell r="D200" t="str">
            <v>-</v>
          </cell>
          <cell r="F200">
            <v>9.2105355295901095E-2</v>
          </cell>
          <cell r="G200">
            <v>0.14295686663789001</v>
          </cell>
          <cell r="H200">
            <v>0.165726203359184</v>
          </cell>
          <cell r="I200">
            <v>0.22272215972318199</v>
          </cell>
          <cell r="J200">
            <v>0.299319970255987</v>
          </cell>
        </row>
        <row r="201">
          <cell r="B201" t="str">
            <v>CHPNGA</v>
          </cell>
          <cell r="C201" t="str">
            <v>VAR_fout</v>
          </cell>
          <cell r="D201" t="str">
            <v>ELC35</v>
          </cell>
          <cell r="E201">
            <v>0.96588003501536424</v>
          </cell>
          <cell r="G201">
            <v>2.5187597798482647E-2</v>
          </cell>
          <cell r="H201">
            <v>3.3697122694864669E-2</v>
          </cell>
          <cell r="I201">
            <v>2.2728398051157186E-2</v>
          </cell>
          <cell r="J201">
            <v>5.2304589041500021E-6</v>
          </cell>
        </row>
        <row r="202">
          <cell r="B202" t="str">
            <v>CHPNGA</v>
          </cell>
          <cell r="C202" t="str">
            <v>VAR_fout</v>
          </cell>
          <cell r="D202" t="str">
            <v>LTH</v>
          </cell>
          <cell r="E202">
            <v>1.8035498856199199</v>
          </cell>
          <cell r="G202">
            <v>5.0450664626321702E-2</v>
          </cell>
          <cell r="H202">
            <v>7.2069107790757467E-2</v>
          </cell>
          <cell r="I202">
            <v>4.8087260008775563E-2</v>
          </cell>
          <cell r="J202">
            <v>1.1316567024432854E-5</v>
          </cell>
        </row>
        <row r="203">
          <cell r="B203" t="str">
            <v>CHPNGA</v>
          </cell>
          <cell r="C203" t="str">
            <v>VAR_fout</v>
          </cell>
          <cell r="D203" t="str">
            <v>CO2_E</v>
          </cell>
          <cell r="E203">
            <v>206.74327932684201</v>
          </cell>
          <cell r="G203">
            <v>5.5712746162851996</v>
          </cell>
          <cell r="H203">
            <v>7.7069851889711796</v>
          </cell>
          <cell r="I203">
            <v>5.14399328657466</v>
          </cell>
          <cell r="J203">
            <v>1.41533307814327E-3</v>
          </cell>
        </row>
        <row r="204">
          <cell r="B204" t="str">
            <v>CHPNGA</v>
          </cell>
          <cell r="C204" t="str">
            <v>VAR_fin</v>
          </cell>
          <cell r="D204" t="str">
            <v>ENGA</v>
          </cell>
          <cell r="E204">
            <v>3.6656609809723784</v>
          </cell>
          <cell r="G204">
            <v>9.8781464827751811E-2</v>
          </cell>
          <cell r="H204">
            <v>0.13664867356331883</v>
          </cell>
          <cell r="I204">
            <v>9.1205554726500992E-2</v>
          </cell>
          <cell r="J204">
            <v>2.509455812310763E-5</v>
          </cell>
        </row>
        <row r="205">
          <cell r="B205" t="str">
            <v>CHPNGA</v>
          </cell>
          <cell r="C205" t="str">
            <v>VAR_ncap</v>
          </cell>
          <cell r="D205" t="str">
            <v>-</v>
          </cell>
          <cell r="G205">
            <v>3.1905935063550601E-3</v>
          </cell>
          <cell r="H205">
            <v>1.3918371269051701E-6</v>
          </cell>
        </row>
        <row r="206">
          <cell r="B206" t="str">
            <v>CHPNGA</v>
          </cell>
          <cell r="C206" t="str">
            <v>VAR_cap</v>
          </cell>
          <cell r="D206" t="str">
            <v>-</v>
          </cell>
          <cell r="E206">
            <v>5.0056806695824498E-2</v>
          </cell>
          <cell r="F206">
            <v>1.2608148419746001E-7</v>
          </cell>
          <cell r="G206">
            <v>3.1907139090744524E-3</v>
          </cell>
          <cell r="H206">
            <v>3.192078460505475E-3</v>
          </cell>
          <cell r="I206">
            <v>3.7181274437036497E-3</v>
          </cell>
          <cell r="J206">
            <v>1.8211891907697619E-6</v>
          </cell>
        </row>
        <row r="207">
          <cell r="B207" t="str">
            <v>EHYD-PUM00</v>
          </cell>
          <cell r="C207" t="str">
            <v>VAR_fout</v>
          </cell>
          <cell r="D207" t="str">
            <v>ELC</v>
          </cell>
          <cell r="E207">
            <v>12.841920049738343</v>
          </cell>
          <cell r="F207">
            <v>16.03296013341502</v>
          </cell>
          <cell r="G207">
            <v>2.6697336315830857</v>
          </cell>
          <cell r="H207">
            <v>12.550551655250576</v>
          </cell>
          <cell r="I207">
            <v>12.937571104638431</v>
          </cell>
          <cell r="J207">
            <v>13.428571200901589</v>
          </cell>
        </row>
        <row r="208">
          <cell r="B208" t="str">
            <v>EHYD-PUM00</v>
          </cell>
          <cell r="C208" t="str">
            <v>VAR_fout</v>
          </cell>
          <cell r="D208" t="str">
            <v>AUX_PUMP_OUT</v>
          </cell>
          <cell r="E208">
            <v>12.841920049738343</v>
          </cell>
          <cell r="F208">
            <v>16.03296013341502</v>
          </cell>
          <cell r="G208">
            <v>2.6697336315830857</v>
          </cell>
          <cell r="H208">
            <v>12.550551655250576</v>
          </cell>
          <cell r="I208">
            <v>12.937571104638431</v>
          </cell>
          <cell r="J208">
            <v>13.428571200901589</v>
          </cell>
        </row>
        <row r="209">
          <cell r="B209" t="str">
            <v>EHYD-PUM00</v>
          </cell>
          <cell r="C209" t="str">
            <v>VAR_fin</v>
          </cell>
          <cell r="D209" t="str">
            <v>AUX_PUMP_IN</v>
          </cell>
          <cell r="E209">
            <v>16.052400097380474</v>
          </cell>
          <cell r="F209">
            <v>20.041200184820912</v>
          </cell>
          <cell r="G209">
            <v>3.3371670679595833</v>
          </cell>
          <cell r="H209">
            <v>15.688189553534095</v>
          </cell>
          <cell r="I209">
            <v>16.171963841891007</v>
          </cell>
          <cell r="J209">
            <v>16.785713962671927</v>
          </cell>
        </row>
        <row r="210">
          <cell r="B210" t="str">
            <v>EHYD-PUM00</v>
          </cell>
          <cell r="C210" t="str">
            <v>VAR_fin</v>
          </cell>
          <cell r="D210" t="str">
            <v>ELC</v>
          </cell>
          <cell r="E210">
            <v>16.052400097380474</v>
          </cell>
          <cell r="F210">
            <v>20.041200184820912</v>
          </cell>
          <cell r="G210">
            <v>3.3371670679595833</v>
          </cell>
          <cell r="H210">
            <v>15.688189553534095</v>
          </cell>
          <cell r="I210">
            <v>16.171963841891007</v>
          </cell>
          <cell r="J210">
            <v>16.785713962671927</v>
          </cell>
        </row>
        <row r="211">
          <cell r="B211" t="str">
            <v>EHYD-PUM00</v>
          </cell>
          <cell r="C211" t="str">
            <v>VAR_cap</v>
          </cell>
          <cell r="D211" t="str">
            <v>-</v>
          </cell>
          <cell r="E211">
            <v>3.3394499999999998</v>
          </cell>
          <cell r="F211">
            <v>3.97102894612105</v>
          </cell>
          <cell r="G211">
            <v>4.3594499999999998</v>
          </cell>
          <cell r="H211">
            <v>4.3594499999999998</v>
          </cell>
          <cell r="I211">
            <v>4.3594499999999998</v>
          </cell>
          <cell r="J211">
            <v>4.3594499999999998</v>
          </cell>
        </row>
        <row r="212">
          <cell r="B212" t="str">
            <v>RHNS-SHSTG-CHPNGA</v>
          </cell>
          <cell r="C212" t="str">
            <v>VAR_fout</v>
          </cell>
          <cell r="D212" t="str">
            <v>RHNS_LTH_CHPNGA</v>
          </cell>
          <cell r="E212">
            <v>3.7329779142057018E-6</v>
          </cell>
          <cell r="F212">
            <v>3.1752981152789271E-6</v>
          </cell>
          <cell r="G212">
            <v>4.8600375745294385E-5</v>
          </cell>
          <cell r="H212">
            <v>6.7518042096222802E-5</v>
          </cell>
          <cell r="I212">
            <v>5.8301060570417798E-5</v>
          </cell>
          <cell r="J212">
            <v>1.7171372377807031E-5</v>
          </cell>
        </row>
        <row r="213">
          <cell r="B213" t="str">
            <v>RHNS-SHSTG-CHPNGA</v>
          </cell>
          <cell r="C213" t="str">
            <v>VAR_fout</v>
          </cell>
          <cell r="D213" t="str">
            <v>AUX_RNS-CHPNGA_OUT</v>
          </cell>
          <cell r="E213">
            <v>3.7329779142057123E-6</v>
          </cell>
          <cell r="F213">
            <v>3.1731826601721507E-6</v>
          </cell>
          <cell r="G213">
            <v>4.8549803033800872E-5</v>
          </cell>
          <cell r="H213">
            <v>6.7518042096222802E-5</v>
          </cell>
          <cell r="I213">
            <v>5.8301060570417988E-5</v>
          </cell>
          <cell r="J213">
            <v>1.7171372377807048E-5</v>
          </cell>
        </row>
        <row r="214">
          <cell r="B214" t="str">
            <v>RHNS-SHSTG-CHPNGA</v>
          </cell>
          <cell r="C214" t="str">
            <v>VAR_fin</v>
          </cell>
          <cell r="D214" t="str">
            <v>RHNS_LTH_CHPNGA</v>
          </cell>
          <cell r="E214">
            <v>2.9849224806434001E-6</v>
          </cell>
          <cell r="F214">
            <v>4.2143940276066156E-6</v>
          </cell>
          <cell r="G214">
            <v>6.2656794892869644E-5</v>
          </cell>
          <cell r="H214">
            <v>8.4375316220678783E-5</v>
          </cell>
          <cell r="I214">
            <v>6.8564735314425061E-5</v>
          </cell>
          <cell r="J214">
            <v>1.9078217160554993E-5</v>
          </cell>
        </row>
        <row r="215">
          <cell r="B215" t="str">
            <v>RHNS-SHSTG-CHPNGA</v>
          </cell>
          <cell r="C215" t="str">
            <v>VAR_fin</v>
          </cell>
          <cell r="D215" t="str">
            <v>AUX_RNS-CHPNGA_IN</v>
          </cell>
          <cell r="E215">
            <v>2.9849224806434001E-6</v>
          </cell>
          <cell r="F215">
            <v>4.2143940276066156E-6</v>
          </cell>
          <cell r="G215">
            <v>6.2656794892869644E-5</v>
          </cell>
          <cell r="H215">
            <v>8.4375316220678783E-5</v>
          </cell>
          <cell r="I215">
            <v>6.8564735314425061E-5</v>
          </cell>
          <cell r="J215">
            <v>1.9078217160554993E-5</v>
          </cell>
        </row>
        <row r="216">
          <cell r="B216" t="str">
            <v>RHNS-SHSTG-CHPNGA</v>
          </cell>
          <cell r="C216" t="str">
            <v>VAR_ncap</v>
          </cell>
          <cell r="D216" t="str">
            <v>-</v>
          </cell>
          <cell r="E216">
            <v>3.7518816002211001E-5</v>
          </cell>
          <cell r="F216">
            <v>1.08063141388534E-6</v>
          </cell>
          <cell r="G216">
            <v>8.9392467744990004E-7</v>
          </cell>
          <cell r="H216">
            <v>4.1392329722605699E-7</v>
          </cell>
          <cell r="I216">
            <v>2.6936783021838502E-6</v>
          </cell>
          <cell r="J216">
            <v>4.0643410641347503E-6</v>
          </cell>
        </row>
        <row r="217">
          <cell r="B217" t="str">
            <v>RHNS-SHSTG-CHPNGA</v>
          </cell>
          <cell r="C217" t="str">
            <v>VAR_cap</v>
          </cell>
          <cell r="D217" t="str">
            <v>-</v>
          </cell>
          <cell r="E217">
            <v>3.7518816002211001E-5</v>
          </cell>
          <cell r="F217">
            <v>3.853928966918836E-5</v>
          </cell>
          <cell r="G217">
            <v>3.9249668976425298E-5</v>
          </cell>
          <cell r="H217">
            <v>3.9173735783619863E-5</v>
          </cell>
          <cell r="I217">
            <v>3.7012370759489405E-5</v>
          </cell>
          <cell r="J217">
            <v>2.0280604710834543E-5</v>
          </cell>
        </row>
        <row r="218">
          <cell r="B218" t="str">
            <v>ITOT-CHPGFC</v>
          </cell>
          <cell r="C218" t="str">
            <v>VAR_fout</v>
          </cell>
          <cell r="D218" t="str">
            <v>ITOT_NKEV_GAS_ELC_CHP</v>
          </cell>
          <cell r="H218">
            <v>1.144808954257194E-5</v>
          </cell>
          <cell r="I218">
            <v>3.9447583084998664E-5</v>
          </cell>
          <cell r="J218">
            <v>1.688498475659516E-5</v>
          </cell>
        </row>
        <row r="219">
          <cell r="B219" t="str">
            <v>ITOT-CHPGFC</v>
          </cell>
          <cell r="C219" t="str">
            <v>VAR_fout</v>
          </cell>
          <cell r="D219" t="str">
            <v>ITOT_LTH_CHP</v>
          </cell>
          <cell r="H219">
            <v>5.7240447712859715E-6</v>
          </cell>
          <cell r="I219">
            <v>1.773331716665078E-5</v>
          </cell>
          <cell r="J219">
            <v>6.4574781708892726E-6</v>
          </cell>
        </row>
        <row r="220">
          <cell r="B220" t="str">
            <v>ITOT-CHPGFC</v>
          </cell>
          <cell r="C220" t="str">
            <v>VAR_fout</v>
          </cell>
          <cell r="D220" t="str">
            <v>CO2_I</v>
          </cell>
          <cell r="H220">
            <v>1.2416774042328001E-3</v>
          </cell>
          <cell r="I220">
            <v>4.0822819926494098E-3</v>
          </cell>
          <cell r="J220">
            <v>1.6714156436105499E-3</v>
          </cell>
        </row>
        <row r="221">
          <cell r="B221" t="str">
            <v>ITOT-CHPGFC</v>
          </cell>
          <cell r="C221" t="str">
            <v>VAR_fin</v>
          </cell>
          <cell r="D221" t="str">
            <v>INGA</v>
          </cell>
          <cell r="H221">
            <v>2.2015556812638334E-5</v>
          </cell>
          <cell r="I221">
            <v>7.2380886394492997E-5</v>
          </cell>
          <cell r="J221">
            <v>2.9635029142031009E-5</v>
          </cell>
        </row>
        <row r="222">
          <cell r="B222" t="str">
            <v>ITOT-CHPGFC</v>
          </cell>
          <cell r="C222" t="str">
            <v>VAR_ncap</v>
          </cell>
          <cell r="D222" t="str">
            <v>-</v>
          </cell>
          <cell r="H222">
            <v>1.61634040058719E-6</v>
          </cell>
          <cell r="I222">
            <v>6.346394426175E-7</v>
          </cell>
          <cell r="J222">
            <v>5.9993276861767404E-7</v>
          </cell>
        </row>
        <row r="223">
          <cell r="B223" t="str">
            <v>ITOT-CHPGFC</v>
          </cell>
          <cell r="C223" t="str">
            <v>VAR_cap</v>
          </cell>
          <cell r="D223" t="str">
            <v>-</v>
          </cell>
          <cell r="H223">
            <v>1.61634040058719E-6</v>
          </cell>
          <cell r="I223">
            <v>3.1649809297457798E-6</v>
          </cell>
          <cell r="J223">
            <v>1.6638727788730199E-6</v>
          </cell>
        </row>
        <row r="224">
          <cell r="B224" t="str">
            <v>ITOT-SWSTG-CHP</v>
          </cell>
          <cell r="C224" t="str">
            <v>VAR_fout</v>
          </cell>
          <cell r="D224" t="str">
            <v>ITOT_LTH_CHP</v>
          </cell>
          <cell r="E224">
            <v>6.171009540531061E-6</v>
          </cell>
          <cell r="G224">
            <v>0.10781275649664056</v>
          </cell>
          <cell r="H224">
            <v>3.0893372794997858E-5</v>
          </cell>
          <cell r="I224">
            <v>6.674981330720102E-2</v>
          </cell>
          <cell r="J224">
            <v>0.10664865886185963</v>
          </cell>
        </row>
        <row r="225">
          <cell r="B225" t="str">
            <v>ITOT-SWSTG-CHP</v>
          </cell>
          <cell r="C225" t="str">
            <v>VAR_fout</v>
          </cell>
          <cell r="D225" t="str">
            <v>AUX_ITOT-CHP_OUT</v>
          </cell>
          <cell r="E225">
            <v>6.1710095405310517E-6</v>
          </cell>
          <cell r="G225">
            <v>0.10767524022559885</v>
          </cell>
          <cell r="H225">
            <v>3.0893372794997906E-5</v>
          </cell>
          <cell r="I225">
            <v>6.6749813307201158E-2</v>
          </cell>
          <cell r="J225">
            <v>0.10664865886185963</v>
          </cell>
        </row>
        <row r="226">
          <cell r="B226" t="str">
            <v>ITOT-SWSTG-CHP</v>
          </cell>
          <cell r="C226" t="str">
            <v>VAR_fin</v>
          </cell>
          <cell r="D226" t="str">
            <v>ITOT_LTH_CHP</v>
          </cell>
          <cell r="E226">
            <v>7.6185302979216931E-6</v>
          </cell>
          <cell r="G226">
            <v>0.1283485196388576</v>
          </cell>
          <cell r="H226">
            <v>3.5510354951438309E-5</v>
          </cell>
          <cell r="I226">
            <v>7.1773992803453368E-2</v>
          </cell>
          <cell r="J226">
            <v>0.10772594690585965</v>
          </cell>
        </row>
        <row r="227">
          <cell r="B227" t="str">
            <v>ITOT-SWSTG-CHP</v>
          </cell>
          <cell r="C227" t="str">
            <v>VAR_fin</v>
          </cell>
          <cell r="D227" t="str">
            <v>AUX_ITOT-CHP_IN</v>
          </cell>
          <cell r="E227">
            <v>7.6185302979216931E-6</v>
          </cell>
          <cell r="G227">
            <v>0.1283485196388576</v>
          </cell>
          <cell r="H227">
            <v>3.5510354951438309E-5</v>
          </cell>
          <cell r="I227">
            <v>7.1773992803453368E-2</v>
          </cell>
          <cell r="J227">
            <v>0.10772594690585965</v>
          </cell>
        </row>
        <row r="228">
          <cell r="B228" t="str">
            <v>ITOT-SWSTG-CHP</v>
          </cell>
          <cell r="C228" t="str">
            <v>VAR_ncap</v>
          </cell>
          <cell r="D228" t="str">
            <v>-</v>
          </cell>
          <cell r="E228">
            <v>8.7070556153750594E-5</v>
          </cell>
          <cell r="F228">
            <v>1.7086187039369301E-6</v>
          </cell>
          <cell r="G228">
            <v>6.6735960121104996E-3</v>
          </cell>
          <cell r="H228">
            <v>1.5144305885896199E-7</v>
          </cell>
          <cell r="I228">
            <v>1.8822957845098999E-2</v>
          </cell>
          <cell r="J228">
            <v>9.5289039699778203E-3</v>
          </cell>
        </row>
        <row r="229">
          <cell r="B229" t="str">
            <v>ITOT-SWSTG-CHP</v>
          </cell>
          <cell r="C229" t="str">
            <v>VAR_cap</v>
          </cell>
          <cell r="D229" t="str">
            <v>-</v>
          </cell>
          <cell r="E229">
            <v>9.8015042621421328E-5</v>
          </cell>
          <cell r="F229">
            <v>9.9637553837533189E-5</v>
          </cell>
          <cell r="G229">
            <v>6.7731289574049771E-3</v>
          </cell>
          <cell r="H229">
            <v>1.9547177434466982E-3</v>
          </cell>
          <cell r="I229">
            <v>1.9170210055814471E-2</v>
          </cell>
          <cell r="J229">
            <v>2.3189796400688401E-2</v>
          </cell>
        </row>
        <row r="230">
          <cell r="B230" t="str">
            <v>D-ELFO</v>
          </cell>
          <cell r="C230" t="str">
            <v>VAR_fout</v>
          </cell>
          <cell r="D230" t="str">
            <v>CO2</v>
          </cell>
          <cell r="E230">
            <v>25.797751835205101</v>
          </cell>
          <cell r="G230">
            <v>7.0632837500756301E-2</v>
          </cell>
          <cell r="H230">
            <v>1.06691513064462E-2</v>
          </cell>
          <cell r="I230">
            <v>2.4095865936423301E-2</v>
          </cell>
          <cell r="J230">
            <v>2.9506715360133702E-3</v>
          </cell>
        </row>
        <row r="231">
          <cell r="B231" t="str">
            <v>D-ELFO</v>
          </cell>
          <cell r="C231" t="str">
            <v>VAR_fout</v>
          </cell>
          <cell r="D231" t="str">
            <v>ELFO</v>
          </cell>
          <cell r="E231">
            <v>0.34419130685177091</v>
          </cell>
          <cell r="G231">
            <v>9.423770257708131E-4</v>
          </cell>
          <cell r="H231">
            <v>1.4234686629373855E-4</v>
          </cell>
          <cell r="I231">
            <v>3.2148489679882609E-4</v>
          </cell>
          <cell r="J231">
            <v>3.9367596779686233E-5</v>
          </cell>
        </row>
        <row r="232">
          <cell r="B232" t="str">
            <v>D-ELFO</v>
          </cell>
          <cell r="C232" t="str">
            <v>VAR_fin</v>
          </cell>
          <cell r="D232" t="str">
            <v>LFO</v>
          </cell>
          <cell r="E232">
            <v>0.35003733833385409</v>
          </cell>
          <cell r="G232">
            <v>9.5838314112288057E-4</v>
          </cell>
          <cell r="H232">
            <v>1.4476460388665073E-4</v>
          </cell>
          <cell r="I232">
            <v>3.2694526372351929E-4</v>
          </cell>
          <cell r="J232">
            <v>4.0036248792583019E-5</v>
          </cell>
        </row>
        <row r="233">
          <cell r="B233" t="str">
            <v>EHYD-DAM00</v>
          </cell>
          <cell r="C233" t="str">
            <v>VAR_fout</v>
          </cell>
          <cell r="D233" t="str">
            <v>ELC</v>
          </cell>
          <cell r="E233">
            <v>66.745680000968164</v>
          </cell>
          <cell r="F233">
            <v>49.182333429192482</v>
          </cell>
          <cell r="G233">
            <v>68.536314448755732</v>
          </cell>
          <cell r="H233">
            <v>69.5376595447771</v>
          </cell>
          <cell r="I233">
            <v>71.390298246623402</v>
          </cell>
          <cell r="J233">
            <v>66.287014477273274</v>
          </cell>
        </row>
        <row r="234">
          <cell r="B234" t="str">
            <v>EHYD-DAM00</v>
          </cell>
          <cell r="C234" t="str">
            <v>VAR_fin</v>
          </cell>
          <cell r="D234" t="str">
            <v>HYDD</v>
          </cell>
          <cell r="E234">
            <v>66.745680000968164</v>
          </cell>
          <cell r="F234">
            <v>49.182333429192482</v>
          </cell>
          <cell r="G234">
            <v>68.536314448755732</v>
          </cell>
          <cell r="H234">
            <v>69.5376595447771</v>
          </cell>
          <cell r="I234">
            <v>71.390298246623402</v>
          </cell>
          <cell r="J234">
            <v>66.287014477273274</v>
          </cell>
        </row>
        <row r="235">
          <cell r="B235" t="str">
            <v>EHYD-DAM00</v>
          </cell>
          <cell r="C235" t="str">
            <v>VAR_cap</v>
          </cell>
          <cell r="D235" t="str">
            <v>-</v>
          </cell>
          <cell r="E235">
            <v>7.3394300000000001</v>
          </cell>
          <cell r="F235">
            <v>7.3394300000000001</v>
          </cell>
          <cell r="G235">
            <v>7.3394300000000001</v>
          </cell>
          <cell r="H235">
            <v>7.3394300000000001</v>
          </cell>
          <cell r="I235">
            <v>7.3394300000000001</v>
          </cell>
          <cell r="J235">
            <v>7.3394300000000001</v>
          </cell>
        </row>
        <row r="236">
          <cell r="B236" t="str">
            <v>RHES-SHSTG-CHPWOD</v>
          </cell>
          <cell r="C236" t="str">
            <v>VAR_fout</v>
          </cell>
          <cell r="D236" t="str">
            <v>AUX_RES-CHPWOD_OUT</v>
          </cell>
          <cell r="E236">
            <v>1.9552337791304881E-6</v>
          </cell>
          <cell r="G236">
            <v>2.9946150102975776E-6</v>
          </cell>
          <cell r="H236">
            <v>1.4015616890552704E-5</v>
          </cell>
          <cell r="I236">
            <v>2.2330848917904347E-5</v>
          </cell>
          <cell r="J236">
            <v>1.3921078059708822E-5</v>
          </cell>
        </row>
        <row r="237">
          <cell r="B237" t="str">
            <v>RHES-SHSTG-CHPWOD</v>
          </cell>
          <cell r="C237" t="str">
            <v>VAR_fout</v>
          </cell>
          <cell r="D237" t="str">
            <v>RHES_LTH_CHPWOD</v>
          </cell>
          <cell r="E237">
            <v>3.0292518156960169E-6</v>
          </cell>
          <cell r="F237">
            <v>1.5903916282681101E-8</v>
          </cell>
          <cell r="G237">
            <v>2.9977344009333003E-6</v>
          </cell>
          <cell r="H237">
            <v>1.4015616890552704E-5</v>
          </cell>
          <cell r="I237">
            <v>2.233084891790428E-5</v>
          </cell>
          <cell r="J237">
            <v>1.3921078059708814E-5</v>
          </cell>
        </row>
        <row r="238">
          <cell r="B238" t="str">
            <v>RHES-SHSTG-CHPWOD</v>
          </cell>
          <cell r="C238" t="str">
            <v>VAR_fin</v>
          </cell>
          <cell r="D238" t="str">
            <v>AUX_RES-CHPWOD_IN</v>
          </cell>
          <cell r="E238">
            <v>1.5633500171776855E-6</v>
          </cell>
          <cell r="G238">
            <v>1.0354182464316437E-6</v>
          </cell>
          <cell r="H238">
            <v>1.7491355007102168E-5</v>
          </cell>
          <cell r="I238">
            <v>2.6252872127552266E-5</v>
          </cell>
          <cell r="J238">
            <v>1.5467068432100125E-5</v>
          </cell>
        </row>
        <row r="239">
          <cell r="B239" t="str">
            <v>RHES-SHSTG-CHPWOD</v>
          </cell>
          <cell r="C239" t="str">
            <v>VAR_fin</v>
          </cell>
          <cell r="D239" t="str">
            <v>RHES_LTH_CHPWOD</v>
          </cell>
          <cell r="E239">
            <v>1.5633500171776855E-6</v>
          </cell>
          <cell r="G239">
            <v>1.0354182464316437E-6</v>
          </cell>
          <cell r="H239">
            <v>1.7491355007102168E-5</v>
          </cell>
          <cell r="I239">
            <v>2.6252872127552266E-5</v>
          </cell>
          <cell r="J239">
            <v>1.5467068432100125E-5</v>
          </cell>
        </row>
        <row r="240">
          <cell r="B240" t="str">
            <v>RHES-SHSTG-CHPWOD</v>
          </cell>
          <cell r="C240" t="str">
            <v>VAR_ncap</v>
          </cell>
          <cell r="D240" t="str">
            <v>-</v>
          </cell>
          <cell r="E240">
            <v>2.6185778257550999E-5</v>
          </cell>
          <cell r="F240">
            <v>5.9237011691270103E-7</v>
          </cell>
          <cell r="G240">
            <v>9.1960606888727997E-7</v>
          </cell>
          <cell r="H240">
            <v>7.3575538486940897E-7</v>
          </cell>
          <cell r="I240">
            <v>2.1222750869011698E-6</v>
          </cell>
          <cell r="J240">
            <v>4.4032988899394903E-6</v>
          </cell>
        </row>
        <row r="241">
          <cell r="B241" t="str">
            <v>RHES-SHSTG-CHPWOD</v>
          </cell>
          <cell r="C241" t="str">
            <v>VAR_cap</v>
          </cell>
          <cell r="D241" t="str">
            <v>-</v>
          </cell>
          <cell r="E241">
            <v>2.6185778257550999E-5</v>
          </cell>
          <cell r="F241">
            <v>2.6705088326905983E-5</v>
          </cell>
          <cell r="G241">
            <v>2.7435310905385476E-5</v>
          </cell>
          <cell r="H241">
            <v>2.7871340631089139E-5</v>
          </cell>
          <cell r="I241">
            <v>3.6862885915985442E-5</v>
          </cell>
          <cell r="J241">
            <v>2.0312406204849232E-5</v>
          </cell>
        </row>
        <row r="242">
          <cell r="B242" t="str">
            <v>G-INTC-IND</v>
          </cell>
          <cell r="C242" t="str">
            <v>VAR_fout</v>
          </cell>
          <cell r="D242" t="str">
            <v>ELC35</v>
          </cell>
          <cell r="E242">
            <v>8.159670173202749E-5</v>
          </cell>
          <cell r="F242">
            <v>2.9473347744101144E-5</v>
          </cell>
          <cell r="G242">
            <v>3.2287634914337852E-5</v>
          </cell>
          <cell r="H242">
            <v>1.3118148955721552E-5</v>
          </cell>
          <cell r="I242">
            <v>2.0471138159873832E-5</v>
          </cell>
          <cell r="J242">
            <v>1.4307283299932584E-5</v>
          </cell>
        </row>
        <row r="243">
          <cell r="B243" t="str">
            <v>G-INTC-IND</v>
          </cell>
          <cell r="C243" t="str">
            <v>VAR_fout</v>
          </cell>
          <cell r="D243" t="str">
            <v>ITOT_ELC</v>
          </cell>
          <cell r="E243">
            <v>55.811831511769071</v>
          </cell>
          <cell r="F243">
            <v>56.807162268051464</v>
          </cell>
          <cell r="G243">
            <v>56.593935837670969</v>
          </cell>
          <cell r="H243">
            <v>48.508217091179937</v>
          </cell>
          <cell r="I243">
            <v>37.817386176836457</v>
          </cell>
          <cell r="J243">
            <v>34.77173240653881</v>
          </cell>
        </row>
        <row r="244">
          <cell r="B244" t="str">
            <v>G-INTC-IND</v>
          </cell>
          <cell r="C244" t="str">
            <v>VAR_fout</v>
          </cell>
          <cell r="D244" t="str">
            <v>ELC13</v>
          </cell>
          <cell r="E244">
            <v>7.6779389415323505E-5</v>
          </cell>
          <cell r="F244">
            <v>2.0643657153126297E-5</v>
          </cell>
          <cell r="G244">
            <v>2.3695720311749232E-5</v>
          </cell>
          <cell r="H244">
            <v>9.6182288371778972E-6</v>
          </cell>
          <cell r="I244">
            <v>1.4870833573951538E-5</v>
          </cell>
          <cell r="J244">
            <v>1.1129294246862639E-5</v>
          </cell>
        </row>
        <row r="245">
          <cell r="B245" t="str">
            <v>G-INTC-IND</v>
          </cell>
          <cell r="C245" t="str">
            <v>VAR_fin</v>
          </cell>
          <cell r="D245" t="str">
            <v>ELC3</v>
          </cell>
          <cell r="E245">
            <v>25.746423690497458</v>
          </cell>
          <cell r="F245">
            <v>56.807145638399895</v>
          </cell>
          <cell r="G245">
            <v>56.593907534444966</v>
          </cell>
          <cell r="H245">
            <v>22.22443123078207</v>
          </cell>
          <cell r="I245">
            <v>17.176563963470407</v>
          </cell>
          <cell r="J245">
            <v>15.691578432995499</v>
          </cell>
        </row>
        <row r="246">
          <cell r="B246" t="str">
            <v>G-INTC-IND</v>
          </cell>
          <cell r="C246" t="str">
            <v>VAR_fin</v>
          </cell>
          <cell r="D246" t="str">
            <v>ELC5</v>
          </cell>
          <cell r="E246">
            <v>30.065565859342549</v>
          </cell>
          <cell r="F246">
            <v>6.6485792883014938E-5</v>
          </cell>
          <cell r="G246">
            <v>8.3977426724426993E-5</v>
          </cell>
          <cell r="H246">
            <v>26.283808318458288</v>
          </cell>
          <cell r="I246">
            <v>20.640857555337757</v>
          </cell>
          <cell r="J246">
            <v>19.080179120160491</v>
          </cell>
        </row>
        <row r="247">
          <cell r="B247" t="str">
            <v>G-INTC-IND</v>
          </cell>
          <cell r="C247" t="str">
            <v>VAR_cap</v>
          </cell>
          <cell r="D247" t="str">
            <v>-</v>
          </cell>
          <cell r="E247">
            <v>4.4927373631622096</v>
          </cell>
          <cell r="F247">
            <v>4.4927373631622096</v>
          </cell>
          <cell r="G247">
            <v>4.4927373631622096</v>
          </cell>
          <cell r="H247">
            <v>4.4927373631622096</v>
          </cell>
          <cell r="I247">
            <v>4.4927373631622096</v>
          </cell>
          <cell r="J247">
            <v>4.4927373631622096</v>
          </cell>
        </row>
        <row r="248">
          <cell r="B248" t="str">
            <v>D-IH2R</v>
          </cell>
          <cell r="C248" t="str">
            <v>VAR_fout</v>
          </cell>
          <cell r="D248" t="str">
            <v>IH2</v>
          </cell>
          <cell r="H248">
            <v>2.2008178976048671</v>
          </cell>
          <cell r="I248">
            <v>7.0349915667968386</v>
          </cell>
          <cell r="J248">
            <v>7.0084149255420218</v>
          </cell>
        </row>
        <row r="249">
          <cell r="B249" t="str">
            <v>D-IH2R</v>
          </cell>
          <cell r="C249" t="str">
            <v>VAR_fin</v>
          </cell>
          <cell r="D249" t="str">
            <v>H2</v>
          </cell>
          <cell r="H249">
            <v>2.2008178976048671</v>
          </cell>
          <cell r="I249">
            <v>7.0349915667968386</v>
          </cell>
          <cell r="J249">
            <v>7.0084149255420218</v>
          </cell>
        </row>
        <row r="250">
          <cell r="B250" t="str">
            <v>D-IH2R</v>
          </cell>
          <cell r="C250" t="str">
            <v>VAR_ncap</v>
          </cell>
          <cell r="D250" t="str">
            <v>-</v>
          </cell>
          <cell r="H250">
            <v>7.75418550521393E-2</v>
          </cell>
          <cell r="I250">
            <v>0.21426822912636401</v>
          </cell>
          <cell r="J250">
            <v>0.17353678001631401</v>
          </cell>
        </row>
        <row r="251">
          <cell r="B251" t="str">
            <v>D-IH2R</v>
          </cell>
          <cell r="C251" t="str">
            <v>VAR_cap</v>
          </cell>
          <cell r="D251" t="str">
            <v>-</v>
          </cell>
          <cell r="H251">
            <v>7.75418550521393E-2</v>
          </cell>
          <cell r="I251">
            <v>0.24786486427049201</v>
          </cell>
          <cell r="J251">
            <v>0.24692820099437801</v>
          </cell>
        </row>
        <row r="252">
          <cell r="B252" t="str">
            <v>ESOL-PV_E</v>
          </cell>
          <cell r="C252" t="str">
            <v>VAR_fout</v>
          </cell>
          <cell r="D252" t="str">
            <v>CELC_E</v>
          </cell>
          <cell r="H252">
            <v>2.1779204452421344E-6</v>
          </cell>
          <cell r="I252">
            <v>1.9646398198901109E-4</v>
          </cell>
          <cell r="J252">
            <v>1.9748056407708334E-4</v>
          </cell>
        </row>
        <row r="253">
          <cell r="B253" t="str">
            <v>ESOL-PV_E</v>
          </cell>
          <cell r="C253" t="str">
            <v>VAR_fin</v>
          </cell>
          <cell r="D253" t="str">
            <v>SOL</v>
          </cell>
          <cell r="H253">
            <v>2.1779204452421344E-6</v>
          </cell>
          <cell r="I253">
            <v>1.9646398198901109E-4</v>
          </cell>
          <cell r="J253">
            <v>1.9748056407708334E-4</v>
          </cell>
        </row>
        <row r="254">
          <cell r="B254" t="str">
            <v>ESOL-PV_E</v>
          </cell>
          <cell r="C254" t="str">
            <v>VAR_fin</v>
          </cell>
          <cell r="D254" t="str">
            <v>SOLPVC</v>
          </cell>
          <cell r="H254">
            <v>2.1779204452421302E-6</v>
          </cell>
          <cell r="I254">
            <v>1.9646398198901101E-4</v>
          </cell>
          <cell r="J254">
            <v>1.9748056407708299E-4</v>
          </cell>
        </row>
        <row r="255">
          <cell r="B255" t="str">
            <v>ESOL-PV_E</v>
          </cell>
          <cell r="C255" t="str">
            <v>VAR_ncap</v>
          </cell>
          <cell r="D255" t="str">
            <v>-</v>
          </cell>
          <cell r="H255">
            <v>7.33033477469502E-7</v>
          </cell>
          <cell r="I255">
            <v>4.1977083499569599E-5</v>
          </cell>
          <cell r="J255">
            <v>3.65549283707514E-7</v>
          </cell>
        </row>
        <row r="256">
          <cell r="B256" t="str">
            <v>ESOL-PV_E</v>
          </cell>
          <cell r="C256" t="str">
            <v>VAR_cap</v>
          </cell>
          <cell r="D256" t="str">
            <v>-</v>
          </cell>
          <cell r="H256">
            <v>7.33033477469502E-7</v>
          </cell>
          <cell r="I256">
            <v>5.6660239750160801E-5</v>
          </cell>
          <cell r="J256">
            <v>5.7025789033868303E-5</v>
          </cell>
        </row>
        <row r="257">
          <cell r="B257" t="str">
            <v>EWSTINC</v>
          </cell>
          <cell r="C257" t="str">
            <v>VAR_fout</v>
          </cell>
          <cell r="D257" t="str">
            <v>ELC35</v>
          </cell>
          <cell r="E257">
            <v>6.5070000228152001</v>
          </cell>
          <cell r="F257">
            <v>7.4134107447426167</v>
          </cell>
          <cell r="G257">
            <v>8.0540336396326442</v>
          </cell>
          <cell r="H257">
            <v>7.3981380608716156</v>
          </cell>
          <cell r="I257">
            <v>6.0609874217635769</v>
          </cell>
          <cell r="J257">
            <v>4.6534301377627454</v>
          </cell>
        </row>
        <row r="258">
          <cell r="B258" t="str">
            <v>EWSTINC</v>
          </cell>
          <cell r="C258" t="str">
            <v>VAR_fout</v>
          </cell>
          <cell r="D258" t="str">
            <v>CO2_E</v>
          </cell>
          <cell r="E258">
            <v>1689.29320234291</v>
          </cell>
          <cell r="F258">
            <v>1924.60801188862</v>
          </cell>
          <cell r="G258">
            <v>2090.9211973517299</v>
          </cell>
          <cell r="H258">
            <v>1920.64304478329</v>
          </cell>
          <cell r="I258">
            <v>1573.5031220487599</v>
          </cell>
          <cell r="J258">
            <v>1208.0848120082201</v>
          </cell>
        </row>
        <row r="259">
          <cell r="B259" t="str">
            <v>EWSTINC</v>
          </cell>
          <cell r="C259" t="str">
            <v>VAR_fin</v>
          </cell>
          <cell r="D259" t="str">
            <v>EWST</v>
          </cell>
          <cell r="E259">
            <v>18.203590542488215</v>
          </cell>
          <cell r="F259">
            <v>20.739310472937728</v>
          </cell>
          <cell r="G259">
            <v>22.531478419738487</v>
          </cell>
          <cell r="H259">
            <v>20.696584534302726</v>
          </cell>
          <cell r="I259">
            <v>16.955852608284026</v>
          </cell>
          <cell r="J259">
            <v>13.018155301812778</v>
          </cell>
        </row>
        <row r="260">
          <cell r="B260" t="str">
            <v>EWSTINC</v>
          </cell>
          <cell r="C260" t="str">
            <v>VAR_ncap</v>
          </cell>
          <cell r="D260" t="str">
            <v>-</v>
          </cell>
          <cell r="G260">
            <v>1.3233289072957201E-8</v>
          </cell>
          <cell r="H260">
            <v>5.6537037516309299E-2</v>
          </cell>
          <cell r="J260">
            <v>1.53326288631076E-2</v>
          </cell>
        </row>
        <row r="261">
          <cell r="B261" t="str">
            <v>EWSTINC</v>
          </cell>
          <cell r="C261" t="str">
            <v>VAR_cap</v>
          </cell>
          <cell r="D261" t="str">
            <v>-</v>
          </cell>
          <cell r="E261">
            <v>0.30046091294214561</v>
          </cell>
          <cell r="F261">
            <v>0.30046088891064582</v>
          </cell>
          <cell r="G261">
            <v>0.30046089887564731</v>
          </cell>
          <cell r="H261">
            <v>0.2759923004533667</v>
          </cell>
          <cell r="I261">
            <v>0.24376158926372876</v>
          </cell>
          <cell r="J261">
            <v>0.18449778595724642</v>
          </cell>
        </row>
        <row r="262">
          <cell r="B262" t="str">
            <v>D-IBIO</v>
          </cell>
          <cell r="C262" t="str">
            <v>VAR_fout</v>
          </cell>
          <cell r="D262" t="str">
            <v>IBIO</v>
          </cell>
          <cell r="E262">
            <v>0.43672378987796473</v>
          </cell>
          <cell r="F262">
            <v>0.55206475024979285</v>
          </cell>
          <cell r="G262">
            <v>1.8983995290829139</v>
          </cell>
          <cell r="H262">
            <v>4.3164937204135194</v>
          </cell>
          <cell r="I262">
            <v>4.3164942636794938</v>
          </cell>
          <cell r="J262">
            <v>4.3164942936805852</v>
          </cell>
        </row>
        <row r="263">
          <cell r="B263" t="str">
            <v>D-IBIO</v>
          </cell>
          <cell r="C263" t="str">
            <v>VAR_fin</v>
          </cell>
          <cell r="D263" t="str">
            <v>BIO</v>
          </cell>
          <cell r="E263">
            <v>0.43672378987796473</v>
          </cell>
          <cell r="F263">
            <v>0.55206475024979285</v>
          </cell>
          <cell r="G263">
            <v>1.8983995290829139</v>
          </cell>
          <cell r="H263">
            <v>4.3164937204135194</v>
          </cell>
          <cell r="I263">
            <v>4.3164942636794938</v>
          </cell>
          <cell r="J263">
            <v>4.3164942936805852</v>
          </cell>
        </row>
        <row r="264">
          <cell r="B264" t="str">
            <v>D-EWOD</v>
          </cell>
          <cell r="C264" t="str">
            <v>VAR_fout</v>
          </cell>
          <cell r="D264" t="str">
            <v>EWOD</v>
          </cell>
          <cell r="E264">
            <v>3.9503467513972308</v>
          </cell>
          <cell r="F264">
            <v>2.0407998151813418</v>
          </cell>
          <cell r="G264">
            <v>1.7529914987933872</v>
          </cell>
          <cell r="H264">
            <v>1.3549051319182084</v>
          </cell>
          <cell r="I264">
            <v>1.2213860379452528</v>
          </cell>
          <cell r="J264">
            <v>3.589842312884346</v>
          </cell>
        </row>
        <row r="265">
          <cell r="B265" t="str">
            <v>D-EWOD</v>
          </cell>
          <cell r="C265" t="str">
            <v>VAR_fin</v>
          </cell>
          <cell r="D265" t="str">
            <v>WOD</v>
          </cell>
          <cell r="E265">
            <v>3.9503467513972308</v>
          </cell>
          <cell r="F265">
            <v>2.0407998151813418</v>
          </cell>
          <cell r="G265">
            <v>1.7529914987933872</v>
          </cell>
          <cell r="H265">
            <v>1.3549051319182084</v>
          </cell>
          <cell r="I265">
            <v>1.2213860379452528</v>
          </cell>
          <cell r="J265">
            <v>3.589842312884346</v>
          </cell>
        </row>
        <row r="266">
          <cell r="B266" t="str">
            <v>HPLWOD</v>
          </cell>
          <cell r="C266" t="str">
            <v>VAR_fout</v>
          </cell>
          <cell r="D266" t="str">
            <v>LTH</v>
          </cell>
          <cell r="E266">
            <v>1.5828446442514124</v>
          </cell>
          <cell r="F266">
            <v>1.4285172449586985</v>
          </cell>
          <cell r="G266">
            <v>1.2247749912392329</v>
          </cell>
          <cell r="H266">
            <v>0.94770755688350861</v>
          </cell>
          <cell r="I266">
            <v>0.56742755369270081</v>
          </cell>
          <cell r="J266">
            <v>0.33973958688319567</v>
          </cell>
        </row>
        <row r="267">
          <cell r="B267" t="str">
            <v>HPLWOD</v>
          </cell>
          <cell r="C267" t="str">
            <v>VAR_fin</v>
          </cell>
          <cell r="D267" t="str">
            <v>EWOD</v>
          </cell>
          <cell r="E267">
            <v>2.2612066346448727</v>
          </cell>
          <cell r="F267">
            <v>2.0407389213695679</v>
          </cell>
          <cell r="G267">
            <v>1.7496785589131918</v>
          </cell>
          <cell r="H267">
            <v>1.3538679384050119</v>
          </cell>
          <cell r="I267">
            <v>0.81061079098957223</v>
          </cell>
          <cell r="J267">
            <v>0.48534226697599347</v>
          </cell>
        </row>
        <row r="268">
          <cell r="B268" t="str">
            <v>HPLWOD</v>
          </cell>
          <cell r="C268" t="str">
            <v>VAR_ncap</v>
          </cell>
          <cell r="D268" t="str">
            <v>-</v>
          </cell>
          <cell r="E268">
            <v>0.200766697898942</v>
          </cell>
          <cell r="F268">
            <v>1.1290363159474601E-8</v>
          </cell>
          <cell r="G268">
            <v>1.26351402270196E-8</v>
          </cell>
          <cell r="H268">
            <v>1.50329687481791E-8</v>
          </cell>
          <cell r="I268">
            <v>3.1132099619265802E-2</v>
          </cell>
          <cell r="J268">
            <v>5.0574961224845803E-2</v>
          </cell>
        </row>
        <row r="269">
          <cell r="B269" t="str">
            <v>HPLWOD</v>
          </cell>
          <cell r="C269" t="str">
            <v>VAR_cap</v>
          </cell>
          <cell r="D269" t="str">
            <v>-</v>
          </cell>
          <cell r="E269">
            <v>0.200766697898942</v>
          </cell>
          <cell r="F269">
            <v>0.200766709189305</v>
          </cell>
          <cell r="G269">
            <v>0.20076672182444499</v>
          </cell>
          <cell r="H269">
            <v>0.200766736857414</v>
          </cell>
          <cell r="I269">
            <v>0.101385249562172</v>
          </cell>
          <cell r="J269">
            <v>8.1707121056184495E-2</v>
          </cell>
        </row>
        <row r="270">
          <cell r="B270" t="str">
            <v>ENGA-GTCC</v>
          </cell>
          <cell r="C270" t="str">
            <v>VAR_fout</v>
          </cell>
          <cell r="D270" t="str">
            <v>ELC13</v>
          </cell>
          <cell r="I270">
            <v>5.388477855123912E-4</v>
          </cell>
          <cell r="J270">
            <v>2.2641676311486105E-5</v>
          </cell>
        </row>
        <row r="271">
          <cell r="B271" t="str">
            <v>ENGA-GTCC</v>
          </cell>
          <cell r="C271" t="str">
            <v>VAR_fout</v>
          </cell>
          <cell r="D271" t="str">
            <v>CO2_E</v>
          </cell>
          <cell r="I271">
            <v>4.9310644361418E-2</v>
          </cell>
          <cell r="J271">
            <v>2.33915080384688E-3</v>
          </cell>
        </row>
        <row r="272">
          <cell r="B272" t="str">
            <v>ENGA-GTCC</v>
          </cell>
          <cell r="C272" t="str">
            <v>VAR_fin</v>
          </cell>
          <cell r="D272" t="str">
            <v>ENGA</v>
          </cell>
          <cell r="I272">
            <v>8.7430220498967994E-4</v>
          </cell>
          <cell r="J272">
            <v>4.1474305032746088E-5</v>
          </cell>
        </row>
        <row r="273">
          <cell r="B273" t="str">
            <v>ENGA-GTCC</v>
          </cell>
          <cell r="C273" t="str">
            <v>VAR_fin</v>
          </cell>
          <cell r="D273" t="str">
            <v>GTC</v>
          </cell>
          <cell r="I273">
            <v>2.68958823423693E-5</v>
          </cell>
          <cell r="J273">
            <v>5.3749715003914602E-6</v>
          </cell>
        </row>
        <row r="274">
          <cell r="B274" t="str">
            <v>ENGA-GTCC</v>
          </cell>
          <cell r="C274" t="str">
            <v>VAR_ncap</v>
          </cell>
          <cell r="D274" t="str">
            <v>-</v>
          </cell>
          <cell r="I274">
            <v>2.68958823423693E-5</v>
          </cell>
        </row>
        <row r="275">
          <cell r="B275" t="str">
            <v>ENGA-GTCC</v>
          </cell>
          <cell r="C275" t="str">
            <v>VAR_cap</v>
          </cell>
          <cell r="D275" t="str">
            <v>-</v>
          </cell>
          <cell r="I275">
            <v>2.68958823423693E-5</v>
          </cell>
          <cell r="J275">
            <v>5.3749715003914992E-6</v>
          </cell>
        </row>
        <row r="276">
          <cell r="B276" t="str">
            <v>D-SNGA</v>
          </cell>
          <cell r="C276" t="str">
            <v>VAR_fout</v>
          </cell>
          <cell r="D276" t="str">
            <v>CO2</v>
          </cell>
          <cell r="E276">
            <v>1521.3871198366401</v>
          </cell>
          <cell r="F276">
            <v>1342.2840998029501</v>
          </cell>
          <cell r="G276">
            <v>1524.34470574293</v>
          </cell>
          <cell r="H276">
            <v>1539.9085252277901</v>
          </cell>
          <cell r="I276">
            <v>1186.4666737984701</v>
          </cell>
          <cell r="J276">
            <v>572.90359680959602</v>
          </cell>
        </row>
        <row r="277">
          <cell r="B277" t="str">
            <v>D-SNGA</v>
          </cell>
          <cell r="C277" t="str">
            <v>VAR_fout</v>
          </cell>
          <cell r="D277" t="str">
            <v>SNGA</v>
          </cell>
          <cell r="E277">
            <v>27.200498329082659</v>
          </cell>
          <cell r="F277">
            <v>28.488279580713559</v>
          </cell>
          <cell r="G277">
            <v>27.398059068473025</v>
          </cell>
          <cell r="H277">
            <v>27.216403092614016</v>
          </cell>
          <cell r="I277">
            <v>20.969658370161532</v>
          </cell>
          <cell r="J277">
            <v>10.308407198230885</v>
          </cell>
        </row>
        <row r="278">
          <cell r="B278" t="str">
            <v>D-SNGA</v>
          </cell>
          <cell r="C278" t="str">
            <v>VAR_fin</v>
          </cell>
          <cell r="D278" t="str">
            <v>NGA</v>
          </cell>
          <cell r="E278">
            <v>26.974948933273833</v>
          </cell>
          <cell r="F278">
            <v>23.799363471683542</v>
          </cell>
          <cell r="G278">
            <v>27.027388399697355</v>
          </cell>
          <cell r="H278">
            <v>27.303342645882893</v>
          </cell>
          <cell r="I278">
            <v>21.036643152455184</v>
          </cell>
          <cell r="J278">
            <v>10.157865191659516</v>
          </cell>
        </row>
        <row r="279">
          <cell r="B279" t="str">
            <v>D-SNGA</v>
          </cell>
          <cell r="C279" t="str">
            <v>VAR_fin</v>
          </cell>
          <cell r="D279" t="str">
            <v>BNGA</v>
          </cell>
          <cell r="E279">
            <v>0.31244464057600857</v>
          </cell>
          <cell r="F279">
            <v>4.7799253250087865</v>
          </cell>
          <cell r="G279">
            <v>0.45762873700201279</v>
          </cell>
          <cell r="H279">
            <v>9.0092723482042539E-6</v>
          </cell>
          <cell r="I279">
            <v>1.3248224571163072E-5</v>
          </cell>
          <cell r="J279">
            <v>1.8201096387667491E-5</v>
          </cell>
        </row>
        <row r="280">
          <cell r="B280" t="str">
            <v>D-SNGA</v>
          </cell>
          <cell r="C280" t="str">
            <v>VAR_fin</v>
          </cell>
          <cell r="D280" t="str">
            <v>H2</v>
          </cell>
          <cell r="G280">
            <v>5.683079487198286E-4</v>
          </cell>
          <cell r="H280">
            <v>7.1739385663705959E-6</v>
          </cell>
          <cell r="I280">
            <v>9.9213490435530163E-6</v>
          </cell>
          <cell r="J280">
            <v>0.18347149364591495</v>
          </cell>
        </row>
        <row r="281">
          <cell r="B281" t="str">
            <v>D-SNGA</v>
          </cell>
          <cell r="C281" t="str">
            <v>VAR_cap</v>
          </cell>
          <cell r="D281" t="str">
            <v>-</v>
          </cell>
          <cell r="E281">
            <v>2.2350522016251402</v>
          </cell>
          <cell r="F281">
            <v>2.2350522016251402</v>
          </cell>
          <cell r="G281">
            <v>2.2350522016251402</v>
          </cell>
          <cell r="H281">
            <v>2.2350522016251402</v>
          </cell>
          <cell r="I281">
            <v>2.2350522016251402</v>
          </cell>
          <cell r="J281">
            <v>1.12089050248886</v>
          </cell>
        </row>
        <row r="282">
          <cell r="B282" t="str">
            <v>RHES-CHPWOD</v>
          </cell>
          <cell r="C282" t="str">
            <v>VAR_fout</v>
          </cell>
          <cell r="D282" t="str">
            <v>RHES_KEV_WOD_ELC_CHP</v>
          </cell>
          <cell r="H282">
            <v>1.0455010908393818E-5</v>
          </cell>
          <cell r="I282">
            <v>2.9516727966701175E-5</v>
          </cell>
          <cell r="J282">
            <v>3.1867468601499866E-5</v>
          </cell>
        </row>
        <row r="283">
          <cell r="B283" t="str">
            <v>RHES-CHPWOD</v>
          </cell>
          <cell r="C283" t="str">
            <v>VAR_fout</v>
          </cell>
          <cell r="D283" t="str">
            <v>RHES_LTH_CHPWOD</v>
          </cell>
          <cell r="H283">
            <v>2.9370083803057675E-5</v>
          </cell>
          <cell r="I283">
            <v>7.6389747504851871E-5</v>
          </cell>
          <cell r="J283">
            <v>7.9352720829802825E-5</v>
          </cell>
        </row>
        <row r="284">
          <cell r="B284" t="str">
            <v>RHES-CHPWOD</v>
          </cell>
          <cell r="C284" t="str">
            <v>VAR_fin</v>
          </cell>
          <cell r="D284" t="str">
            <v>RWOD</v>
          </cell>
          <cell r="H284">
            <v>5.1162247030507272E-5</v>
          </cell>
          <cell r="I284">
            <v>1.268735925814374E-4</v>
          </cell>
          <cell r="J284">
            <v>1.2348282328008173E-4</v>
          </cell>
        </row>
        <row r="285">
          <cell r="B285" t="str">
            <v>RHES-CHPWOD</v>
          </cell>
          <cell r="C285" t="str">
            <v>VAR_ncap</v>
          </cell>
          <cell r="D285" t="str">
            <v>-</v>
          </cell>
          <cell r="H285">
            <v>9.6702197402147197E-7</v>
          </cell>
          <cell r="I285">
            <v>1.8250591994250001E-6</v>
          </cell>
          <cell r="J285">
            <v>1.4571335771059199E-6</v>
          </cell>
        </row>
        <row r="286">
          <cell r="B286" t="str">
            <v>RHES-CHPWOD</v>
          </cell>
          <cell r="C286" t="str">
            <v>VAR_cap</v>
          </cell>
          <cell r="D286" t="str">
            <v>-</v>
          </cell>
          <cell r="H286">
            <v>9.6702197402147197E-7</v>
          </cell>
          <cell r="I286">
            <v>2.6213526855190298E-6</v>
          </cell>
          <cell r="J286">
            <v>2.8390958878391302E-6</v>
          </cell>
        </row>
        <row r="287">
          <cell r="B287" t="str">
            <v>G-INTC-RES</v>
          </cell>
          <cell r="C287" t="str">
            <v>VAR_fout</v>
          </cell>
          <cell r="D287" t="str">
            <v>RHNS_ELC</v>
          </cell>
          <cell r="E287">
            <v>12.536870562726032</v>
          </cell>
          <cell r="F287">
            <v>14.869548785663056</v>
          </cell>
          <cell r="G287">
            <v>14.602819312322143</v>
          </cell>
          <cell r="H287">
            <v>15.3150053794923</v>
          </cell>
          <cell r="I287">
            <v>18.30858146333583</v>
          </cell>
          <cell r="J287">
            <v>18.527231747500974</v>
          </cell>
        </row>
        <row r="288">
          <cell r="B288" t="str">
            <v>G-INTC-RES</v>
          </cell>
          <cell r="C288" t="str">
            <v>VAR_fout</v>
          </cell>
          <cell r="D288" t="str">
            <v>ELC35</v>
          </cell>
          <cell r="E288">
            <v>52.21401197478535</v>
          </cell>
          <cell r="F288">
            <v>6.726040223982656E-5</v>
          </cell>
          <cell r="G288">
            <v>8.435629093759955E-5</v>
          </cell>
          <cell r="H288">
            <v>3.2863012800293405E-5</v>
          </cell>
          <cell r="I288">
            <v>4.7740835142840612E-5</v>
          </cell>
          <cell r="J288">
            <v>1.0760429221574244</v>
          </cell>
        </row>
        <row r="289">
          <cell r="B289" t="str">
            <v>G-INTC-RES</v>
          </cell>
          <cell r="C289" t="str">
            <v>VAR_fout</v>
          </cell>
          <cell r="D289" t="str">
            <v>RHES_ELC</v>
          </cell>
          <cell r="E289">
            <v>21.147487987058707</v>
          </cell>
          <cell r="F289">
            <v>18.678409060316163</v>
          </cell>
          <cell r="G289">
            <v>17.95408821670209</v>
          </cell>
          <cell r="H289">
            <v>17.855082056819434</v>
          </cell>
          <cell r="I289">
            <v>19.631475342347944</v>
          </cell>
          <cell r="J289">
            <v>21.013297158890669</v>
          </cell>
        </row>
        <row r="290">
          <cell r="B290" t="str">
            <v>G-INTC-RES</v>
          </cell>
          <cell r="C290" t="str">
            <v>VAR_fout</v>
          </cell>
          <cell r="D290" t="str">
            <v>RHNM_ELC</v>
          </cell>
          <cell r="E290">
            <v>11.047497563806539</v>
          </cell>
          <cell r="F290">
            <v>14.819867331839797</v>
          </cell>
          <cell r="G290">
            <v>14.658249671299915</v>
          </cell>
          <cell r="H290">
            <v>15.522535266531067</v>
          </cell>
          <cell r="I290">
            <v>19.27080839418862</v>
          </cell>
          <cell r="J290">
            <v>18.864693174607154</v>
          </cell>
        </row>
        <row r="291">
          <cell r="B291" t="str">
            <v>G-INTC-RES</v>
          </cell>
          <cell r="C291" t="str">
            <v>VAR_fout</v>
          </cell>
          <cell r="D291" t="str">
            <v>RHEM_ELC</v>
          </cell>
          <cell r="E291">
            <v>22.209577316275791</v>
          </cell>
          <cell r="F291">
            <v>19.40504003947251</v>
          </cell>
          <cell r="G291">
            <v>18.553839845211531</v>
          </cell>
          <cell r="H291">
            <v>18.133879930108645</v>
          </cell>
          <cell r="I291">
            <v>20.212732461630718</v>
          </cell>
          <cell r="J291">
            <v>20.795879296990666</v>
          </cell>
        </row>
        <row r="292">
          <cell r="B292" t="str">
            <v>G-INTC-RES</v>
          </cell>
          <cell r="C292" t="str">
            <v>VAR_fin</v>
          </cell>
          <cell r="D292" t="str">
            <v>ELC5</v>
          </cell>
          <cell r="E292">
            <v>119.15544462227481</v>
          </cell>
          <cell r="F292">
            <v>67.7729324776938</v>
          </cell>
          <cell r="G292">
            <v>65.769081401826597</v>
          </cell>
          <cell r="H292">
            <v>66.826535495964293</v>
          </cell>
          <cell r="I292">
            <v>77.423645402338266</v>
          </cell>
          <cell r="J292">
            <v>80.277144300146929</v>
          </cell>
        </row>
        <row r="293">
          <cell r="B293" t="str">
            <v>G-INTC-RES</v>
          </cell>
          <cell r="C293" t="str">
            <v>VAR_cap</v>
          </cell>
          <cell r="D293" t="str">
            <v>-</v>
          </cell>
          <cell r="E293">
            <v>4.3300925142827298</v>
          </cell>
          <cell r="F293">
            <v>4.3300925142827298</v>
          </cell>
          <cell r="G293">
            <v>4.3300925142827298</v>
          </cell>
          <cell r="H293">
            <v>4.3300925142827298</v>
          </cell>
          <cell r="I293">
            <v>4.3300925142827298</v>
          </cell>
          <cell r="J293">
            <v>4.3300925142827298</v>
          </cell>
        </row>
        <row r="294">
          <cell r="B294" t="str">
            <v>SCOM-CHPNGA</v>
          </cell>
          <cell r="C294" t="str">
            <v>VAR_fout</v>
          </cell>
          <cell r="D294" t="str">
            <v>CO2_S</v>
          </cell>
          <cell r="E294">
            <v>93.162173840013196</v>
          </cell>
          <cell r="F294">
            <v>98.051357079463003</v>
          </cell>
          <cell r="G294">
            <v>82.062952953480007</v>
          </cell>
          <cell r="H294">
            <v>78.405550360641698</v>
          </cell>
          <cell r="I294">
            <v>28.970079217448799</v>
          </cell>
          <cell r="J294">
            <v>1.1178611040842799E-2</v>
          </cell>
        </row>
        <row r="295">
          <cell r="B295" t="str">
            <v>SCOM-CHPNGA</v>
          </cell>
          <cell r="C295" t="str">
            <v>VAR_fout</v>
          </cell>
          <cell r="D295" t="str">
            <v>SCOM_NKEV_GAS_ELC_CHP</v>
          </cell>
          <cell r="E295">
            <v>0.59439626630979303</v>
          </cell>
          <cell r="F295">
            <v>0.62585982152611519</v>
          </cell>
          <cell r="G295">
            <v>0.52379928583919666</v>
          </cell>
          <cell r="H295">
            <v>0.50045958489711029</v>
          </cell>
          <cell r="I295">
            <v>0.18486777809046459</v>
          </cell>
          <cell r="J295">
            <v>7.0434101981649237E-5</v>
          </cell>
        </row>
        <row r="296">
          <cell r="B296" t="str">
            <v>SCOM-CHPNGA</v>
          </cell>
          <cell r="C296" t="str">
            <v>VAR_fout</v>
          </cell>
          <cell r="D296" t="str">
            <v>SCOM_LTH_CHPNGA</v>
          </cell>
          <cell r="E296">
            <v>0.69257438477950906</v>
          </cell>
          <cell r="F296">
            <v>0.75019035147565793</v>
          </cell>
          <cell r="G296">
            <v>0.65416225768370639</v>
          </cell>
          <cell r="H296">
            <v>0.66690564620455528</v>
          </cell>
          <cell r="I296">
            <v>0.27730166713569726</v>
          </cell>
          <cell r="J296">
            <v>1.0565115297247381E-4</v>
          </cell>
        </row>
        <row r="297">
          <cell r="B297" t="str">
            <v>SCOM-CHPNGA</v>
          </cell>
          <cell r="C297" t="str">
            <v>VAR_fin</v>
          </cell>
          <cell r="D297" t="str">
            <v>SNGA</v>
          </cell>
          <cell r="E297">
            <v>1.6518115929080361</v>
          </cell>
          <cell r="F297">
            <v>1.73849923899757</v>
          </cell>
          <cell r="G297">
            <v>1.4550168963382979</v>
          </cell>
          <cell r="H297">
            <v>1.3901693326354905</v>
          </cell>
          <cell r="I297">
            <v>0.51365388683419944</v>
          </cell>
          <cell r="J297">
            <v>1.9820232341919889E-4</v>
          </cell>
        </row>
        <row r="298">
          <cell r="B298" t="str">
            <v>SCOM-CHPNGA</v>
          </cell>
          <cell r="C298" t="str">
            <v>VAR_ncap</v>
          </cell>
          <cell r="D298" t="str">
            <v>-</v>
          </cell>
          <cell r="F298">
            <v>2.7170719125257901E-2</v>
          </cell>
          <cell r="G298">
            <v>4.5446587496331E-8</v>
          </cell>
          <cell r="H298">
            <v>1.9541110952776201E-8</v>
          </cell>
          <cell r="I298">
            <v>5.4961033368197902E-8</v>
          </cell>
          <cell r="J298">
            <v>5.7466081189125003E-6</v>
          </cell>
        </row>
        <row r="299">
          <cell r="B299" t="str">
            <v>SCOM-CHPNGA</v>
          </cell>
          <cell r="C299" t="str">
            <v>VAR_cap</v>
          </cell>
          <cell r="D299" t="str">
            <v>-</v>
          </cell>
          <cell r="E299">
            <v>6.5199999999999994E-2</v>
          </cell>
          <cell r="F299">
            <v>4.7876845938599699E-2</v>
          </cell>
          <cell r="G299">
            <v>3.9970736379957066E-2</v>
          </cell>
          <cell r="H299">
            <v>3.8205709487555646E-2</v>
          </cell>
          <cell r="I299">
            <v>1.4088511918800447E-2</v>
          </cell>
          <cell r="J299">
            <v>5.8719959803544097E-6</v>
          </cell>
        </row>
        <row r="300">
          <cell r="B300" t="str">
            <v>D-IPLT</v>
          </cell>
          <cell r="C300" t="str">
            <v>VAR_fout</v>
          </cell>
          <cell r="D300" t="str">
            <v>IPLT</v>
          </cell>
          <cell r="E300">
            <v>0.62578625640064789</v>
          </cell>
          <cell r="F300">
            <v>0.73757307582702647</v>
          </cell>
          <cell r="G300">
            <v>0.7363266963517191</v>
          </cell>
          <cell r="H300">
            <v>0.73425844350664682</v>
          </cell>
          <cell r="I300">
            <v>0.73015667817294327</v>
          </cell>
          <cell r="J300">
            <v>0.7261004531553894</v>
          </cell>
        </row>
        <row r="301">
          <cell r="B301" t="str">
            <v>D-IPLT</v>
          </cell>
          <cell r="C301" t="str">
            <v>VAR_fin</v>
          </cell>
          <cell r="D301" t="str">
            <v>PLT</v>
          </cell>
          <cell r="E301">
            <v>0.62578625640064789</v>
          </cell>
          <cell r="F301">
            <v>0.73757307582702647</v>
          </cell>
          <cell r="G301">
            <v>0.7363266963517191</v>
          </cell>
          <cell r="H301">
            <v>0.73425844350664682</v>
          </cell>
          <cell r="I301">
            <v>0.73015667817294327</v>
          </cell>
          <cell r="J301">
            <v>0.7261004531553894</v>
          </cell>
        </row>
        <row r="302">
          <cell r="B302" t="str">
            <v>LTH-STG</v>
          </cell>
          <cell r="C302" t="str">
            <v>VAR_fout</v>
          </cell>
          <cell r="D302" t="str">
            <v>AUX_LTH-STG_OUT</v>
          </cell>
          <cell r="E302">
            <v>3.2537813945653192E-6</v>
          </cell>
          <cell r="G302">
            <v>5.8928776493485961E-5</v>
          </cell>
          <cell r="H302">
            <v>1.660566712849567E-5</v>
          </cell>
          <cell r="I302">
            <v>4.3337401753450666E-5</v>
          </cell>
          <cell r="J302">
            <v>0.14452710571103458</v>
          </cell>
        </row>
        <row r="303">
          <cell r="B303" t="str">
            <v>LTH-STG</v>
          </cell>
          <cell r="C303" t="str">
            <v>VAR_fout</v>
          </cell>
          <cell r="D303" t="str">
            <v>LTH</v>
          </cell>
          <cell r="E303">
            <v>3.2537813945653112E-6</v>
          </cell>
          <cell r="G303">
            <v>5.8990160635666582E-5</v>
          </cell>
          <cell r="H303">
            <v>1.660566712849567E-5</v>
          </cell>
          <cell r="I303">
            <v>4.3337401753450469E-5</v>
          </cell>
          <cell r="J303">
            <v>0.14452710571103444</v>
          </cell>
        </row>
        <row r="304">
          <cell r="B304" t="str">
            <v>LTH-STG</v>
          </cell>
          <cell r="C304" t="str">
            <v>VAR_fin</v>
          </cell>
          <cell r="D304" t="str">
            <v>AUX_LTH-STG_IN</v>
          </cell>
          <cell r="E304">
            <v>4.0181710382872883E-6</v>
          </cell>
          <cell r="G304">
            <v>7.6095582331119573E-5</v>
          </cell>
          <cell r="H304">
            <v>2.0729008708850977E-5</v>
          </cell>
          <cell r="I304">
            <v>5.0989624363810079E-5</v>
          </cell>
          <cell r="J304">
            <v>0.16058566866261029</v>
          </cell>
        </row>
        <row r="305">
          <cell r="B305" t="str">
            <v>LTH-STG</v>
          </cell>
          <cell r="C305" t="str">
            <v>VAR_fin</v>
          </cell>
          <cell r="D305" t="str">
            <v>LTH</v>
          </cell>
          <cell r="E305">
            <v>4.0181710382872883E-6</v>
          </cell>
          <cell r="G305">
            <v>7.6095582331119573E-5</v>
          </cell>
          <cell r="H305">
            <v>2.0729008708850977E-5</v>
          </cell>
          <cell r="I305">
            <v>5.0989624363810079E-5</v>
          </cell>
          <cell r="J305">
            <v>0.16058566866261029</v>
          </cell>
        </row>
        <row r="306">
          <cell r="B306" t="str">
            <v>LTH-STG</v>
          </cell>
          <cell r="C306" t="str">
            <v>VAR_ncap</v>
          </cell>
          <cell r="D306" t="str">
            <v>-</v>
          </cell>
          <cell r="E306">
            <v>1.4857608164104001E-7</v>
          </cell>
          <cell r="F306">
            <v>4.7392779658331403E-8</v>
          </cell>
          <cell r="G306">
            <v>4.2057377643522001E-8</v>
          </cell>
          <cell r="H306">
            <v>5.1950353694269803E-8</v>
          </cell>
          <cell r="I306">
            <v>6.5424980884235803E-7</v>
          </cell>
          <cell r="J306">
            <v>6.5017904978240004E-2</v>
          </cell>
        </row>
        <row r="307">
          <cell r="B307" t="str">
            <v>LTH-STG</v>
          </cell>
          <cell r="C307" t="str">
            <v>VAR_cap</v>
          </cell>
          <cell r="D307" t="str">
            <v>-</v>
          </cell>
          <cell r="E307">
            <v>2.8594924798933048E-5</v>
          </cell>
          <cell r="F307">
            <v>1.2132626867147395E-5</v>
          </cell>
          <cell r="G307">
            <v>1.1422317398667895E-5</v>
          </cell>
          <cell r="H307">
            <v>3.4063256511921705E-6</v>
          </cell>
          <cell r="I307">
            <v>3.4254937762302739E-6</v>
          </cell>
          <cell r="J307">
            <v>6.5020699404159193E-2</v>
          </cell>
        </row>
        <row r="308">
          <cell r="B308" t="str">
            <v>ITOT-CHPOIL</v>
          </cell>
          <cell r="C308" t="str">
            <v>VAR_fout</v>
          </cell>
          <cell r="D308" t="str">
            <v>ITOT_LTH_CHP</v>
          </cell>
          <cell r="E308">
            <v>0.92931890049443122</v>
          </cell>
          <cell r="F308">
            <v>2.0729635468487739</v>
          </cell>
          <cell r="G308">
            <v>3.0648687249485964E-2</v>
          </cell>
          <cell r="H308">
            <v>1.3204719837478649</v>
          </cell>
          <cell r="I308">
            <v>1.4688632820935419E-2</v>
          </cell>
          <cell r="J308">
            <v>3.347383055513178E-3</v>
          </cell>
        </row>
        <row r="309">
          <cell r="B309" t="str">
            <v>ITOT-CHPOIL</v>
          </cell>
          <cell r="C309" t="str">
            <v>VAR_fout</v>
          </cell>
          <cell r="D309" t="str">
            <v>ITOT_NKEV_OIL_ELC_CHP</v>
          </cell>
          <cell r="E309">
            <v>7.0500054520267086E-2</v>
          </cell>
          <cell r="F309">
            <v>0.17152756761400367</v>
          </cell>
          <cell r="G309">
            <v>2.9355451539644114E-3</v>
          </cell>
          <cell r="H309">
            <v>0.17150614835132336</v>
          </cell>
          <cell r="I309">
            <v>6.6262915770496028E-3</v>
          </cell>
          <cell r="J309">
            <v>1.5100444926624385E-3</v>
          </cell>
        </row>
        <row r="310">
          <cell r="B310" t="str">
            <v>ITOT-CHPOIL</v>
          </cell>
          <cell r="C310" t="str">
            <v>VAR_fout</v>
          </cell>
          <cell r="D310" t="str">
            <v>CO2_I</v>
          </cell>
          <cell r="E310">
            <v>21.448008183215201</v>
          </cell>
          <cell r="F310">
            <v>51.245925424001101</v>
          </cell>
          <cell r="G310">
            <v>0.85748183054101601</v>
          </cell>
          <cell r="H310">
            <v>47.98636635754</v>
          </cell>
          <cell r="I310">
            <v>1.85452782902091</v>
          </cell>
          <cell r="J310">
            <v>0.42271855191958502</v>
          </cell>
        </row>
        <row r="311">
          <cell r="B311" t="str">
            <v>ITOT-CHPOIL</v>
          </cell>
          <cell r="C311" t="str">
            <v>VAR_fin</v>
          </cell>
          <cell r="D311" t="str">
            <v>ILFO</v>
          </cell>
          <cell r="E311">
            <v>0.29101775011146758</v>
          </cell>
          <cell r="F311">
            <v>0.69533141687925504</v>
          </cell>
          <cell r="G311">
            <v>1.1634760251574179E-2</v>
          </cell>
          <cell r="H311">
            <v>0.65110402113351429</v>
          </cell>
          <cell r="I311">
            <v>2.5163199851030046E-2</v>
          </cell>
          <cell r="J311">
            <v>5.7356655620025079E-3</v>
          </cell>
        </row>
        <row r="312">
          <cell r="B312" t="str">
            <v>ITOT-CHPOIL</v>
          </cell>
          <cell r="C312" t="str">
            <v>VAR_ncap</v>
          </cell>
          <cell r="D312" t="str">
            <v>-</v>
          </cell>
          <cell r="F312">
            <v>5.6843184469589402E-3</v>
          </cell>
          <cell r="G312">
            <v>9.0658307919662699E-4</v>
          </cell>
          <cell r="H312">
            <v>1.5702238121395699E-2</v>
          </cell>
        </row>
        <row r="313">
          <cell r="B313" t="str">
            <v>ITOT-CHPOIL</v>
          </cell>
          <cell r="C313" t="str">
            <v>VAR_cap</v>
          </cell>
          <cell r="D313" t="str">
            <v>-</v>
          </cell>
          <cell r="E313">
            <v>8.3053317839590496E-3</v>
          </cell>
          <cell r="F313">
            <v>6.6171988512083333E-3</v>
          </cell>
          <cell r="G313">
            <v>7.523768792677292E-3</v>
          </cell>
          <cell r="H313">
            <v>2.3225990095758743E-2</v>
          </cell>
          <cell r="I313">
            <v>1.6985092073045421E-2</v>
          </cell>
          <cell r="J313">
            <v>3.8697376786748817E-3</v>
          </cell>
        </row>
        <row r="314">
          <cell r="B314" t="str">
            <v>ENUC_GOE</v>
          </cell>
          <cell r="C314" t="str">
            <v>VAR_fout</v>
          </cell>
          <cell r="D314" t="str">
            <v>ELC</v>
          </cell>
          <cell r="E314">
            <v>29.714400004142036</v>
          </cell>
          <cell r="F314">
            <v>29.714399789436158</v>
          </cell>
          <cell r="G314">
            <v>26.76463706047387</v>
          </cell>
          <cell r="H314">
            <v>29.714399999704661</v>
          </cell>
        </row>
        <row r="315">
          <cell r="B315" t="str">
            <v>ENUC_GOE</v>
          </cell>
          <cell r="C315" t="str">
            <v>VAR_fin</v>
          </cell>
          <cell r="D315" t="str">
            <v>URN</v>
          </cell>
          <cell r="E315">
            <v>89.580575366206347</v>
          </cell>
          <cell r="F315">
            <v>89.580574718928418</v>
          </cell>
          <cell r="G315">
            <v>80.687868071060763</v>
          </cell>
          <cell r="H315">
            <v>89.580575352828944</v>
          </cell>
        </row>
        <row r="316">
          <cell r="B316" t="str">
            <v>ENUC_GOE</v>
          </cell>
          <cell r="C316" t="str">
            <v>VAR_cap</v>
          </cell>
          <cell r="D316" t="str">
            <v>-</v>
          </cell>
          <cell r="E316">
            <v>1.01</v>
          </cell>
          <cell r="F316">
            <v>1.01</v>
          </cell>
          <cell r="G316">
            <v>1.01</v>
          </cell>
          <cell r="H316">
            <v>1.01</v>
          </cell>
        </row>
        <row r="317">
          <cell r="B317" t="str">
            <v>D-RNGA</v>
          </cell>
          <cell r="C317" t="str">
            <v>VAR_fout</v>
          </cell>
          <cell r="D317" t="str">
            <v>CO2</v>
          </cell>
          <cell r="E317">
            <v>2649.5252187165202</v>
          </cell>
          <cell r="F317">
            <v>2509.0375914337801</v>
          </cell>
          <cell r="G317">
            <v>2747.5698100169102</v>
          </cell>
          <cell r="H317">
            <v>2790.27788468773</v>
          </cell>
          <cell r="I317">
            <v>2269.1310972072301</v>
          </cell>
          <cell r="J317">
            <v>1498.8902813807799</v>
          </cell>
        </row>
        <row r="318">
          <cell r="B318" t="str">
            <v>D-RNGA</v>
          </cell>
          <cell r="C318" t="str">
            <v>VAR_fout</v>
          </cell>
          <cell r="D318" t="str">
            <v>RNGA</v>
          </cell>
          <cell r="E318">
            <v>47.145029042887558</v>
          </cell>
          <cell r="F318">
            <v>44.528147325196372</v>
          </cell>
          <cell r="G318">
            <v>48.74517573148534</v>
          </cell>
          <cell r="H318">
            <v>49.498805142128909</v>
          </cell>
          <cell r="I318">
            <v>40.288041763988545</v>
          </cell>
          <cell r="J318">
            <v>27.149731034551227</v>
          </cell>
        </row>
        <row r="319">
          <cell r="B319" t="str">
            <v>D-RNGA</v>
          </cell>
          <cell r="C319" t="str">
            <v>VAR_fin</v>
          </cell>
          <cell r="D319" t="str">
            <v>NGA</v>
          </cell>
          <cell r="E319">
            <v>46.977397494973694</v>
          </cell>
          <cell r="F319">
            <v>44.486482117620206</v>
          </cell>
          <cell r="G319">
            <v>48.71577677334939</v>
          </cell>
          <cell r="H319">
            <v>49.473012139853338</v>
          </cell>
          <cell r="I319">
            <v>40.23282087246865</v>
          </cell>
          <cell r="J319">
            <v>26.576068818808213</v>
          </cell>
        </row>
        <row r="320">
          <cell r="B320" t="str">
            <v>D-RNGA</v>
          </cell>
          <cell r="C320" t="str">
            <v>VAR_fin</v>
          </cell>
          <cell r="D320" t="str">
            <v>BNGA</v>
          </cell>
          <cell r="E320">
            <v>0.31824198117403046</v>
          </cell>
          <cell r="F320">
            <v>0.18391569924136708</v>
          </cell>
          <cell r="G320">
            <v>0.18391561376397325</v>
          </cell>
          <cell r="H320">
            <v>0.18391562640288062</v>
          </cell>
          <cell r="I320">
            <v>0.18391568250544443</v>
          </cell>
          <cell r="J320">
            <v>0.18391568337492423</v>
          </cell>
        </row>
        <row r="321">
          <cell r="B321" t="str">
            <v>D-RNGA</v>
          </cell>
          <cell r="C321" t="str">
            <v>VAR_fin</v>
          </cell>
          <cell r="D321" t="str">
            <v>H2</v>
          </cell>
          <cell r="G321">
            <v>1.205637587259096E-3</v>
          </cell>
          <cell r="H321">
            <v>7.2239550825521131E-6</v>
          </cell>
          <cell r="I321">
            <v>1.0176398375273864E-5</v>
          </cell>
          <cell r="J321">
            <v>0.47647959494171471</v>
          </cell>
        </row>
        <row r="322">
          <cell r="B322" t="str">
            <v>D-RNGA</v>
          </cell>
          <cell r="C322" t="str">
            <v>VAR_ncap</v>
          </cell>
          <cell r="D322" t="str">
            <v>-</v>
          </cell>
          <cell r="J322">
            <v>0.12370478810383299</v>
          </cell>
        </row>
        <row r="323">
          <cell r="B323" t="str">
            <v>D-RNGA</v>
          </cell>
          <cell r="C323" t="str">
            <v>VAR_cap</v>
          </cell>
          <cell r="D323" t="str">
            <v>-</v>
          </cell>
          <cell r="E323">
            <v>3.0972400073959201</v>
          </cell>
          <cell r="F323">
            <v>3.0972400073959201</v>
          </cell>
          <cell r="G323">
            <v>3.0972400073959201</v>
          </cell>
          <cell r="H323">
            <v>3.0972400073959201</v>
          </cell>
          <cell r="I323">
            <v>3.0972400073959201</v>
          </cell>
          <cell r="J323">
            <v>1.676987036140053</v>
          </cell>
        </row>
        <row r="324">
          <cell r="B324" t="str">
            <v>RHES-CHPGFC</v>
          </cell>
          <cell r="C324" t="str">
            <v>VAR_fout</v>
          </cell>
          <cell r="D324" t="str">
            <v>CO2_R</v>
          </cell>
          <cell r="H324">
            <v>2.8374083040185198E-4</v>
          </cell>
          <cell r="I324">
            <v>8.1832284265745999E-4</v>
          </cell>
          <cell r="J324">
            <v>5.6705919368051105E-4</v>
          </cell>
        </row>
        <row r="325">
          <cell r="B325" t="str">
            <v>RHES-CHPGFC</v>
          </cell>
          <cell r="C325" t="str">
            <v>VAR_fout</v>
          </cell>
          <cell r="D325" t="str">
            <v>RHES_NKEV_GAS_ELC_CHP</v>
          </cell>
          <cell r="H325">
            <v>1.1343615858884094E-6</v>
          </cell>
          <cell r="I325">
            <v>6.3840789143489826E-6</v>
          </cell>
          <cell r="J325">
            <v>4.1218934293874804E-6</v>
          </cell>
        </row>
        <row r="326">
          <cell r="B326" t="str">
            <v>RHES-CHPGFC</v>
          </cell>
          <cell r="C326" t="str">
            <v>VAR_fout</v>
          </cell>
          <cell r="D326" t="str">
            <v>RHES_LTH_CHPNGA</v>
          </cell>
          <cell r="H326">
            <v>1.2704849761950188E-6</v>
          </cell>
          <cell r="I326">
            <v>6.7671236492099232E-6</v>
          </cell>
          <cell r="J326">
            <v>4.1218934293874804E-6</v>
          </cell>
        </row>
        <row r="327">
          <cell r="B327" t="str">
            <v>RHES-CHPGFC</v>
          </cell>
          <cell r="C327" t="str">
            <v>VAR_fin</v>
          </cell>
          <cell r="D327" t="str">
            <v>RNGA</v>
          </cell>
          <cell r="H327">
            <v>5.0308657872668747E-6</v>
          </cell>
          <cell r="I327">
            <v>1.4509270259884045E-5</v>
          </cell>
          <cell r="J327">
            <v>1.0054241022704084E-5</v>
          </cell>
        </row>
        <row r="328">
          <cell r="B328" t="str">
            <v>RHES-CHPGFC</v>
          </cell>
          <cell r="C328" t="str">
            <v>VAR_ncap</v>
          </cell>
          <cell r="D328" t="str">
            <v>-</v>
          </cell>
          <cell r="H328">
            <v>1.97453262719957E-7</v>
          </cell>
          <cell r="J328">
            <v>6.1144601507403696E-8</v>
          </cell>
        </row>
        <row r="329">
          <cell r="B329" t="str">
            <v>RHES-CHPGFC</v>
          </cell>
          <cell r="C329" t="str">
            <v>VAR_cap</v>
          </cell>
          <cell r="D329" t="str">
            <v>-</v>
          </cell>
          <cell r="H329">
            <v>1.97453262719957E-7</v>
          </cell>
          <cell r="I329">
            <v>5.5337873059220096E-7</v>
          </cell>
          <cell r="J329">
            <v>3.96112430202066E-7</v>
          </cell>
        </row>
        <row r="330">
          <cell r="B330" t="str">
            <v>ITOT-CHPHFC</v>
          </cell>
          <cell r="C330" t="str">
            <v>VAR_fout</v>
          </cell>
          <cell r="D330" t="str">
            <v>ITOT_LTH_CHP</v>
          </cell>
          <cell r="H330">
            <v>7.6100724037394838E-5</v>
          </cell>
          <cell r="I330">
            <v>2.8999968554888311E-4</v>
          </cell>
          <cell r="J330">
            <v>0.23421613493086862</v>
          </cell>
        </row>
        <row r="331">
          <cell r="B331" t="str">
            <v>ITOT-CHPHFC</v>
          </cell>
          <cell r="C331" t="str">
            <v>VAR_fout</v>
          </cell>
          <cell r="D331" t="str">
            <v>ITOT_KEV_HFC_ELC_CHP</v>
          </cell>
          <cell r="H331">
            <v>1.0181042810408226E-4</v>
          </cell>
          <cell r="I331">
            <v>4.8333280924813882E-4</v>
          </cell>
          <cell r="J331">
            <v>0.46843226986173725</v>
          </cell>
        </row>
        <row r="332">
          <cell r="B332" t="str">
            <v>ITOT-CHPHFC</v>
          </cell>
          <cell r="C332" t="str">
            <v>VAR_fin</v>
          </cell>
          <cell r="D332" t="str">
            <v>IH2</v>
          </cell>
          <cell r="H332">
            <v>2.0567763253349951E-4</v>
          </cell>
          <cell r="I332">
            <v>8.787869259057067E-4</v>
          </cell>
          <cell r="J332">
            <v>0.78072044976956223</v>
          </cell>
        </row>
        <row r="333">
          <cell r="B333" t="str">
            <v>ITOT-CHPHFC</v>
          </cell>
          <cell r="C333" t="str">
            <v>VAR_ncap</v>
          </cell>
          <cell r="D333" t="str">
            <v>-</v>
          </cell>
          <cell r="H333">
            <v>5.3187028116370303E-6</v>
          </cell>
          <cell r="J333">
            <v>5.66115317627768E-2</v>
          </cell>
        </row>
        <row r="334">
          <cell r="B334" t="str">
            <v>ITOT-CHPHFC</v>
          </cell>
          <cell r="C334" t="str">
            <v>VAR_cap</v>
          </cell>
          <cell r="D334" t="str">
            <v>-</v>
          </cell>
          <cell r="H334">
            <v>5.3187028116370303E-6</v>
          </cell>
          <cell r="I334">
            <v>1.1491027064464352E-4</v>
          </cell>
          <cell r="J334">
            <v>5.6660134978610603E-2</v>
          </cell>
        </row>
        <row r="335">
          <cell r="B335" t="str">
            <v>G-INTC-TRA</v>
          </cell>
          <cell r="C335" t="str">
            <v>VAR_fout</v>
          </cell>
          <cell r="D335" t="str">
            <v>TRAN_ELC</v>
          </cell>
          <cell r="E335">
            <v>10.208507236330062</v>
          </cell>
          <cell r="F335">
            <v>10.665180516808812</v>
          </cell>
          <cell r="G335">
            <v>14.674666403872935</v>
          </cell>
          <cell r="H335">
            <v>26.930026550361262</v>
          </cell>
          <cell r="I335">
            <v>26.121617101916129</v>
          </cell>
          <cell r="J335">
            <v>23.015014282263984</v>
          </cell>
        </row>
        <row r="336">
          <cell r="B336" t="str">
            <v>G-INTC-TRA</v>
          </cell>
          <cell r="C336" t="str">
            <v>VAR_fin</v>
          </cell>
          <cell r="D336" t="str">
            <v>ELC3</v>
          </cell>
          <cell r="E336">
            <v>9.4232374489200446</v>
          </cell>
          <cell r="F336">
            <v>10.665115797306427</v>
          </cell>
          <cell r="G336">
            <v>14.674584878485165</v>
          </cell>
          <cell r="H336">
            <v>18.931008763125242</v>
          </cell>
          <cell r="I336">
            <v>13.637020692912094</v>
          </cell>
          <cell r="J336">
            <v>10.56068693331733</v>
          </cell>
        </row>
        <row r="337">
          <cell r="B337" t="str">
            <v>G-INTC-TRA</v>
          </cell>
          <cell r="C337" t="str">
            <v>VAR_fin</v>
          </cell>
          <cell r="D337" t="str">
            <v>ELC5</v>
          </cell>
          <cell r="E337">
            <v>0.78526978741000386</v>
          </cell>
          <cell r="F337">
            <v>6.4719502388022244E-5</v>
          </cell>
          <cell r="G337">
            <v>8.1636196268851827E-5</v>
          </cell>
          <cell r="H337">
            <v>7.999017787236018</v>
          </cell>
          <cell r="I337">
            <v>12.484596409004023</v>
          </cell>
          <cell r="J337">
            <v>12.454327348946652</v>
          </cell>
        </row>
        <row r="338">
          <cell r="B338" t="str">
            <v>G-INTC-TRA</v>
          </cell>
          <cell r="C338" t="str">
            <v>VAR_cap</v>
          </cell>
          <cell r="D338" t="str">
            <v>-</v>
          </cell>
          <cell r="E338">
            <v>0.86351880627381705</v>
          </cell>
          <cell r="F338">
            <v>0.86351880627381705</v>
          </cell>
          <cell r="G338">
            <v>0.86351880627381705</v>
          </cell>
          <cell r="H338">
            <v>0.86351880627381705</v>
          </cell>
          <cell r="I338">
            <v>0.86351880627381705</v>
          </cell>
          <cell r="J338">
            <v>0.86351880627381705</v>
          </cell>
        </row>
        <row r="339">
          <cell r="B339" t="str">
            <v>SCOM-SWHSTG-CHPBIO</v>
          </cell>
          <cell r="C339" t="str">
            <v>VAR_fout</v>
          </cell>
          <cell r="D339" t="str">
            <v>AUX_SCOM-CHPBIO_OUT</v>
          </cell>
          <cell r="G339">
            <v>3.2331772278417037E-3</v>
          </cell>
          <cell r="H339">
            <v>7.6266211917577341E-4</v>
          </cell>
          <cell r="I339">
            <v>2.8700224006583012E-2</v>
          </cell>
          <cell r="J339">
            <v>0.18914114857499922</v>
          </cell>
        </row>
        <row r="340">
          <cell r="B340" t="str">
            <v>SCOM-SWHSTG-CHPBIO</v>
          </cell>
          <cell r="C340" t="str">
            <v>VAR_fout</v>
          </cell>
          <cell r="D340" t="str">
            <v>SCOM_LTH_CHPBIO</v>
          </cell>
          <cell r="G340">
            <v>3.2373064452463555E-3</v>
          </cell>
          <cell r="H340">
            <v>7.6266211917577059E-4</v>
          </cell>
          <cell r="I340">
            <v>2.8700224006582991E-2</v>
          </cell>
          <cell r="J340">
            <v>0.1891411485749992</v>
          </cell>
        </row>
        <row r="341">
          <cell r="B341" t="str">
            <v>SCOM-SWHSTG-CHPBIO</v>
          </cell>
          <cell r="C341" t="str">
            <v>VAR_fin</v>
          </cell>
          <cell r="D341" t="str">
            <v>SCOM_LTH_CHPBIO</v>
          </cell>
          <cell r="G341">
            <v>3.8539222798194064E-3</v>
          </cell>
          <cell r="H341">
            <v>8.7662734770686357E-4</v>
          </cell>
          <cell r="I341">
            <v>3.0860455921058457E-2</v>
          </cell>
          <cell r="J341">
            <v>0.19105166179424968</v>
          </cell>
        </row>
        <row r="342">
          <cell r="B342" t="str">
            <v>SCOM-SWHSTG-CHPBIO</v>
          </cell>
          <cell r="C342" t="str">
            <v>VAR_fin</v>
          </cell>
          <cell r="D342" t="str">
            <v>AUX_SCOM-CHPBIO_IN</v>
          </cell>
          <cell r="G342">
            <v>3.8539222798194064E-3</v>
          </cell>
          <cell r="H342">
            <v>8.7662734770686357E-4</v>
          </cell>
          <cell r="I342">
            <v>3.0860455921058457E-2</v>
          </cell>
          <cell r="J342">
            <v>0.19105166179424968</v>
          </cell>
        </row>
        <row r="343">
          <cell r="B343" t="str">
            <v>SCOM-SWHSTG-CHPBIO</v>
          </cell>
          <cell r="C343" t="str">
            <v>VAR_ncap</v>
          </cell>
          <cell r="D343" t="str">
            <v>-</v>
          </cell>
          <cell r="E343">
            <v>5.3366018747359598E-5</v>
          </cell>
          <cell r="F343">
            <v>7.6240917966764201E-7</v>
          </cell>
          <cell r="G343">
            <v>4.1633863387471502E-4</v>
          </cell>
          <cell r="H343">
            <v>2.3284135357776599E-7</v>
          </cell>
          <cell r="I343">
            <v>5.2062681759206201E-3</v>
          </cell>
          <cell r="J343">
            <v>2.9578298790459399E-2</v>
          </cell>
        </row>
        <row r="344">
          <cell r="B344" t="str">
            <v>SCOM-SWHSTG-CHPBIO</v>
          </cell>
          <cell r="C344" t="str">
            <v>VAR_cap</v>
          </cell>
          <cell r="D344" t="str">
            <v>-</v>
          </cell>
          <cell r="E344">
            <v>5.3366018747359598E-5</v>
          </cell>
          <cell r="F344">
            <v>5.4075313979294915E-5</v>
          </cell>
          <cell r="G344">
            <v>4.7030833618945866E-4</v>
          </cell>
          <cell r="H344">
            <v>4.6945609796687462E-4</v>
          </cell>
          <cell r="I344">
            <v>7.514768045997427E-3</v>
          </cell>
          <cell r="J344">
            <v>3.4301857741080674E-2</v>
          </cell>
        </row>
        <row r="345">
          <cell r="B345" t="str">
            <v>SCOM-SWHSTG-CHPHFC</v>
          </cell>
          <cell r="C345" t="str">
            <v>VAR_fout</v>
          </cell>
          <cell r="D345" t="str">
            <v>AUX_SCOM-CHPHFC_OUT</v>
          </cell>
          <cell r="H345">
            <v>3.8845849136064046E-5</v>
          </cell>
          <cell r="I345">
            <v>9.536890351538592E-5</v>
          </cell>
          <cell r="J345">
            <v>3.4983655853618428E-4</v>
          </cell>
        </row>
        <row r="346">
          <cell r="B346" t="str">
            <v>SCOM-SWHSTG-CHPHFC</v>
          </cell>
          <cell r="C346" t="str">
            <v>VAR_fout</v>
          </cell>
          <cell r="D346" t="str">
            <v>SCOM_LTH_CHPHFC</v>
          </cell>
          <cell r="E346">
            <v>1.3832819468922212E-6</v>
          </cell>
          <cell r="H346">
            <v>3.8845849136063999E-5</v>
          </cell>
          <cell r="I346">
            <v>9.536890351538588E-5</v>
          </cell>
          <cell r="J346">
            <v>3.4983655853618417E-4</v>
          </cell>
        </row>
        <row r="347">
          <cell r="B347" t="str">
            <v>SCOM-SWHSTG-CHPHFC</v>
          </cell>
          <cell r="C347" t="str">
            <v>VAR_fin</v>
          </cell>
          <cell r="D347" t="str">
            <v>SCOM_LTH_CHPHFC</v>
          </cell>
          <cell r="H347">
            <v>4.4617046706479243E-5</v>
          </cell>
          <cell r="I347">
            <v>1.0254720808106921E-4</v>
          </cell>
          <cell r="J347">
            <v>3.533635902278052E-4</v>
          </cell>
        </row>
        <row r="348">
          <cell r="B348" t="str">
            <v>SCOM-SWHSTG-CHPHFC</v>
          </cell>
          <cell r="C348" t="str">
            <v>VAR_fin</v>
          </cell>
          <cell r="D348" t="str">
            <v>AUX_SCOM-CHPHFC_IN</v>
          </cell>
          <cell r="H348">
            <v>4.4617046706479243E-5</v>
          </cell>
          <cell r="I348">
            <v>1.0254720808106921E-4</v>
          </cell>
          <cell r="J348">
            <v>3.533635902278052E-4</v>
          </cell>
        </row>
        <row r="349">
          <cell r="B349" t="str">
            <v>SCOM-SWHSTG-CHPHFC</v>
          </cell>
          <cell r="C349" t="str">
            <v>VAR_ncap</v>
          </cell>
          <cell r="D349" t="str">
            <v>-</v>
          </cell>
          <cell r="E349">
            <v>2.1131193176480402E-5</v>
          </cell>
          <cell r="F349">
            <v>5.3064955411762802E-7</v>
          </cell>
          <cell r="G349">
            <v>9.2317383733898901E-7</v>
          </cell>
          <cell r="H349">
            <v>9.1294163255218905E-7</v>
          </cell>
          <cell r="I349">
            <v>1.8929842841088E-6</v>
          </cell>
          <cell r="J349">
            <v>7.9098676798855793E-6</v>
          </cell>
        </row>
        <row r="350">
          <cell r="B350" t="str">
            <v>SCOM-SWHSTG-CHPHFC</v>
          </cell>
          <cell r="C350" t="str">
            <v>VAR_cap</v>
          </cell>
          <cell r="D350" t="str">
            <v>-</v>
          </cell>
          <cell r="E350">
            <v>2.1131193176480402E-5</v>
          </cell>
          <cell r="F350">
            <v>2.1600785041721235E-5</v>
          </cell>
          <cell r="G350">
            <v>2.2374717531179715E-5</v>
          </cell>
          <cell r="H350">
            <v>2.3083392076862312E-5</v>
          </cell>
          <cell r="I350">
            <v>3.2859753970276022E-5</v>
          </cell>
          <cell r="J350">
            <v>2.2030225082842529E-5</v>
          </cell>
        </row>
        <row r="351">
          <cell r="B351" t="str">
            <v>D-IHFO</v>
          </cell>
          <cell r="C351" t="str">
            <v>VAR_fout</v>
          </cell>
          <cell r="D351" t="str">
            <v>CO2</v>
          </cell>
          <cell r="E351">
            <v>213.78038784942501</v>
          </cell>
          <cell r="F351">
            <v>5.4981378153623603E-5</v>
          </cell>
          <cell r="G351">
            <v>7.4981988765649796E-3</v>
          </cell>
          <cell r="H351">
            <v>9.4542562718280196E-4</v>
          </cell>
          <cell r="I351">
            <v>8.6100307444479402E-4</v>
          </cell>
        </row>
        <row r="352">
          <cell r="B352" t="str">
            <v>D-IHFO</v>
          </cell>
          <cell r="C352" t="str">
            <v>VAR_fout</v>
          </cell>
          <cell r="D352" t="str">
            <v>IHFO</v>
          </cell>
          <cell r="E352">
            <v>2.7300000809565779</v>
          </cell>
          <cell r="F352">
            <v>7.0211850731704276E-7</v>
          </cell>
          <cell r="G352">
            <v>9.5752859960516562E-5</v>
          </cell>
          <cell r="H352">
            <v>1.2073193732651453E-5</v>
          </cell>
          <cell r="I352">
            <v>1.0995108047954976E-5</v>
          </cell>
        </row>
        <row r="353">
          <cell r="B353" t="str">
            <v>D-IHFO</v>
          </cell>
          <cell r="C353" t="str">
            <v>VAR_fin</v>
          </cell>
          <cell r="D353" t="str">
            <v>HFO</v>
          </cell>
          <cell r="E353">
            <v>2.776368673369157</v>
          </cell>
          <cell r="F353">
            <v>7.1404387212498286E-7</v>
          </cell>
          <cell r="G353">
            <v>9.7379206189155624E-5</v>
          </cell>
          <cell r="H353">
            <v>1.2278254898477964E-5</v>
          </cell>
          <cell r="I353">
            <v>1.1181858109672637E-5</v>
          </cell>
        </row>
        <row r="354">
          <cell r="B354" t="str">
            <v>RHNM-CHPNGA</v>
          </cell>
          <cell r="C354" t="str">
            <v>VAR_fout</v>
          </cell>
          <cell r="D354" t="str">
            <v>CO2_R</v>
          </cell>
          <cell r="F354">
            <v>0.232323474926838</v>
          </cell>
          <cell r="G354">
            <v>0.287817483210628</v>
          </cell>
          <cell r="H354">
            <v>0.27946543906815002</v>
          </cell>
          <cell r="I354">
            <v>3.0714660728666299E-2</v>
          </cell>
          <cell r="J354">
            <v>3.75900395178917E-3</v>
          </cell>
        </row>
        <row r="355">
          <cell r="B355" t="str">
            <v>RHNM-CHPNGA</v>
          </cell>
          <cell r="C355" t="str">
            <v>VAR_fout</v>
          </cell>
          <cell r="D355" t="str">
            <v>RHNM_NKEV_GAS_ELC_CHP</v>
          </cell>
          <cell r="F355">
            <v>1.2028511936761689E-3</v>
          </cell>
          <cell r="G355">
            <v>1.4958754969061417E-3</v>
          </cell>
          <cell r="H355">
            <v>1.4830348970889672E-3</v>
          </cell>
          <cell r="I355">
            <v>1.6361899315941477E-4</v>
          </cell>
          <cell r="J355">
            <v>1.9635407969079815E-5</v>
          </cell>
        </row>
        <row r="356">
          <cell r="B356" t="str">
            <v>RHNM-CHPNGA</v>
          </cell>
          <cell r="C356" t="str">
            <v>VAR_fout</v>
          </cell>
          <cell r="D356" t="str">
            <v>RHNM_LTH_CHPNGA</v>
          </cell>
          <cell r="F356">
            <v>2.5876509127405996E-3</v>
          </cell>
          <cell r="G356">
            <v>3.1705682945918682E-3</v>
          </cell>
          <cell r="H356">
            <v>3.0649387873172007E-3</v>
          </cell>
          <cell r="I356">
            <v>3.2992026489521317E-4</v>
          </cell>
          <cell r="J356">
            <v>3.909965258011752E-5</v>
          </cell>
        </row>
        <row r="357">
          <cell r="B357" t="str">
            <v>RHNM-CHPNGA</v>
          </cell>
          <cell r="C357" t="str">
            <v>VAR_fin</v>
          </cell>
          <cell r="D357" t="str">
            <v>RNGA</v>
          </cell>
          <cell r="F357">
            <v>4.1192105483482009E-3</v>
          </cell>
          <cell r="G357">
            <v>5.1031468654366601E-3</v>
          </cell>
          <cell r="H357">
            <v>4.9550609763856276E-3</v>
          </cell>
          <cell r="I357">
            <v>5.4458618313238069E-4</v>
          </cell>
          <cell r="J357">
            <v>6.6649006237396658E-5</v>
          </cell>
        </row>
        <row r="358">
          <cell r="B358" t="str">
            <v>RHNM-CHPNGA</v>
          </cell>
          <cell r="C358" t="str">
            <v>VAR_ncap</v>
          </cell>
          <cell r="D358" t="str">
            <v>-</v>
          </cell>
          <cell r="F358">
            <v>1.0897792486078299E-4</v>
          </cell>
          <cell r="G358">
            <v>3.7938443253894401E-6</v>
          </cell>
          <cell r="J358">
            <v>2.2001090904613598E-6</v>
          </cell>
        </row>
        <row r="359">
          <cell r="B359" t="str">
            <v>RHNM-CHPNGA</v>
          </cell>
          <cell r="C359" t="str">
            <v>VAR_cap</v>
          </cell>
          <cell r="D359" t="str">
            <v>-</v>
          </cell>
          <cell r="F359">
            <v>1.0897792486078299E-4</v>
          </cell>
          <cell r="G359">
            <v>1.12771769186173E-4</v>
          </cell>
          <cell r="H359">
            <v>1.12771769186173E-4</v>
          </cell>
          <cell r="I359">
            <v>1.6441231188036502E-5</v>
          </cell>
          <cell r="J359">
            <v>2.2001090904613598E-6</v>
          </cell>
        </row>
        <row r="360">
          <cell r="B360" t="str">
            <v>G-INTC-EXP00-DE</v>
          </cell>
          <cell r="C360" t="str">
            <v>VAR_fout</v>
          </cell>
          <cell r="D360" t="str">
            <v>ELC_E-DE</v>
          </cell>
          <cell r="E360">
            <v>26.492979292328812</v>
          </cell>
          <cell r="F360">
            <v>1.3066219133423507E-5</v>
          </cell>
          <cell r="G360">
            <v>1.4606676733103649E-5</v>
          </cell>
          <cell r="H360">
            <v>6.3058389073971903E-6</v>
          </cell>
          <cell r="I360">
            <v>1.8645556525821396</v>
          </cell>
          <cell r="J360">
            <v>1.8515082065484949</v>
          </cell>
        </row>
        <row r="361">
          <cell r="B361" t="str">
            <v>G-INTC-EXP00-DE</v>
          </cell>
          <cell r="C361" t="str">
            <v>VAR_fin</v>
          </cell>
          <cell r="D361" t="str">
            <v>ELC</v>
          </cell>
          <cell r="E361">
            <v>26.492979292328812</v>
          </cell>
          <cell r="F361">
            <v>1.3066219133423507E-5</v>
          </cell>
          <cell r="G361">
            <v>1.4606676733103649E-5</v>
          </cell>
          <cell r="H361">
            <v>6.3058389073971903E-6</v>
          </cell>
          <cell r="I361">
            <v>1.8645556525821396</v>
          </cell>
          <cell r="J361">
            <v>1.8515082065484949</v>
          </cell>
        </row>
        <row r="362">
          <cell r="B362" t="str">
            <v>G-INTC-EXP00-DE</v>
          </cell>
          <cell r="C362" t="str">
            <v>VAR_cap</v>
          </cell>
          <cell r="D362" t="str">
            <v>-</v>
          </cell>
          <cell r="E362">
            <v>4.5999999999999996</v>
          </cell>
          <cell r="F362">
            <v>4.5999999999999996</v>
          </cell>
          <cell r="G362">
            <v>4.5999999999999996</v>
          </cell>
          <cell r="H362">
            <v>4.5999999999999996</v>
          </cell>
          <cell r="I362">
            <v>4.5999999999999996</v>
          </cell>
          <cell r="J362">
            <v>2.3069243338923702</v>
          </cell>
        </row>
        <row r="363">
          <cell r="B363" t="str">
            <v>CEN-EBAT</v>
          </cell>
          <cell r="C363" t="str">
            <v>VAR_fout</v>
          </cell>
          <cell r="D363" t="str">
            <v>ELC13</v>
          </cell>
          <cell r="E363">
            <v>7.0665640978477844E-5</v>
          </cell>
          <cell r="F363">
            <v>5.5016466614366113E-5</v>
          </cell>
          <cell r="G363">
            <v>7.1087989728701249E-5</v>
          </cell>
        </row>
        <row r="364">
          <cell r="B364" t="str">
            <v>CEN-EBAT</v>
          </cell>
          <cell r="C364" t="str">
            <v>VAR_fout</v>
          </cell>
          <cell r="D364" t="str">
            <v>AUX_CEN-EBAT_OUT</v>
          </cell>
          <cell r="E364">
            <v>7.0665640978477654E-5</v>
          </cell>
          <cell r="F364">
            <v>5.5016466614365944E-5</v>
          </cell>
          <cell r="G364">
            <v>7.1087989728701033E-5</v>
          </cell>
        </row>
        <row r="365">
          <cell r="B365" t="str">
            <v>CEN-EBAT</v>
          </cell>
          <cell r="C365" t="str">
            <v>VAR_fin</v>
          </cell>
          <cell r="D365" t="str">
            <v>AUX_CEN-EBAT_IN</v>
          </cell>
          <cell r="E365">
            <v>8.1691981135596488E-5</v>
          </cell>
          <cell r="F365">
            <v>6.3598204920972819E-5</v>
          </cell>
          <cell r="G365">
            <v>8.2037017059181217E-5</v>
          </cell>
        </row>
        <row r="366">
          <cell r="B366" t="str">
            <v>CEN-EBAT</v>
          </cell>
          <cell r="C366" t="str">
            <v>VAR_fin</v>
          </cell>
          <cell r="D366" t="str">
            <v>ELC13</v>
          </cell>
          <cell r="E366">
            <v>8.1691981135596488E-5</v>
          </cell>
          <cell r="F366">
            <v>6.3598204920972819E-5</v>
          </cell>
          <cell r="G366">
            <v>8.2037017059181217E-5</v>
          </cell>
        </row>
        <row r="367">
          <cell r="B367" t="str">
            <v>CEN-EBAT</v>
          </cell>
          <cell r="C367" t="str">
            <v>VAR_ncap</v>
          </cell>
          <cell r="D367" t="str">
            <v>-</v>
          </cell>
          <cell r="E367">
            <v>1.20714573116225E-5</v>
          </cell>
          <cell r="F367">
            <v>1.48344131575064E-8</v>
          </cell>
          <cell r="G367">
            <v>3.2881373347979602E-8</v>
          </cell>
          <cell r="I367">
            <v>1.8758521552282199E-2</v>
          </cell>
          <cell r="J367">
            <v>0.72637257826778001</v>
          </cell>
        </row>
        <row r="368">
          <cell r="B368" t="str">
            <v>CEN-EBAT</v>
          </cell>
          <cell r="C368" t="str">
            <v>VAR_cap</v>
          </cell>
          <cell r="D368" t="str">
            <v>-</v>
          </cell>
          <cell r="E368">
            <v>1.20714573116225E-5</v>
          </cell>
          <cell r="F368">
            <v>1.2086291724779999E-5</v>
          </cell>
          <cell r="G368">
            <v>1.21191730981279E-5</v>
          </cell>
          <cell r="H368">
            <v>8.8577630039965324E-6</v>
          </cell>
          <cell r="I368">
            <v>1.8768744123558695E-2</v>
          </cell>
          <cell r="J368">
            <v>0.73578186398776657</v>
          </cell>
        </row>
        <row r="369">
          <cell r="B369" t="str">
            <v>ESOL-PV</v>
          </cell>
          <cell r="C369" t="str">
            <v>VAR_fout</v>
          </cell>
          <cell r="D369" t="str">
            <v>ELC35</v>
          </cell>
          <cell r="G369">
            <v>0.14856511313790149</v>
          </cell>
          <cell r="H369">
            <v>0.23805405228179138</v>
          </cell>
          <cell r="I369">
            <v>1.4212503283546178</v>
          </cell>
          <cell r="J369">
            <v>5.8670655542478709</v>
          </cell>
        </row>
        <row r="370">
          <cell r="B370" t="str">
            <v>ESOL-PV</v>
          </cell>
          <cell r="C370" t="str">
            <v>VAR_fin</v>
          </cell>
          <cell r="D370" t="str">
            <v>SOL</v>
          </cell>
          <cell r="G370">
            <v>0.14856511313790149</v>
          </cell>
          <cell r="H370">
            <v>0.23805405228179138</v>
          </cell>
          <cell r="I370">
            <v>1.4212503283546178</v>
          </cell>
          <cell r="J370">
            <v>5.8670655542478709</v>
          </cell>
        </row>
        <row r="371">
          <cell r="B371" t="str">
            <v>ESOL-PV</v>
          </cell>
          <cell r="C371" t="str">
            <v>VAR_fin</v>
          </cell>
          <cell r="D371" t="str">
            <v>SOLPVC</v>
          </cell>
          <cell r="G371">
            <v>0.14856511313790199</v>
          </cell>
          <cell r="H371">
            <v>0.238054052281791</v>
          </cell>
          <cell r="I371">
            <v>1.4212503283546201</v>
          </cell>
          <cell r="J371">
            <v>5.86706555424787</v>
          </cell>
        </row>
        <row r="372">
          <cell r="B372" t="str">
            <v>ESOL-PV</v>
          </cell>
          <cell r="C372" t="str">
            <v>VAR_ncap</v>
          </cell>
          <cell r="D372" t="str">
            <v>-</v>
          </cell>
          <cell r="G372">
            <v>4.4925370834717697E-2</v>
          </cell>
          <cell r="H372">
            <v>2.3698673073795501E-2</v>
          </cell>
          <cell r="I372">
            <v>0.170540510170307</v>
          </cell>
          <cell r="J372">
            <v>1.37870400109951</v>
          </cell>
        </row>
        <row r="373">
          <cell r="B373" t="str">
            <v>ESOL-PV</v>
          </cell>
          <cell r="C373" t="str">
            <v>VAR_cap</v>
          </cell>
          <cell r="D373" t="str">
            <v>-</v>
          </cell>
          <cell r="G373">
            <v>4.4925370834717697E-2</v>
          </cell>
          <cell r="H373">
            <v>6.8624043908513205E-2</v>
          </cell>
          <cell r="I373">
            <v>0.40970503977710498</v>
          </cell>
          <cell r="J373">
            <v>1.69130396006356</v>
          </cell>
        </row>
        <row r="374">
          <cell r="B374" t="str">
            <v>RHEM-SHSTG-CHPNGA</v>
          </cell>
          <cell r="C374" t="str">
            <v>VAR_fout</v>
          </cell>
          <cell r="D374" t="str">
            <v>RHEM_LTH_CHPNGA</v>
          </cell>
          <cell r="E374">
            <v>4.5864424845937349E-2</v>
          </cell>
          <cell r="G374">
            <v>7.6165185245357316E-5</v>
          </cell>
          <cell r="H374">
            <v>1.5656272740360973E-2</v>
          </cell>
          <cell r="I374">
            <v>2.9695404640752324E-2</v>
          </cell>
          <cell r="J374">
            <v>5.5935500359031776E-2</v>
          </cell>
        </row>
        <row r="375">
          <cell r="B375" t="str">
            <v>RHEM-SHSTG-CHPNGA</v>
          </cell>
          <cell r="C375" t="str">
            <v>VAR_fout</v>
          </cell>
          <cell r="D375" t="str">
            <v>AUX_REM-CHPNGA_OUT</v>
          </cell>
          <cell r="E375">
            <v>4.5864424845937446E-2</v>
          </cell>
          <cell r="G375">
            <v>7.6085929069243658E-5</v>
          </cell>
          <cell r="H375">
            <v>1.5656272740360973E-2</v>
          </cell>
          <cell r="I375">
            <v>2.9695404640752408E-2</v>
          </cell>
          <cell r="J375">
            <v>5.593550035903181E-2</v>
          </cell>
        </row>
        <row r="376">
          <cell r="B376" t="str">
            <v>RHEM-SHSTG-CHPNGA</v>
          </cell>
          <cell r="C376" t="str">
            <v>VAR_fin</v>
          </cell>
          <cell r="D376" t="str">
            <v>AUX_REM-CHPNGA_IN</v>
          </cell>
          <cell r="E376">
            <v>6.1151934947500243E-2</v>
          </cell>
          <cell r="G376">
            <v>9.8248009848161131E-5</v>
          </cell>
          <cell r="H376">
            <v>1.9570326108348954E-2</v>
          </cell>
          <cell r="I376">
            <v>3.493576962470267E-2</v>
          </cell>
          <cell r="J376">
            <v>6.2150555881973324E-2</v>
          </cell>
        </row>
        <row r="377">
          <cell r="B377" t="str">
            <v>RHEM-SHSTG-CHPNGA</v>
          </cell>
          <cell r="C377" t="str">
            <v>VAR_fin</v>
          </cell>
          <cell r="D377" t="str">
            <v>RHEM_LTH_CHPNGA</v>
          </cell>
          <cell r="E377">
            <v>6.1151934947500243E-2</v>
          </cell>
          <cell r="G377">
            <v>9.8248009848161131E-5</v>
          </cell>
          <cell r="H377">
            <v>1.9570326108348954E-2</v>
          </cell>
          <cell r="I377">
            <v>3.493576962470267E-2</v>
          </cell>
          <cell r="J377">
            <v>6.2150555881973324E-2</v>
          </cell>
        </row>
        <row r="378">
          <cell r="B378" t="str">
            <v>RHEM-SHSTG-CHPNGA</v>
          </cell>
          <cell r="C378" t="str">
            <v>VAR_ncap</v>
          </cell>
          <cell r="D378" t="str">
            <v>-</v>
          </cell>
          <cell r="E378">
            <v>2.90930036574053E-3</v>
          </cell>
          <cell r="F378">
            <v>6.1080116162494305E-7</v>
          </cell>
          <cell r="G378">
            <v>4.0742957654825003E-6</v>
          </cell>
          <cell r="H378">
            <v>5.2321065340047998E-3</v>
          </cell>
          <cell r="I378">
            <v>1.6920929115612699E-6</v>
          </cell>
          <cell r="J378">
            <v>2.94234142682579E-2</v>
          </cell>
        </row>
        <row r="379">
          <cell r="B379" t="str">
            <v>RHEM-SHSTG-CHPNGA</v>
          </cell>
          <cell r="C379" t="str">
            <v>VAR_cap</v>
          </cell>
          <cell r="D379" t="str">
            <v>-</v>
          </cell>
          <cell r="E379">
            <v>2.90930036574053E-3</v>
          </cell>
          <cell r="F379">
            <v>2.9094720303239749E-3</v>
          </cell>
          <cell r="G379">
            <v>2.9132151046809517E-3</v>
          </cell>
          <cell r="H379">
            <v>8.1448734377347152E-3</v>
          </cell>
          <cell r="I379">
            <v>1.1860078114046189E-2</v>
          </cell>
          <cell r="J379">
            <v>3.2929135072633856E-2</v>
          </cell>
        </row>
        <row r="380">
          <cell r="B380" t="str">
            <v>RHNS-ESOLPV</v>
          </cell>
          <cell r="C380" t="str">
            <v>VAR_fout</v>
          </cell>
          <cell r="D380" t="str">
            <v>RHNS_SOL_ELC</v>
          </cell>
          <cell r="F380">
            <v>2.5572491505843778E-5</v>
          </cell>
          <cell r="G380">
            <v>2.6497425301108896E-5</v>
          </cell>
          <cell r="H380">
            <v>3.2285766144923375E-5</v>
          </cell>
          <cell r="I380">
            <v>4.3495830048560914E-5</v>
          </cell>
          <cell r="J380">
            <v>5.8510889058478422E-5</v>
          </cell>
        </row>
        <row r="381">
          <cell r="B381" t="str">
            <v>RHNS-ESOLPV</v>
          </cell>
          <cell r="C381" t="str">
            <v>VAR_fin</v>
          </cell>
          <cell r="D381" t="str">
            <v>SOL</v>
          </cell>
          <cell r="F381">
            <v>2.5572491505843778E-5</v>
          </cell>
          <cell r="G381">
            <v>2.6497425301108896E-5</v>
          </cell>
          <cell r="H381">
            <v>3.2285766144923375E-5</v>
          </cell>
          <cell r="I381">
            <v>4.3495830048560914E-5</v>
          </cell>
          <cell r="J381">
            <v>5.8510889058478422E-5</v>
          </cell>
        </row>
        <row r="382">
          <cell r="B382" t="str">
            <v>RHNS-ESOLPV</v>
          </cell>
          <cell r="C382" t="str">
            <v>VAR_fin</v>
          </cell>
          <cell r="D382" t="str">
            <v>SOLPVC</v>
          </cell>
          <cell r="F382">
            <v>2.5572491505843798E-5</v>
          </cell>
          <cell r="G382">
            <v>2.64974253011089E-5</v>
          </cell>
          <cell r="H382">
            <v>3.2285766144923402E-5</v>
          </cell>
          <cell r="I382">
            <v>4.34958300485609E-5</v>
          </cell>
          <cell r="J382">
            <v>5.8510889058478402E-5</v>
          </cell>
        </row>
        <row r="383">
          <cell r="B383" t="str">
            <v>RHNS-ESOLPV</v>
          </cell>
          <cell r="C383" t="str">
            <v>VAR_ncap</v>
          </cell>
          <cell r="D383" t="str">
            <v>-</v>
          </cell>
          <cell r="F383">
            <v>8.0108165404370308E-6</v>
          </cell>
          <cell r="G383">
            <v>4.5055859840454798E-8</v>
          </cell>
          <cell r="H383">
            <v>1.28602822727887E-6</v>
          </cell>
          <cell r="I383">
            <v>5.56852856318669E-6</v>
          </cell>
          <cell r="J383">
            <v>9.7811606939842405E-6</v>
          </cell>
        </row>
        <row r="384">
          <cell r="B384" t="str">
            <v>RHNS-ESOLPV</v>
          </cell>
          <cell r="C384" t="str">
            <v>VAR_cap</v>
          </cell>
          <cell r="D384" t="str">
            <v>-</v>
          </cell>
          <cell r="F384">
            <v>8.0108165404370308E-6</v>
          </cell>
          <cell r="G384">
            <v>8.0558724002774898E-6</v>
          </cell>
          <cell r="H384">
            <v>9.3419006275563593E-6</v>
          </cell>
          <cell r="I384">
            <v>1.2550706193217E-5</v>
          </cell>
          <cell r="J384">
            <v>1.6877319169551798E-5</v>
          </cell>
        </row>
        <row r="385">
          <cell r="B385" t="str">
            <v>RHSA-WHSTG-CHP</v>
          </cell>
          <cell r="C385" t="str">
            <v>VAR_fout</v>
          </cell>
          <cell r="D385" t="str">
            <v>AUX_RHSA-CHP_OUT</v>
          </cell>
          <cell r="E385">
            <v>8.4346505326921655</v>
          </cell>
          <cell r="G385">
            <v>0.7802971956550695</v>
          </cell>
          <cell r="H385">
            <v>3.1443650904604645E-2</v>
          </cell>
          <cell r="I385">
            <v>1.016469855985441</v>
          </cell>
          <cell r="J385">
            <v>0.99601952437652308</v>
          </cell>
        </row>
        <row r="386">
          <cell r="B386" t="str">
            <v>RHSA-WHSTG-CHP</v>
          </cell>
          <cell r="C386" t="str">
            <v>VAR_fout</v>
          </cell>
          <cell r="D386" t="str">
            <v>RHSA_LTH</v>
          </cell>
          <cell r="E386">
            <v>8.4346505326921424</v>
          </cell>
          <cell r="G386">
            <v>0.78111000523387542</v>
          </cell>
          <cell r="H386">
            <v>3.1443650904604645E-2</v>
          </cell>
          <cell r="I386">
            <v>1.016469855985437</v>
          </cell>
          <cell r="J386">
            <v>0.99601952437652186</v>
          </cell>
        </row>
        <row r="387">
          <cell r="B387" t="str">
            <v>RHSA-WHSTG-CHP</v>
          </cell>
          <cell r="C387" t="str">
            <v>VAR_fin</v>
          </cell>
          <cell r="D387" t="str">
            <v>RHSA_LTH</v>
          </cell>
          <cell r="E387">
            <v>11.246200283317322</v>
          </cell>
          <cell r="G387">
            <v>1.0078838499202682</v>
          </cell>
          <cell r="H387">
            <v>3.9304565322520017E-2</v>
          </cell>
          <cell r="I387">
            <v>1.195846889394796</v>
          </cell>
          <cell r="J387">
            <v>1.1066884071022332</v>
          </cell>
        </row>
        <row r="388">
          <cell r="B388" t="str">
            <v>RHSA-WHSTG-CHP</v>
          </cell>
          <cell r="C388" t="str">
            <v>VAR_fin</v>
          </cell>
          <cell r="D388" t="str">
            <v>AUX_RHSA-CHP_IN</v>
          </cell>
          <cell r="E388">
            <v>11.246200283317322</v>
          </cell>
          <cell r="G388">
            <v>1.0078838499202682</v>
          </cell>
          <cell r="H388">
            <v>3.9304565322520017E-2</v>
          </cell>
          <cell r="I388">
            <v>1.195846889394796</v>
          </cell>
          <cell r="J388">
            <v>1.1066884071022332</v>
          </cell>
        </row>
        <row r="389">
          <cell r="B389" t="str">
            <v>RHSA-WHSTG-CHP</v>
          </cell>
          <cell r="C389" t="str">
            <v>VAR_ncap</v>
          </cell>
          <cell r="D389" t="str">
            <v>-</v>
          </cell>
          <cell r="E389">
            <v>0.53423675279961902</v>
          </cell>
          <cell r="F389">
            <v>3.1099848805985901E-7</v>
          </cell>
          <cell r="G389">
            <v>4.19127501573786E-7</v>
          </cell>
          <cell r="H389">
            <v>3.4359177198069002E-7</v>
          </cell>
          <cell r="I389">
            <v>6.9754380745024394E-2</v>
          </cell>
          <cell r="J389">
            <v>3.2786485460577199E-2</v>
          </cell>
        </row>
        <row r="390">
          <cell r="B390" t="str">
            <v>RHSA-WHSTG-CHP</v>
          </cell>
          <cell r="C390" t="str">
            <v>VAR_cap</v>
          </cell>
          <cell r="D390" t="str">
            <v>-</v>
          </cell>
          <cell r="E390">
            <v>0.53492208301100419</v>
          </cell>
          <cell r="F390">
            <v>4.9513738740666891E-2</v>
          </cell>
          <cell r="G390">
            <v>4.9512812641922976E-2</v>
          </cell>
          <cell r="H390">
            <v>1.4033314092088189E-2</v>
          </cell>
          <cell r="I390">
            <v>9.9788096868437648E-2</v>
          </cell>
          <cell r="J390">
            <v>9.6113377756744639E-2</v>
          </cell>
        </row>
        <row r="391">
          <cell r="B391" t="str">
            <v>G-INTC-SER</v>
          </cell>
          <cell r="C391" t="str">
            <v>VAR_fout</v>
          </cell>
          <cell r="D391" t="str">
            <v>ELC35</v>
          </cell>
          <cell r="E391">
            <v>59.866777307242579</v>
          </cell>
          <cell r="F391">
            <v>6.7402245976134456E-5</v>
          </cell>
          <cell r="G391">
            <v>8.4487166345544414E-5</v>
          </cell>
          <cell r="H391">
            <v>3.3870347966953278E-5</v>
          </cell>
          <cell r="I391">
            <v>4.9464080610596417E-5</v>
          </cell>
          <cell r="J391">
            <v>2.0694780840914908</v>
          </cell>
        </row>
        <row r="392">
          <cell r="B392" t="str">
            <v>G-INTC-SER</v>
          </cell>
          <cell r="C392" t="str">
            <v>VAR_fout</v>
          </cell>
          <cell r="D392" t="str">
            <v>SCOM_ELC</v>
          </cell>
          <cell r="E392">
            <v>58.072479102969027</v>
          </cell>
          <cell r="F392">
            <v>60.299007125934544</v>
          </cell>
          <cell r="G392">
            <v>61.421542673124868</v>
          </cell>
          <cell r="H392">
            <v>62.825583430627987</v>
          </cell>
          <cell r="I392">
            <v>66.747954259417526</v>
          </cell>
          <cell r="J392">
            <v>71.154372710385488</v>
          </cell>
        </row>
        <row r="393">
          <cell r="B393" t="str">
            <v>G-INTC-SER</v>
          </cell>
          <cell r="C393" t="str">
            <v>VAR_fin</v>
          </cell>
          <cell r="D393" t="str">
            <v>ELC5</v>
          </cell>
          <cell r="E393">
            <v>117.93925632812578</v>
          </cell>
          <cell r="F393">
            <v>60.299074528180512</v>
          </cell>
          <cell r="G393">
            <v>61.42162716029123</v>
          </cell>
          <cell r="H393">
            <v>62.825617300975971</v>
          </cell>
          <cell r="I393">
            <v>66.748003723498158</v>
          </cell>
          <cell r="J393">
            <v>73.223850794477002</v>
          </cell>
        </row>
        <row r="394">
          <cell r="B394" t="str">
            <v>G-INTC-SER</v>
          </cell>
          <cell r="C394" t="str">
            <v>VAR_cap</v>
          </cell>
          <cell r="D394" t="str">
            <v>-</v>
          </cell>
          <cell r="E394">
            <v>4.3683888589490198</v>
          </cell>
          <cell r="F394">
            <v>4.3683888589490198</v>
          </cell>
          <cell r="G394">
            <v>4.3683888589490198</v>
          </cell>
          <cell r="H394">
            <v>4.3683888589490198</v>
          </cell>
          <cell r="I394">
            <v>4.3683888589490198</v>
          </cell>
          <cell r="J394">
            <v>4.3683888589490198</v>
          </cell>
        </row>
        <row r="395">
          <cell r="B395" t="str">
            <v>CHPWOD</v>
          </cell>
          <cell r="C395" t="str">
            <v>VAR_fout</v>
          </cell>
          <cell r="D395" t="str">
            <v>ELC35</v>
          </cell>
          <cell r="E395">
            <v>0.4120288480451112</v>
          </cell>
          <cell r="F395">
            <v>1.5201920152281898E-5</v>
          </cell>
          <cell r="G395">
            <v>8.5550259616518998E-4</v>
          </cell>
          <cell r="H395">
            <v>2.8428885477258919E-4</v>
          </cell>
          <cell r="I395">
            <v>0.12571994639223508</v>
          </cell>
          <cell r="J395">
            <v>0.73594497259483516</v>
          </cell>
        </row>
        <row r="396">
          <cell r="B396" t="str">
            <v>CHPWOD</v>
          </cell>
          <cell r="C396" t="str">
            <v>VAR_fout</v>
          </cell>
          <cell r="D396" t="str">
            <v>LTH</v>
          </cell>
          <cell r="E396">
            <v>1.0775315539843155</v>
          </cell>
          <cell r="F396">
            <v>3.9755829532208774E-5</v>
          </cell>
          <cell r="G396">
            <v>2.2372973306533294E-3</v>
          </cell>
          <cell r="H396">
            <v>7.4346787346790504E-4</v>
          </cell>
          <cell r="I396">
            <v>0.32878088475013356</v>
          </cell>
          <cell r="J396">
            <v>1.9246320920791351</v>
          </cell>
        </row>
        <row r="397">
          <cell r="B397" t="str">
            <v>CHPWOD</v>
          </cell>
          <cell r="C397" t="str">
            <v>VAR_fin</v>
          </cell>
          <cell r="D397" t="str">
            <v>EWOD</v>
          </cell>
          <cell r="E397">
            <v>1.6891401167523541</v>
          </cell>
          <cell r="F397">
            <v>6.0893811771259914E-5</v>
          </cell>
          <cell r="G397">
            <v>3.3129398801954343E-3</v>
          </cell>
          <cell r="H397">
            <v>1.0371935131964563E-3</v>
          </cell>
          <cell r="I397">
            <v>0.41070606520641539</v>
          </cell>
          <cell r="J397">
            <v>2.4077115061997736</v>
          </cell>
        </row>
        <row r="398">
          <cell r="B398" t="str">
            <v>CHPWOD</v>
          </cell>
          <cell r="C398" t="str">
            <v>VAR_ncap</v>
          </cell>
          <cell r="D398" t="str">
            <v>-</v>
          </cell>
          <cell r="G398">
            <v>2.9143692056472999E-5</v>
          </cell>
          <cell r="I398">
            <v>5.2152236133907997E-3</v>
          </cell>
          <cell r="J398">
            <v>2.8912113602225099E-2</v>
          </cell>
        </row>
        <row r="399">
          <cell r="B399" t="str">
            <v>CHPWOD</v>
          </cell>
          <cell r="C399" t="str">
            <v>VAR_cap</v>
          </cell>
          <cell r="D399" t="str">
            <v>-</v>
          </cell>
          <cell r="E399">
            <v>1.5371055593566697E-2</v>
          </cell>
          <cell r="F399">
            <v>2.7726768809036018E-6</v>
          </cell>
          <cell r="G399">
            <v>3.1914501175372978E-5</v>
          </cell>
          <cell r="H399">
            <v>1.1366977289373192E-5</v>
          </cell>
          <cell r="I399">
            <v>5.21888505262731E-3</v>
          </cell>
          <cell r="J399">
            <v>3.4127337215615901E-2</v>
          </cell>
        </row>
        <row r="400">
          <cell r="B400" t="str">
            <v>D-EH2R</v>
          </cell>
          <cell r="C400" t="str">
            <v>VAR_fout</v>
          </cell>
          <cell r="D400" t="str">
            <v>EH2</v>
          </cell>
          <cell r="I400">
            <v>1.6349051214637209E-5</v>
          </cell>
          <cell r="J400">
            <v>3.4488460007511102E-4</v>
          </cell>
        </row>
        <row r="401">
          <cell r="B401" t="str">
            <v>D-EH2R</v>
          </cell>
          <cell r="C401" t="str">
            <v>VAR_fin</v>
          </cell>
          <cell r="D401" t="str">
            <v>H2</v>
          </cell>
          <cell r="I401">
            <v>1.6349051214637209E-5</v>
          </cell>
          <cell r="J401">
            <v>3.4488460007511102E-4</v>
          </cell>
        </row>
        <row r="402">
          <cell r="B402" t="str">
            <v>D-EH2R</v>
          </cell>
          <cell r="C402" t="str">
            <v>VAR_ncap</v>
          </cell>
          <cell r="D402" t="str">
            <v>-</v>
          </cell>
          <cell r="I402">
            <v>4.2648120905558398E-6</v>
          </cell>
          <cell r="J402">
            <v>1.9304896371833699E-5</v>
          </cell>
        </row>
        <row r="403">
          <cell r="B403" t="str">
            <v>D-EH2R</v>
          </cell>
          <cell r="C403" t="str">
            <v>VAR_cap</v>
          </cell>
          <cell r="D403" t="str">
            <v>-</v>
          </cell>
          <cell r="I403">
            <v>4.2676065472538301E-6</v>
          </cell>
          <cell r="J403">
            <v>2.07656851262212E-5</v>
          </cell>
        </row>
        <row r="404">
          <cell r="B404" t="str">
            <v>G-INTC1</v>
          </cell>
          <cell r="C404" t="str">
            <v>VAR_fout</v>
          </cell>
          <cell r="D404" t="str">
            <v>ELC13</v>
          </cell>
          <cell r="E404">
            <v>124.96955753022513</v>
          </cell>
          <cell r="F404">
            <v>140.42494845977288</v>
          </cell>
          <cell r="G404">
            <v>129.55279413504422</v>
          </cell>
          <cell r="H404">
            <v>133.30529353374354</v>
          </cell>
          <cell r="I404">
            <v>116.51210054324794</v>
          </cell>
          <cell r="J404">
            <v>78.368497566759231</v>
          </cell>
        </row>
        <row r="405">
          <cell r="B405" t="str">
            <v>G-INTC1</v>
          </cell>
          <cell r="C405" t="str">
            <v>VAR_fin</v>
          </cell>
          <cell r="D405" t="str">
            <v>ELC</v>
          </cell>
          <cell r="E405">
            <v>126.28561661143736</v>
          </cell>
          <cell r="F405">
            <v>144.06473993961905</v>
          </cell>
          <cell r="G405">
            <v>132.62226283150704</v>
          </cell>
          <cell r="H405">
            <v>135.97173120930879</v>
          </cell>
          <cell r="I405">
            <v>117.99193368672451</v>
          </cell>
          <cell r="J405">
            <v>78.799800143020235</v>
          </cell>
        </row>
        <row r="406">
          <cell r="B406" t="str">
            <v>G-INTC1</v>
          </cell>
          <cell r="C406" t="str">
            <v>VAR_cap</v>
          </cell>
          <cell r="D406" t="str">
            <v>-</v>
          </cell>
          <cell r="E406">
            <v>15.305609183965201</v>
          </cell>
          <cell r="F406">
            <v>15.305609183965201</v>
          </cell>
          <cell r="G406">
            <v>15.305609183965201</v>
          </cell>
          <cell r="H406">
            <v>15.305609183965201</v>
          </cell>
          <cell r="I406">
            <v>15.305609183965201</v>
          </cell>
          <cell r="J406">
            <v>15.305609183965201</v>
          </cell>
        </row>
        <row r="407">
          <cell r="B407" t="str">
            <v>EHYD-RUNS00</v>
          </cell>
          <cell r="C407" t="str">
            <v>VAR_fout</v>
          </cell>
          <cell r="D407" t="str">
            <v>ELC35</v>
          </cell>
          <cell r="E407">
            <v>12.240000006531787</v>
          </cell>
          <cell r="F407">
            <v>12.243229527418611</v>
          </cell>
          <cell r="G407">
            <v>12.248125151400588</v>
          </cell>
          <cell r="H407">
            <v>12.256284746538256</v>
          </cell>
          <cell r="I407">
            <v>12.272620075084372</v>
          </cell>
          <cell r="J407">
            <v>12.288971743201081</v>
          </cell>
        </row>
        <row r="408">
          <cell r="B408" t="str">
            <v>EHYD-RUNS00</v>
          </cell>
          <cell r="C408" t="str">
            <v>VAR_fin</v>
          </cell>
          <cell r="D408" t="str">
            <v>HYDR</v>
          </cell>
          <cell r="E408">
            <v>12.240000006531787</v>
          </cell>
          <cell r="F408">
            <v>12.243229527418611</v>
          </cell>
          <cell r="G408">
            <v>12.248125151400588</v>
          </cell>
          <cell r="H408">
            <v>12.256284746538256</v>
          </cell>
          <cell r="I408">
            <v>12.272620075084372</v>
          </cell>
          <cell r="J408">
            <v>12.288971743201081</v>
          </cell>
        </row>
        <row r="409">
          <cell r="B409" t="str">
            <v>EHYD-RUNS00</v>
          </cell>
          <cell r="C409" t="str">
            <v>VAR_cap</v>
          </cell>
          <cell r="D409" t="str">
            <v>-</v>
          </cell>
          <cell r="E409">
            <v>0.85785999999999896</v>
          </cell>
          <cell r="F409">
            <v>0.88297936593724102</v>
          </cell>
          <cell r="G409">
            <v>0.89707999999999899</v>
          </cell>
          <cell r="H409">
            <v>0.89707999999999899</v>
          </cell>
          <cell r="I409">
            <v>0.89707999999999899</v>
          </cell>
          <cell r="J409">
            <v>0.89707999999999899</v>
          </cell>
        </row>
        <row r="410">
          <cell r="B410" t="str">
            <v>RHNS-SHSTG-CHPWOD</v>
          </cell>
          <cell r="C410" t="str">
            <v>VAR_fout</v>
          </cell>
          <cell r="D410" t="str">
            <v>AUX_RNS-CHPWOD_OUT</v>
          </cell>
          <cell r="E410">
            <v>1.9552338019540514E-6</v>
          </cell>
          <cell r="G410">
            <v>2.99461506129405E-6</v>
          </cell>
          <cell r="H410">
            <v>1.3164362314885176E-5</v>
          </cell>
          <cell r="I410">
            <v>3.1088421321231671E-5</v>
          </cell>
          <cell r="J410">
            <v>1.7534490439577664E-5</v>
          </cell>
        </row>
        <row r="411">
          <cell r="B411" t="str">
            <v>RHNS-SHSTG-CHPWOD</v>
          </cell>
          <cell r="C411" t="str">
            <v>VAR_fout</v>
          </cell>
          <cell r="D411" t="str">
            <v>RHNS_LTH_CHPWOD</v>
          </cell>
          <cell r="E411">
            <v>3.029251849232644E-6</v>
          </cell>
          <cell r="F411">
            <v>1.5903917850938399E-8</v>
          </cell>
          <cell r="G411">
            <v>2.9977344519828969E-6</v>
          </cell>
          <cell r="H411">
            <v>1.3164362314885176E-5</v>
          </cell>
          <cell r="I411">
            <v>3.1088421321231583E-5</v>
          </cell>
          <cell r="J411">
            <v>1.7534490439577637E-5</v>
          </cell>
        </row>
        <row r="412">
          <cell r="B412" t="str">
            <v>RHNS-SHSTG-CHPWOD</v>
          </cell>
          <cell r="C412" t="str">
            <v>VAR_fin</v>
          </cell>
          <cell r="D412" t="str">
            <v>AUX_RNS-CHPWOD_IN</v>
          </cell>
          <cell r="E412">
            <v>1.5633500476022966E-6</v>
          </cell>
          <cell r="G412">
            <v>1.0354182889574104E-6</v>
          </cell>
          <cell r="H412">
            <v>1.6443593480486877E-5</v>
          </cell>
          <cell r="I412">
            <v>3.6567033258687929E-5</v>
          </cell>
          <cell r="J412">
            <v>1.9482332719324051E-5</v>
          </cell>
        </row>
        <row r="413">
          <cell r="B413" t="str">
            <v>RHNS-SHSTG-CHPWOD</v>
          </cell>
          <cell r="C413" t="str">
            <v>VAR_fin</v>
          </cell>
          <cell r="D413" t="str">
            <v>RHNS_LTH_CHPWOD</v>
          </cell>
          <cell r="E413">
            <v>1.5633500476022966E-6</v>
          </cell>
          <cell r="G413">
            <v>1.0354182889574104E-6</v>
          </cell>
          <cell r="H413">
            <v>1.6443593480486877E-5</v>
          </cell>
          <cell r="I413">
            <v>3.6567033258687929E-5</v>
          </cell>
          <cell r="J413">
            <v>1.9482332719324051E-5</v>
          </cell>
        </row>
        <row r="414">
          <cell r="B414" t="str">
            <v>RHNS-SHSTG-CHPWOD</v>
          </cell>
          <cell r="C414" t="str">
            <v>VAR_ncap</v>
          </cell>
          <cell r="D414" t="str">
            <v>-</v>
          </cell>
          <cell r="E414">
            <v>2.6186621364966499E-5</v>
          </cell>
          <cell r="F414">
            <v>5.9243896874344902E-7</v>
          </cell>
          <cell r="G414">
            <v>9.1998013782868201E-7</v>
          </cell>
          <cell r="H414">
            <v>7.3590344726962904E-7</v>
          </cell>
          <cell r="I414">
            <v>2.1190412101435498E-6</v>
          </cell>
          <cell r="J414">
            <v>4.3661715990264797E-6</v>
          </cell>
        </row>
        <row r="415">
          <cell r="B415" t="str">
            <v>RHNS-SHSTG-CHPWOD</v>
          </cell>
          <cell r="C415" t="str">
            <v>VAR_cap</v>
          </cell>
          <cell r="D415" t="str">
            <v>-</v>
          </cell>
          <cell r="E415">
            <v>2.6186621364966499E-5</v>
          </cell>
          <cell r="F415">
            <v>2.67060042785406E-5</v>
          </cell>
          <cell r="G415">
            <v>2.7436581720402906E-5</v>
          </cell>
          <cell r="H415">
            <v>2.7872789978595817E-5</v>
          </cell>
          <cell r="I415">
            <v>3.6855020463668288E-5</v>
          </cell>
          <cell r="J415">
            <v>2.0271577383929031E-5</v>
          </cell>
        </row>
        <row r="416">
          <cell r="B416" t="str">
            <v>HPLOIL</v>
          </cell>
          <cell r="C416" t="str">
            <v>VAR_fout</v>
          </cell>
          <cell r="D416" t="str">
            <v>LTH</v>
          </cell>
          <cell r="E416">
            <v>0.18406364536559505</v>
          </cell>
          <cell r="G416">
            <v>2.5641584669635386E-5</v>
          </cell>
          <cell r="H416">
            <v>1.2075287667758592E-5</v>
          </cell>
          <cell r="I416">
            <v>6.4174120074509576E-6</v>
          </cell>
        </row>
        <row r="417">
          <cell r="B417" t="str">
            <v>HPLOIL</v>
          </cell>
          <cell r="C417" t="str">
            <v>VAR_fout</v>
          </cell>
          <cell r="D417" t="str">
            <v>CO2_E</v>
          </cell>
          <cell r="E417">
            <v>15.8761906560777</v>
          </cell>
          <cell r="G417">
            <v>2.2116843667336298E-3</v>
          </cell>
          <cell r="H417">
            <v>1.0415395656189299E-3</v>
          </cell>
          <cell r="I417">
            <v>5.5352623461589598E-4</v>
          </cell>
        </row>
        <row r="418">
          <cell r="B418" t="str">
            <v>HPLOIL</v>
          </cell>
          <cell r="C418" t="str">
            <v>VAR_fin</v>
          </cell>
          <cell r="D418" t="str">
            <v>ELFO</v>
          </cell>
          <cell r="E418">
            <v>0.21541642681245143</v>
          </cell>
          <cell r="G418">
            <v>3.0009285844418309E-5</v>
          </cell>
          <cell r="H418">
            <v>1.4132151500935298E-5</v>
          </cell>
          <cell r="I418">
            <v>7.5105323557109385E-6</v>
          </cell>
        </row>
        <row r="419">
          <cell r="B419" t="str">
            <v>HPLOIL</v>
          </cell>
          <cell r="C419" t="str">
            <v>VAR_ncap</v>
          </cell>
          <cell r="D419" t="str">
            <v>-</v>
          </cell>
          <cell r="E419">
            <v>1.29361670325152E-7</v>
          </cell>
          <cell r="F419">
            <v>1.1855535972902E-7</v>
          </cell>
          <cell r="G419">
            <v>9.9497459696152006E-8</v>
          </cell>
          <cell r="H419">
            <v>1.5735013706086999E-7</v>
          </cell>
          <cell r="I419">
            <v>1.7091022617994599E-7</v>
          </cell>
          <cell r="J419">
            <v>1.03597854057607E-7</v>
          </cell>
        </row>
        <row r="420">
          <cell r="B420" t="str">
            <v>HPLOIL</v>
          </cell>
          <cell r="C420" t="str">
            <v>VAR_cap</v>
          </cell>
          <cell r="D420" t="str">
            <v>-</v>
          </cell>
          <cell r="E420">
            <v>2.3348393841475325E-2</v>
          </cell>
          <cell r="F420">
            <v>4.8227331934651285E-5</v>
          </cell>
          <cell r="G420">
            <v>4.6843985074353223E-5</v>
          </cell>
          <cell r="H420">
            <v>2.0650486108511612E-5</v>
          </cell>
          <cell r="I420">
            <v>8.6913148287997491E-6</v>
          </cell>
          <cell r="J420">
            <v>6.8700338992468514E-6</v>
          </cell>
        </row>
        <row r="421">
          <cell r="B421" t="str">
            <v>V2G</v>
          </cell>
          <cell r="C421" t="str">
            <v>VAR_fout</v>
          </cell>
          <cell r="D421" t="str">
            <v>ELC35</v>
          </cell>
          <cell r="H421">
            <v>6.9724177578135726E-4</v>
          </cell>
          <cell r="I421">
            <v>0.65728327086334526</v>
          </cell>
          <cell r="J421">
            <v>1.7359165265615843</v>
          </cell>
        </row>
        <row r="422">
          <cell r="B422" t="str">
            <v>V2G</v>
          </cell>
          <cell r="C422" t="str">
            <v>VAR_fin</v>
          </cell>
          <cell r="D422" t="str">
            <v>T-ELC-Bus_c_BatSTGout_S1</v>
          </cell>
          <cell r="H422">
            <v>2.0640091590713697E-5</v>
          </cell>
          <cell r="I422">
            <v>1.3205649994024886E-4</v>
          </cell>
          <cell r="J422">
            <v>4.6201479039936239E-5</v>
          </cell>
        </row>
        <row r="423">
          <cell r="B423" t="str">
            <v>V2G</v>
          </cell>
          <cell r="C423" t="str">
            <v>VAR_fin</v>
          </cell>
          <cell r="D423" t="str">
            <v>T-ELC-Bus_c_BatSTGout_S2</v>
          </cell>
          <cell r="H423">
            <v>6.7686963497010964E-5</v>
          </cell>
          <cell r="I423">
            <v>2.4174563535066089E-4</v>
          </cell>
          <cell r="J423">
            <v>4.9973524910681067E-5</v>
          </cell>
        </row>
        <row r="424">
          <cell r="B424" t="str">
            <v>V2G</v>
          </cell>
          <cell r="C424" t="str">
            <v>VAR_fin</v>
          </cell>
          <cell r="D424" t="str">
            <v>T-ELC-Bus_c_BatSTGout_S3</v>
          </cell>
          <cell r="H424">
            <v>3.0314743907538642E-6</v>
          </cell>
          <cell r="I424">
            <v>1.7870644704258003E-4</v>
          </cell>
          <cell r="J424">
            <v>3.2096477061641038E-5</v>
          </cell>
        </row>
        <row r="425">
          <cell r="B425" t="str">
            <v>V2G</v>
          </cell>
          <cell r="C425" t="str">
            <v>VAR_fin</v>
          </cell>
          <cell r="D425" t="str">
            <v>T-ELC-Bus_c_BatSTGout_S4</v>
          </cell>
          <cell r="H425">
            <v>6.0868014855237756E-6</v>
          </cell>
          <cell r="I425">
            <v>7.8703053251679374E-6</v>
          </cell>
          <cell r="J425">
            <v>3.4619846596321648E-6</v>
          </cell>
        </row>
        <row r="426">
          <cell r="B426" t="str">
            <v>V2G</v>
          </cell>
          <cell r="C426" t="str">
            <v>VAR_fin</v>
          </cell>
          <cell r="D426" t="str">
            <v>T-ELC-car-BatSTGOut_S1</v>
          </cell>
          <cell r="H426">
            <v>3.7899912978252288E-5</v>
          </cell>
          <cell r="I426">
            <v>0.28002877224629474</v>
          </cell>
          <cell r="J426">
            <v>0.59326610045095662</v>
          </cell>
        </row>
        <row r="427">
          <cell r="B427" t="str">
            <v>V2G</v>
          </cell>
          <cell r="C427" t="str">
            <v>VAR_fin</v>
          </cell>
          <cell r="D427" t="str">
            <v>T-ELC-car-BatSTGOut_S2</v>
          </cell>
          <cell r="H427">
            <v>3.1196580370988319E-5</v>
          </cell>
          <cell r="I427">
            <v>5.9420711724933163E-2</v>
          </cell>
          <cell r="J427">
            <v>0.20767654257970994</v>
          </cell>
        </row>
        <row r="428">
          <cell r="B428" t="str">
            <v>V2G</v>
          </cell>
          <cell r="C428" t="str">
            <v>VAR_fin</v>
          </cell>
          <cell r="D428" t="str">
            <v>T-ELC-car-BatSTGOut_S3</v>
          </cell>
          <cell r="H428">
            <v>3.7622729806875509E-5</v>
          </cell>
          <cell r="I428">
            <v>0.2091732755945703</v>
          </cell>
          <cell r="J428">
            <v>0.50441886855242746</v>
          </cell>
        </row>
        <row r="429">
          <cell r="B429" t="str">
            <v>V2G</v>
          </cell>
          <cell r="C429" t="str">
            <v>VAR_fin</v>
          </cell>
          <cell r="D429" t="str">
            <v>T-ELC-car-BatSTGOut_S4</v>
          </cell>
          <cell r="H429">
            <v>3.0413694185230148E-5</v>
          </cell>
          <cell r="I429">
            <v>6.0272972296937469E-2</v>
          </cell>
          <cell r="J429">
            <v>0.20911366339304202</v>
          </cell>
        </row>
        <row r="430">
          <cell r="B430" t="str">
            <v>V2G</v>
          </cell>
          <cell r="C430" t="str">
            <v>VAR_fin</v>
          </cell>
          <cell r="D430" t="str">
            <v>T-ELC-car-PlgSTGOut_S1</v>
          </cell>
          <cell r="H430">
            <v>5.644357960389894E-6</v>
          </cell>
          <cell r="I430">
            <v>2.9818576262998374E-5</v>
          </cell>
          <cell r="J430">
            <v>2.8230245069387654E-5</v>
          </cell>
        </row>
        <row r="431">
          <cell r="B431" t="str">
            <v>V2G</v>
          </cell>
          <cell r="C431" t="str">
            <v>VAR_fin</v>
          </cell>
          <cell r="D431" t="str">
            <v>T-ELC-car-PlgSTGOut_S2</v>
          </cell>
          <cell r="H431">
            <v>2.0670187049536715E-7</v>
          </cell>
          <cell r="I431">
            <v>1.3366766273767745E-4</v>
          </cell>
          <cell r="J431">
            <v>1.1816511989693461E-5</v>
          </cell>
        </row>
        <row r="432">
          <cell r="B432" t="str">
            <v>V2G</v>
          </cell>
          <cell r="C432" t="str">
            <v>VAR_fin</v>
          </cell>
          <cell r="D432" t="str">
            <v>T-ELC-car-PlgSTGOut_S3</v>
          </cell>
          <cell r="H432">
            <v>5.3993847244419454E-5</v>
          </cell>
          <cell r="I432">
            <v>4.5656867987679997E-2</v>
          </cell>
          <cell r="J432">
            <v>0.21991393901503842</v>
          </cell>
        </row>
        <row r="433">
          <cell r="B433" t="str">
            <v>V2G</v>
          </cell>
          <cell r="C433" t="str">
            <v>VAR_fin</v>
          </cell>
          <cell r="D433" t="str">
            <v>T-ELC-TWSTGout_S1</v>
          </cell>
          <cell r="H433">
            <v>8.1550969759985507E-5</v>
          </cell>
          <cell r="I433">
            <v>6.4689887180270807E-5</v>
          </cell>
          <cell r="J433">
            <v>1.4105056575092042E-5</v>
          </cell>
        </row>
        <row r="434">
          <cell r="B434" t="str">
            <v>V2G</v>
          </cell>
          <cell r="C434" t="str">
            <v>VAR_fin</v>
          </cell>
          <cell r="D434" t="str">
            <v>T-ELC-car-PlgSTGOut_S4</v>
          </cell>
          <cell r="H434">
            <v>5.7688225995073795E-8</v>
          </cell>
          <cell r="I434">
            <v>1.0386940978396736E-4</v>
          </cell>
          <cell r="J434">
            <v>1.0816479641948764E-4</v>
          </cell>
        </row>
        <row r="435">
          <cell r="B435" t="str">
            <v>V2G</v>
          </cell>
          <cell r="C435" t="str">
            <v>VAR_fin</v>
          </cell>
          <cell r="D435" t="str">
            <v>T-ELC-TWSTGout_S2</v>
          </cell>
          <cell r="H435">
            <v>9.0187561791561631E-5</v>
          </cell>
          <cell r="I435">
            <v>8.6277028155812968E-5</v>
          </cell>
          <cell r="J435">
            <v>5.3504845970689511E-5</v>
          </cell>
        </row>
        <row r="436">
          <cell r="B436" t="str">
            <v>V2G</v>
          </cell>
          <cell r="C436" t="str">
            <v>VAR_fin</v>
          </cell>
          <cell r="D436" t="str">
            <v>T-ELC-TWSTGout_S3</v>
          </cell>
          <cell r="H436">
            <v>3.8877390729011124E-5</v>
          </cell>
          <cell r="I436">
            <v>1.3826351659615481E-4</v>
          </cell>
          <cell r="J436">
            <v>8.8035071741548052E-5</v>
          </cell>
        </row>
        <row r="437">
          <cell r="B437" t="str">
            <v>V2G</v>
          </cell>
          <cell r="C437" t="str">
            <v>VAR_fin</v>
          </cell>
          <cell r="D437" t="str">
            <v>T-ELC-TWSTGout_S4</v>
          </cell>
          <cell r="H437">
            <v>5.2171000862195853E-5</v>
          </cell>
          <cell r="I437">
            <v>1.7239687114679444E-4</v>
          </cell>
          <cell r="J437">
            <v>1.5253900593463929E-4</v>
          </cell>
        </row>
        <row r="438">
          <cell r="B438" t="str">
            <v>V2G</v>
          </cell>
          <cell r="C438" t="str">
            <v>VAR_fin</v>
          </cell>
          <cell r="D438" t="str">
            <v>T-ELC-Bus_u_BatSTGout_S1</v>
          </cell>
          <cell r="H438">
            <v>7.5516381921554757E-7</v>
          </cell>
          <cell r="I438">
            <v>1.8603400259568631E-6</v>
          </cell>
          <cell r="J438">
            <v>8.5451806258358443E-7</v>
          </cell>
        </row>
        <row r="439">
          <cell r="B439" t="str">
            <v>V2G</v>
          </cell>
          <cell r="C439" t="str">
            <v>VAR_fin</v>
          </cell>
          <cell r="D439" t="str">
            <v>T-ELC-Bus_u_BatSTGout_S2</v>
          </cell>
          <cell r="H439">
            <v>9.1334334437226612E-7</v>
          </cell>
          <cell r="I439">
            <v>8.1134824109532058E-7</v>
          </cell>
          <cell r="J439">
            <v>6.7080130379892927E-7</v>
          </cell>
        </row>
        <row r="440">
          <cell r="B440" t="str">
            <v>V2G</v>
          </cell>
          <cell r="C440" t="str">
            <v>VAR_fin</v>
          </cell>
          <cell r="D440" t="str">
            <v>T-ELC-Bus_u_BatSTGout_S3</v>
          </cell>
          <cell r="H440">
            <v>2.2766000045457641E-5</v>
          </cell>
        </row>
        <row r="441">
          <cell r="B441" t="str">
            <v>V2G</v>
          </cell>
          <cell r="C441" t="str">
            <v>VAR_fin</v>
          </cell>
          <cell r="D441" t="str">
            <v>T-ELC-Bus_u_BatSTGout_S4</v>
          </cell>
          <cell r="H441">
            <v>7.5428824992112055E-7</v>
          </cell>
          <cell r="I441">
            <v>3.4764234175500319E-6</v>
          </cell>
          <cell r="J441">
            <v>1.1291881321834901E-6</v>
          </cell>
        </row>
        <row r="442">
          <cell r="B442" t="str">
            <v>V2G</v>
          </cell>
          <cell r="C442" t="str">
            <v>VAR_fin</v>
          </cell>
          <cell r="D442" t="str">
            <v>T-ELC-LGV_BatSTGout</v>
          </cell>
          <cell r="H442">
            <v>9.0651652715796475E-6</v>
          </cell>
          <cell r="I442">
            <v>1.0879847758397901E-5</v>
          </cell>
          <cell r="J442">
            <v>6.4544599310869371E-6</v>
          </cell>
        </row>
        <row r="443">
          <cell r="B443" t="str">
            <v>V2G</v>
          </cell>
          <cell r="C443" t="str">
            <v>VAR_fin</v>
          </cell>
          <cell r="D443" t="str">
            <v>T-ELC-HGV_BatSTGout</v>
          </cell>
          <cell r="H443">
            <v>1.0048706805395935E-4</v>
          </cell>
          <cell r="I443">
            <v>1.4215687618362827E-3</v>
          </cell>
          <cell r="J443">
            <v>9.2521329962010198E-4</v>
          </cell>
        </row>
        <row r="444">
          <cell r="B444" t="str">
            <v>V2G</v>
          </cell>
          <cell r="C444" t="str">
            <v>VAR_ncap</v>
          </cell>
          <cell r="D444" t="str">
            <v>-</v>
          </cell>
          <cell r="H444">
            <v>7.2939666222791806E-5</v>
          </cell>
          <cell r="I444">
            <v>0.56340800915737899</v>
          </cell>
          <cell r="J444">
            <v>2.5158880196094899</v>
          </cell>
        </row>
        <row r="445">
          <cell r="B445" t="str">
            <v>V2G</v>
          </cell>
          <cell r="C445" t="str">
            <v>VAR_cap</v>
          </cell>
          <cell r="D445" t="str">
            <v>-</v>
          </cell>
          <cell r="H445">
            <v>7.2939666222791806E-5</v>
          </cell>
          <cell r="I445">
            <v>0.56456021072775642</v>
          </cell>
          <cell r="J445">
            <v>2.9252383759468072</v>
          </cell>
        </row>
        <row r="446">
          <cell r="B446" t="str">
            <v>D-EBIO</v>
          </cell>
          <cell r="C446" t="str">
            <v>VAR_fout</v>
          </cell>
          <cell r="D446" t="str">
            <v>EBIO</v>
          </cell>
          <cell r="E446">
            <v>1.1839491554680894</v>
          </cell>
          <cell r="G446">
            <v>1.5505727426852804E-5</v>
          </cell>
          <cell r="H446">
            <v>6.993103550792055E-6</v>
          </cell>
          <cell r="I446">
            <v>7.7595969661664305E-6</v>
          </cell>
          <cell r="J446">
            <v>9.6957227034587849E-7</v>
          </cell>
        </row>
        <row r="447">
          <cell r="B447" t="str">
            <v>D-EBIO</v>
          </cell>
          <cell r="C447" t="str">
            <v>VAR_fin</v>
          </cell>
          <cell r="D447" t="str">
            <v>BIO</v>
          </cell>
          <cell r="E447">
            <v>1.1839491554680894</v>
          </cell>
          <cell r="G447">
            <v>1.5505727426852804E-5</v>
          </cell>
          <cell r="H447">
            <v>6.993103550792055E-6</v>
          </cell>
          <cell r="I447">
            <v>7.7595969661664305E-6</v>
          </cell>
          <cell r="J447">
            <v>9.6957227034587849E-7</v>
          </cell>
        </row>
        <row r="448">
          <cell r="B448" t="str">
            <v>G-INTC3</v>
          </cell>
          <cell r="C448" t="str">
            <v>VAR_fout</v>
          </cell>
          <cell r="D448" t="str">
            <v>ELC35</v>
          </cell>
          <cell r="E448">
            <v>140.47388510664766</v>
          </cell>
          <cell r="F448">
            <v>108.19225598742452</v>
          </cell>
          <cell r="G448">
            <v>103.91433550979383</v>
          </cell>
          <cell r="H448">
            <v>137.56455686862981</v>
          </cell>
          <cell r="I448">
            <v>131.41891683110862</v>
          </cell>
          <cell r="J448">
            <v>102.94672928840041</v>
          </cell>
        </row>
        <row r="449">
          <cell r="B449" t="str">
            <v>G-INTC3</v>
          </cell>
          <cell r="C449" t="str">
            <v>VAR_fout</v>
          </cell>
          <cell r="D449" t="str">
            <v>ELC3</v>
          </cell>
          <cell r="E449">
            <v>35.169661139417478</v>
          </cell>
          <cell r="F449">
            <v>67.472261435706329</v>
          </cell>
          <cell r="G449">
            <v>71.268492412930129</v>
          </cell>
          <cell r="H449">
            <v>41.155439993907279</v>
          </cell>
          <cell r="I449">
            <v>30.813584656382528</v>
          </cell>
          <cell r="J449">
            <v>26.252265366312802</v>
          </cell>
        </row>
        <row r="450">
          <cell r="B450" t="str">
            <v>G-INTC3</v>
          </cell>
          <cell r="C450" t="str">
            <v>VAR_fout</v>
          </cell>
          <cell r="D450" t="str">
            <v>ELC</v>
          </cell>
          <cell r="E450">
            <v>4.1662743836394771E-4</v>
          </cell>
          <cell r="F450">
            <v>4.0522637927212292E-5</v>
          </cell>
          <cell r="G450">
            <v>5.1395361225512445E-5</v>
          </cell>
          <cell r="H450">
            <v>2.5070787663636275E-5</v>
          </cell>
          <cell r="I450">
            <v>3.858653226181962E-5</v>
          </cell>
          <cell r="J450">
            <v>1.9549947723880043</v>
          </cell>
        </row>
        <row r="451">
          <cell r="B451" t="str">
            <v>G-INTC3</v>
          </cell>
          <cell r="C451" t="str">
            <v>VAR_fin</v>
          </cell>
          <cell r="D451" t="str">
            <v>ELC13</v>
          </cell>
          <cell r="E451">
            <v>179.32350748129423</v>
          </cell>
          <cell r="F451">
            <v>183.94311199399687</v>
          </cell>
          <cell r="G451">
            <v>182.83597724656246</v>
          </cell>
          <cell r="H451">
            <v>185.51169898195252</v>
          </cell>
          <cell r="I451">
            <v>166.58303317075806</v>
          </cell>
          <cell r="J451">
            <v>133.23534231105657</v>
          </cell>
        </row>
        <row r="452">
          <cell r="B452" t="str">
            <v>G-INTC3</v>
          </cell>
          <cell r="C452" t="str">
            <v>VAR_cap</v>
          </cell>
          <cell r="D452" t="str">
            <v>-</v>
          </cell>
          <cell r="E452">
            <v>13.914190167241101</v>
          </cell>
          <cell r="F452">
            <v>13.914190167241101</v>
          </cell>
          <cell r="G452">
            <v>13.914190167241101</v>
          </cell>
          <cell r="H452">
            <v>13.914190167241101</v>
          </cell>
          <cell r="I452">
            <v>13.914190167241101</v>
          </cell>
          <cell r="J452">
            <v>13.914190167241101</v>
          </cell>
        </row>
        <row r="453">
          <cell r="B453" t="str">
            <v>HPLBIO</v>
          </cell>
          <cell r="C453" t="str">
            <v>VAR_fout</v>
          </cell>
          <cell r="D453" t="str">
            <v>LTH</v>
          </cell>
          <cell r="E453">
            <v>0.90177365284241062</v>
          </cell>
          <cell r="G453">
            <v>1.1810183230515152E-5</v>
          </cell>
          <cell r="H453">
            <v>5.3264082368551926E-6</v>
          </cell>
          <cell r="I453">
            <v>5.9102201040029272E-6</v>
          </cell>
          <cell r="J453">
            <v>2.5283431351154088E-7</v>
          </cell>
        </row>
        <row r="454">
          <cell r="B454" t="str">
            <v>HPLBIO</v>
          </cell>
          <cell r="C454" t="str">
            <v>VAR_fin</v>
          </cell>
          <cell r="D454" t="str">
            <v>EBIO</v>
          </cell>
          <cell r="E454">
            <v>1.1839491554680894</v>
          </cell>
          <cell r="G454">
            <v>1.5505727426852804E-5</v>
          </cell>
          <cell r="H454">
            <v>6.993103550792055E-6</v>
          </cell>
          <cell r="I454">
            <v>7.7595969661664305E-6</v>
          </cell>
          <cell r="J454">
            <v>3.3194912161361956E-7</v>
          </cell>
        </row>
        <row r="455">
          <cell r="B455" t="str">
            <v>HPLBIO</v>
          </cell>
          <cell r="C455" t="str">
            <v>VAR_ncap</v>
          </cell>
          <cell r="D455" t="str">
            <v>-</v>
          </cell>
          <cell r="E455">
            <v>1.42822258329416E-7</v>
          </cell>
          <cell r="F455">
            <v>1.04950800339546E-7</v>
          </cell>
          <cell r="G455">
            <v>9.5440492226000696E-8</v>
          </cell>
          <cell r="H455">
            <v>1.48397154010104E-7</v>
          </cell>
          <cell r="I455">
            <v>1.5565017433521601E-7</v>
          </cell>
          <cell r="J455">
            <v>9.36073244541624E-8</v>
          </cell>
        </row>
        <row r="456">
          <cell r="B456" t="str">
            <v>HPLBIO</v>
          </cell>
          <cell r="C456" t="str">
            <v>VAR_cap</v>
          </cell>
          <cell r="D456" t="str">
            <v>-</v>
          </cell>
          <cell r="E456">
            <v>0.11438033717013249</v>
          </cell>
          <cell r="F456">
            <v>4.8205788583666198E-5</v>
          </cell>
          <cell r="G456">
            <v>4.6719061551889207E-5</v>
          </cell>
          <cell r="H456">
            <v>2.0495155457704584E-5</v>
          </cell>
          <cell r="I456">
            <v>8.6378249532908193E-6</v>
          </cell>
          <cell r="J456">
            <v>6.8247332482377176E-6</v>
          </cell>
        </row>
        <row r="457">
          <cell r="B457" t="str">
            <v>CHPGFC</v>
          </cell>
          <cell r="C457" t="str">
            <v>VAR_fout</v>
          </cell>
          <cell r="D457" t="str">
            <v>ELC35</v>
          </cell>
          <cell r="I457">
            <v>0.11169209867542626</v>
          </cell>
          <cell r="J457">
            <v>1.9662543904164352E-5</v>
          </cell>
        </row>
        <row r="458">
          <cell r="B458" t="str">
            <v>CHPGFC</v>
          </cell>
          <cell r="C458" t="str">
            <v>VAR_fout</v>
          </cell>
          <cell r="D458" t="str">
            <v>LTH</v>
          </cell>
          <cell r="I458">
            <v>0.14240742581116847</v>
          </cell>
          <cell r="J458">
            <v>2.6251378655627022E-5</v>
          </cell>
        </row>
        <row r="459">
          <cell r="B459" t="str">
            <v>CHPGFC</v>
          </cell>
          <cell r="C459" t="str">
            <v>VAR_fout</v>
          </cell>
          <cell r="D459" t="str">
            <v>CO2_E</v>
          </cell>
          <cell r="I459">
            <v>15.7485859132351</v>
          </cell>
          <cell r="J459">
            <v>2.8141824750858198E-3</v>
          </cell>
        </row>
        <row r="460">
          <cell r="B460" t="str">
            <v>CHPGFC</v>
          </cell>
          <cell r="C460" t="str">
            <v>VAR_fin</v>
          </cell>
          <cell r="D460" t="str">
            <v>ENGA</v>
          </cell>
          <cell r="I460">
            <v>0.27923024668856566</v>
          </cell>
          <cell r="J460">
            <v>4.9896852395138649E-5</v>
          </cell>
        </row>
        <row r="461">
          <cell r="B461" t="str">
            <v>CHPGFC</v>
          </cell>
          <cell r="C461" t="str">
            <v>VAR_ncap</v>
          </cell>
          <cell r="D461" t="str">
            <v>-</v>
          </cell>
          <cell r="I461">
            <v>4.1667515892149102E-3</v>
          </cell>
        </row>
        <row r="462">
          <cell r="B462" t="str">
            <v>CHPGFC</v>
          </cell>
          <cell r="C462" t="str">
            <v>VAR_cap</v>
          </cell>
          <cell r="D462" t="str">
            <v>-</v>
          </cell>
          <cell r="I462">
            <v>4.1667515892149102E-3</v>
          </cell>
          <cell r="J462">
            <v>6.8025844413600878E-6</v>
          </cell>
        </row>
        <row r="463">
          <cell r="B463" t="str">
            <v>G-INTC5</v>
          </cell>
          <cell r="C463" t="str">
            <v>VAR_fout</v>
          </cell>
          <cell r="D463" t="str">
            <v>ELC5</v>
          </cell>
          <cell r="E463">
            <v>266.01977255241599</v>
          </cell>
          <cell r="F463">
            <v>121.7002382251984</v>
          </cell>
          <cell r="G463">
            <v>119.804338183646</v>
          </cell>
          <cell r="H463">
            <v>154.39110440636014</v>
          </cell>
          <cell r="I463">
            <v>160.35964299138948</v>
          </cell>
          <cell r="J463">
            <v>156.9325605118905</v>
          </cell>
        </row>
        <row r="464">
          <cell r="B464" t="str">
            <v>G-INTC5</v>
          </cell>
          <cell r="C464" t="str">
            <v>VAR_fout</v>
          </cell>
          <cell r="D464" t="str">
            <v>ELC13</v>
          </cell>
          <cell r="E464">
            <v>1.9844739068495738E-3</v>
          </cell>
          <cell r="F464">
            <v>3.4582254476714666E-5</v>
          </cell>
          <cell r="G464">
            <v>4.4886428128608049E-5</v>
          </cell>
          <cell r="H464">
            <v>2.1168396356103877E-5</v>
          </cell>
          <cell r="I464">
            <v>3.2005588779901281E-5</v>
          </cell>
          <cell r="J464">
            <v>0.83932031469726442</v>
          </cell>
        </row>
        <row r="465">
          <cell r="B465" t="str">
            <v>G-INTC5</v>
          </cell>
          <cell r="C465" t="str">
            <v>VAR_fin</v>
          </cell>
          <cell r="D465" t="str">
            <v>ELC35</v>
          </cell>
          <cell r="E465">
            <v>274.42372624313856</v>
          </cell>
          <cell r="F465">
            <v>127.45586384258256</v>
          </cell>
          <cell r="G465">
            <v>125.19794465976491</v>
          </cell>
          <cell r="H465">
            <v>160.76015179952586</v>
          </cell>
          <cell r="I465">
            <v>165.77967983087262</v>
          </cell>
          <cell r="J465">
            <v>161.94518527409267</v>
          </cell>
        </row>
        <row r="466">
          <cell r="B466" t="str">
            <v>G-INTC5</v>
          </cell>
          <cell r="C466" t="str">
            <v>VAR_cap</v>
          </cell>
          <cell r="D466" t="str">
            <v>-</v>
          </cell>
          <cell r="E466">
            <v>12.649263788401001</v>
          </cell>
          <cell r="F466">
            <v>12.649263788401001</v>
          </cell>
          <cell r="G466">
            <v>12.649263788401001</v>
          </cell>
          <cell r="H466">
            <v>12.649263788401001</v>
          </cell>
          <cell r="I466">
            <v>12.649263788401001</v>
          </cell>
          <cell r="J466">
            <v>12.649263788401001</v>
          </cell>
        </row>
        <row r="467">
          <cell r="B467" t="str">
            <v>D-SLFO</v>
          </cell>
          <cell r="C467" t="str">
            <v>VAR_fout</v>
          </cell>
          <cell r="D467" t="str">
            <v>CO2</v>
          </cell>
          <cell r="E467">
            <v>2267.7886207963902</v>
          </cell>
          <cell r="F467">
            <v>1816.7874292189599</v>
          </cell>
          <cell r="G467">
            <v>2001.6798293490399</v>
          </cell>
          <cell r="H467">
            <v>1462.84780444999</v>
          </cell>
          <cell r="I467">
            <v>636.86916967478396</v>
          </cell>
          <cell r="J467">
            <v>3.8781890345629599E-3</v>
          </cell>
        </row>
        <row r="468">
          <cell r="B468" t="str">
            <v>D-SLFO</v>
          </cell>
          <cell r="C468" t="str">
            <v>VAR_fout</v>
          </cell>
          <cell r="D468" t="str">
            <v>SLFO</v>
          </cell>
          <cell r="E468">
            <v>30.256633757919012</v>
          </cell>
          <cell r="F468">
            <v>24.239416036299403</v>
          </cell>
          <cell r="G468">
            <v>26.70623769544142</v>
          </cell>
          <cell r="H468">
            <v>19.517195990937967</v>
          </cell>
          <cell r="I468">
            <v>8.4970603886646945</v>
          </cell>
          <cell r="J468">
            <v>0.87202123578615987</v>
          </cell>
        </row>
        <row r="469">
          <cell r="B469" t="str">
            <v>D-SLFO</v>
          </cell>
          <cell r="C469" t="str">
            <v>VAR_fin</v>
          </cell>
          <cell r="D469" t="str">
            <v>LFO</v>
          </cell>
          <cell r="E469">
            <v>30.770537595609031</v>
          </cell>
          <cell r="F469">
            <v>24.651118442591006</v>
          </cell>
          <cell r="G469">
            <v>27.159834862266461</v>
          </cell>
          <cell r="H469">
            <v>19.848681200135601</v>
          </cell>
          <cell r="I469">
            <v>8.6413727228600337</v>
          </cell>
          <cell r="J469">
            <v>5.2621289478466185E-5</v>
          </cell>
        </row>
        <row r="470">
          <cell r="B470" t="str">
            <v>D-SLFO</v>
          </cell>
          <cell r="C470" t="str">
            <v>VAR_fin</v>
          </cell>
          <cell r="D470" t="str">
            <v>BDS</v>
          </cell>
          <cell r="G470">
            <v>4.1660260409868468E-6</v>
          </cell>
          <cell r="H470">
            <v>1.197479432192327E-5</v>
          </cell>
          <cell r="I470">
            <v>9.5551302657041658E-6</v>
          </cell>
          <cell r="J470">
            <v>0.88678013656778554</v>
          </cell>
        </row>
        <row r="471">
          <cell r="B471" t="str">
            <v>D-RCOA</v>
          </cell>
          <cell r="C471" t="str">
            <v>VAR_fout</v>
          </cell>
          <cell r="D471" t="str">
            <v>CO2</v>
          </cell>
          <cell r="E471">
            <v>9.2700016258185407</v>
          </cell>
          <cell r="F471">
            <v>9.2700004548739798</v>
          </cell>
          <cell r="G471">
            <v>2.69349243886447E-3</v>
          </cell>
          <cell r="H471">
            <v>1.4335998575195799E-3</v>
          </cell>
        </row>
        <row r="472">
          <cell r="B472" t="str">
            <v>D-RCOA</v>
          </cell>
          <cell r="C472" t="str">
            <v>VAR_fout</v>
          </cell>
          <cell r="D472" t="str">
            <v>RCOA</v>
          </cell>
          <cell r="E472">
            <v>0.10000001753849549</v>
          </cell>
          <cell r="F472">
            <v>0.10000000490694694</v>
          </cell>
          <cell r="G472">
            <v>2.9056013364233708E-5</v>
          </cell>
          <cell r="H472">
            <v>1.5464939131818579E-5</v>
          </cell>
        </row>
        <row r="473">
          <cell r="B473" t="str">
            <v>D-RCOA</v>
          </cell>
          <cell r="C473" t="str">
            <v>VAR_fin</v>
          </cell>
          <cell r="D473" t="str">
            <v>COA</v>
          </cell>
          <cell r="E473">
            <v>0.10000001753849549</v>
          </cell>
          <cell r="F473">
            <v>0.10000000490694694</v>
          </cell>
          <cell r="G473">
            <v>2.9056013364233708E-5</v>
          </cell>
          <cell r="H473">
            <v>1.5464939131818579E-5</v>
          </cell>
        </row>
        <row r="474">
          <cell r="B474" t="str">
            <v>EHYD-RUN00</v>
          </cell>
          <cell r="C474" t="str">
            <v>VAR_fout</v>
          </cell>
          <cell r="D474" t="str">
            <v>ELC13</v>
          </cell>
          <cell r="E474">
            <v>54.392400076940937</v>
          </cell>
          <cell r="F474">
            <v>43.520646704422013</v>
          </cell>
          <cell r="G474">
            <v>53.299300337304608</v>
          </cell>
          <cell r="H474">
            <v>52.206246671107372</v>
          </cell>
          <cell r="I474">
            <v>50.020144064438234</v>
          </cell>
          <cell r="J474">
            <v>47.834042480097182</v>
          </cell>
        </row>
        <row r="475">
          <cell r="B475" t="str">
            <v>EHYD-RUN00</v>
          </cell>
          <cell r="C475" t="str">
            <v>VAR_fin</v>
          </cell>
          <cell r="D475" t="str">
            <v>HYDR</v>
          </cell>
          <cell r="E475">
            <v>54.392400076940937</v>
          </cell>
          <cell r="F475">
            <v>43.520646704422013</v>
          </cell>
          <cell r="G475">
            <v>53.299300337304608</v>
          </cell>
          <cell r="H475">
            <v>52.206246671107372</v>
          </cell>
          <cell r="I475">
            <v>50.020144064438234</v>
          </cell>
          <cell r="J475">
            <v>47.834042480097182</v>
          </cell>
        </row>
        <row r="476">
          <cell r="B476" t="str">
            <v>EHYD-RUN00</v>
          </cell>
          <cell r="C476" t="str">
            <v>VAR_cap</v>
          </cell>
          <cell r="D476" t="str">
            <v>-</v>
          </cell>
          <cell r="E476">
            <v>3.86687</v>
          </cell>
          <cell r="F476">
            <v>3.9240852000672399</v>
          </cell>
          <cell r="G476">
            <v>3.9610124303882599</v>
          </cell>
          <cell r="H476">
            <v>3.9647700000000001</v>
          </cell>
          <cell r="I476">
            <v>3.9647700000000001</v>
          </cell>
          <cell r="J476">
            <v>3.9647700000000001</v>
          </cell>
        </row>
        <row r="477">
          <cell r="B477" t="str">
            <v>HPLELCHP</v>
          </cell>
          <cell r="C477" t="str">
            <v>VAR_fout</v>
          </cell>
          <cell r="D477" t="str">
            <v>LTH</v>
          </cell>
          <cell r="F477">
            <v>6.9882490863622388</v>
          </cell>
          <cell r="G477">
            <v>7.2000000228913263</v>
          </cell>
          <cell r="H477">
            <v>13.46399981102498</v>
          </cell>
          <cell r="I477">
            <v>16.018217065657478</v>
          </cell>
          <cell r="J477">
            <v>17.697465043531761</v>
          </cell>
        </row>
        <row r="478">
          <cell r="B478" t="str">
            <v>HPLELCHP</v>
          </cell>
          <cell r="C478" t="str">
            <v>VAR_fin</v>
          </cell>
          <cell r="D478" t="str">
            <v>ELC35</v>
          </cell>
          <cell r="F478">
            <v>2.3294163621207469</v>
          </cell>
          <cell r="G478">
            <v>2.4000000076304424</v>
          </cell>
          <cell r="H478">
            <v>4.4879999370083246</v>
          </cell>
          <cell r="I478">
            <v>5.3394056885524943</v>
          </cell>
          <cell r="J478">
            <v>5.8991550145105878</v>
          </cell>
        </row>
        <row r="479">
          <cell r="B479" t="str">
            <v>HPLELCHP</v>
          </cell>
          <cell r="C479" t="str">
            <v>VAR_ncap</v>
          </cell>
          <cell r="D479" t="str">
            <v>-</v>
          </cell>
          <cell r="F479">
            <v>0.43029331246309199</v>
          </cell>
          <cell r="G479">
            <v>1.30384919745412E-2</v>
          </cell>
          <cell r="H479">
            <v>0.385696448804148</v>
          </cell>
          <cell r="I479">
            <v>0.29287412573353799</v>
          </cell>
          <cell r="J479">
            <v>0.64160115654015104</v>
          </cell>
        </row>
        <row r="480">
          <cell r="B480" t="str">
            <v>HPLELCHP</v>
          </cell>
          <cell r="C480" t="str">
            <v>VAR_cap</v>
          </cell>
          <cell r="D480" t="str">
            <v>-</v>
          </cell>
          <cell r="F480">
            <v>0.43029331246309199</v>
          </cell>
          <cell r="G480">
            <v>0.44333180443763298</v>
          </cell>
          <cell r="H480">
            <v>0.82902825324178098</v>
          </cell>
          <cell r="I480">
            <v>0.98658278414833445</v>
          </cell>
          <cell r="J480">
            <v>1.0920341727511773</v>
          </cell>
        </row>
        <row r="481">
          <cell r="B481" t="str">
            <v>D-ITOT_LTH</v>
          </cell>
          <cell r="C481" t="str">
            <v>VAR_fout</v>
          </cell>
          <cell r="D481" t="str">
            <v>ITOT_LTH_DH</v>
          </cell>
          <cell r="E481">
            <v>7.120000426938879</v>
          </cell>
          <cell r="F481">
            <v>7.6289058815658795</v>
          </cell>
          <cell r="G481">
            <v>7.3111242850993632</v>
          </cell>
          <cell r="H481">
            <v>8.2190659196386076</v>
          </cell>
          <cell r="I481">
            <v>9.615350101523866</v>
          </cell>
          <cell r="J481">
            <v>12.526470838008533</v>
          </cell>
        </row>
        <row r="482">
          <cell r="B482" t="str">
            <v>D-ITOT_LTH</v>
          </cell>
          <cell r="C482" t="str">
            <v>VAR_fin</v>
          </cell>
          <cell r="D482" t="str">
            <v>LTH</v>
          </cell>
          <cell r="E482">
            <v>7.7403361546790235</v>
          </cell>
          <cell r="F482">
            <v>8.2914007505805465</v>
          </cell>
          <cell r="G482">
            <v>7.9428917398968739</v>
          </cell>
          <cell r="H482">
            <v>8.9234295984300847</v>
          </cell>
          <cell r="I482">
            <v>10.425687992650165</v>
          </cell>
          <cell r="J482">
            <v>13.564362387954592</v>
          </cell>
        </row>
        <row r="483">
          <cell r="B483" t="str">
            <v>D-ITOT_LTH</v>
          </cell>
          <cell r="C483" t="str">
            <v>VAR_ncap</v>
          </cell>
          <cell r="D483" t="str">
            <v>-</v>
          </cell>
          <cell r="E483">
            <v>0.79547229337228997</v>
          </cell>
        </row>
        <row r="484">
          <cell r="B484" t="str">
            <v>D-ITOT_LTH</v>
          </cell>
          <cell r="C484" t="str">
            <v>VAR_cap</v>
          </cell>
          <cell r="D484" t="str">
            <v>-</v>
          </cell>
          <cell r="E484">
            <v>0.79547229337228997</v>
          </cell>
          <cell r="F484">
            <v>0.79547229337228997</v>
          </cell>
          <cell r="G484">
            <v>0.79547229337228997</v>
          </cell>
          <cell r="H484">
            <v>0.79547229337228997</v>
          </cell>
          <cell r="I484">
            <v>0.79547229337228997</v>
          </cell>
          <cell r="J484">
            <v>0.79547229337228997</v>
          </cell>
        </row>
        <row r="485">
          <cell r="B485" t="str">
            <v>D-IH2</v>
          </cell>
          <cell r="C485" t="str">
            <v>VAR_fout</v>
          </cell>
          <cell r="D485" t="str">
            <v>IH2</v>
          </cell>
          <cell r="H485">
            <v>0.51126982357260742</v>
          </cell>
          <cell r="I485">
            <v>1.6343399420532494</v>
          </cell>
          <cell r="J485">
            <v>8.7475460633038029</v>
          </cell>
        </row>
        <row r="486">
          <cell r="B486" t="str">
            <v>D-IH2</v>
          </cell>
          <cell r="C486" t="str">
            <v>VAR_fin</v>
          </cell>
          <cell r="D486" t="str">
            <v>H2</v>
          </cell>
          <cell r="H486">
            <v>0.51516487547065848</v>
          </cell>
          <cell r="I486">
            <v>1.6467909778857031</v>
          </cell>
          <cell r="J486">
            <v>8.8141882634224729</v>
          </cell>
        </row>
        <row r="487">
          <cell r="B487" t="str">
            <v>D-IH2</v>
          </cell>
          <cell r="C487" t="str">
            <v>VAR_ncap</v>
          </cell>
          <cell r="D487" t="str">
            <v>-</v>
          </cell>
          <cell r="H487">
            <v>3.1529961748531302E-2</v>
          </cell>
          <cell r="I487">
            <v>1.09060241088677E-2</v>
          </cell>
          <cell r="J487">
            <v>0.233382862068857</v>
          </cell>
        </row>
        <row r="488">
          <cell r="B488" t="str">
            <v>D-IH2</v>
          </cell>
          <cell r="C488" t="str">
            <v>VAR_cap</v>
          </cell>
          <cell r="D488" t="str">
            <v>-</v>
          </cell>
          <cell r="H488">
            <v>3.1529961748531302E-2</v>
          </cell>
          <cell r="I488">
            <v>0.117280341115008</v>
          </cell>
          <cell r="J488">
            <v>0.35066320318386501</v>
          </cell>
        </row>
        <row r="489">
          <cell r="B489" t="str">
            <v>RHEM-ESOLPV</v>
          </cell>
          <cell r="C489" t="str">
            <v>VAR_fout</v>
          </cell>
          <cell r="D489" t="str">
            <v>RHEM_SOL_ELC</v>
          </cell>
          <cell r="E489">
            <v>0.86248322578584768</v>
          </cell>
          <cell r="F489">
            <v>1.1354299502711305</v>
          </cell>
          <cell r="G489">
            <v>1.1698204147465037</v>
          </cell>
          <cell r="H489">
            <v>1.4225889868745167</v>
          </cell>
          <cell r="I489">
            <v>1.9118406200141063</v>
          </cell>
          <cell r="J489">
            <v>2.5693539918445158</v>
          </cell>
        </row>
        <row r="490">
          <cell r="B490" t="str">
            <v>RHEM-ESOLPV</v>
          </cell>
          <cell r="C490" t="str">
            <v>VAR_fin</v>
          </cell>
          <cell r="D490" t="str">
            <v>SOL</v>
          </cell>
          <cell r="E490">
            <v>0.86248322578584768</v>
          </cell>
          <cell r="F490">
            <v>1.1354299502711305</v>
          </cell>
          <cell r="G490">
            <v>1.1698204147465037</v>
          </cell>
          <cell r="H490">
            <v>1.4225889868745167</v>
          </cell>
          <cell r="I490">
            <v>1.9118406200141063</v>
          </cell>
          <cell r="J490">
            <v>2.5693539918445158</v>
          </cell>
        </row>
        <row r="491">
          <cell r="B491" t="str">
            <v>RHEM-ESOLPV</v>
          </cell>
          <cell r="C491" t="str">
            <v>VAR_fin</v>
          </cell>
          <cell r="D491" t="str">
            <v>SOLPVC</v>
          </cell>
          <cell r="E491">
            <v>0.86248322578584802</v>
          </cell>
          <cell r="F491">
            <v>1.13542995027113</v>
          </cell>
          <cell r="G491">
            <v>1.1698204147464999</v>
          </cell>
          <cell r="H491">
            <v>1.4225889868745201</v>
          </cell>
          <cell r="I491">
            <v>1.91184062001411</v>
          </cell>
          <cell r="J491">
            <v>2.5693539918445198</v>
          </cell>
        </row>
        <row r="492">
          <cell r="B492" t="str">
            <v>RHEM-ESOLPV</v>
          </cell>
          <cell r="C492" t="str">
            <v>VAR_ncap</v>
          </cell>
          <cell r="D492" t="str">
            <v>-</v>
          </cell>
          <cell r="F492">
            <v>1.15508227005503E-8</v>
          </cell>
          <cell r="G492">
            <v>1.93932921290177E-8</v>
          </cell>
          <cell r="H492">
            <v>6.8067683062972895E-2</v>
          </cell>
          <cell r="I492">
            <v>0.25978685222506498</v>
          </cell>
          <cell r="J492">
            <v>0.34065439328726599</v>
          </cell>
        </row>
        <row r="493">
          <cell r="B493" t="str">
            <v>RHEM-ESOLPV</v>
          </cell>
          <cell r="C493" t="str">
            <v>VAR_cap</v>
          </cell>
          <cell r="D493" t="str">
            <v>-</v>
          </cell>
          <cell r="E493">
            <v>0.27424799999999999</v>
          </cell>
          <cell r="F493">
            <v>0.35374801155082269</v>
          </cell>
          <cell r="G493">
            <v>0.35374803094411483</v>
          </cell>
          <cell r="H493">
            <v>0.41009092626656973</v>
          </cell>
          <cell r="I493">
            <v>0.55112790665574352</v>
          </cell>
          <cell r="J493">
            <v>0.74066983167152001</v>
          </cell>
        </row>
        <row r="494">
          <cell r="B494" t="str">
            <v>HPLNUC</v>
          </cell>
          <cell r="C494" t="str">
            <v>VAR_fout</v>
          </cell>
          <cell r="D494" t="str">
            <v>LTH</v>
          </cell>
          <cell r="E494">
            <v>1.4500001058889773</v>
          </cell>
          <cell r="F494">
            <v>3.801939893519914</v>
          </cell>
          <cell r="G494">
            <v>3.8019218733786198</v>
          </cell>
          <cell r="H494">
            <v>1.0696875536632149</v>
          </cell>
        </row>
        <row r="495">
          <cell r="B495" t="str">
            <v>HPLNUC</v>
          </cell>
          <cell r="C495" t="str">
            <v>VAR_fin</v>
          </cell>
          <cell r="D495" t="str">
            <v>URN</v>
          </cell>
          <cell r="E495">
            <v>1.4500001058889773</v>
          </cell>
          <cell r="F495">
            <v>3.801939893519914</v>
          </cell>
          <cell r="G495">
            <v>3.8019218733786198</v>
          </cell>
          <cell r="H495">
            <v>1.0696875536632149</v>
          </cell>
        </row>
        <row r="496">
          <cell r="B496" t="str">
            <v>HPLNUC</v>
          </cell>
          <cell r="C496" t="str">
            <v>VAR_cap</v>
          </cell>
          <cell r="D496" t="str">
            <v>-</v>
          </cell>
          <cell r="E496">
            <v>0.120558721922211</v>
          </cell>
          <cell r="F496">
            <v>0.120558721922211</v>
          </cell>
          <cell r="G496">
            <v>0.120558721922211</v>
          </cell>
          <cell r="H496">
            <v>0.11197225056919</v>
          </cell>
          <cell r="I496">
            <v>1.56851844506808E-2</v>
          </cell>
        </row>
        <row r="497">
          <cell r="B497" t="str">
            <v>ITOT-CHPWODCCS</v>
          </cell>
          <cell r="C497" t="str">
            <v>VAR_fout</v>
          </cell>
          <cell r="D497" t="str">
            <v>CO2_O</v>
          </cell>
          <cell r="I497">
            <v>803.411310513079</v>
          </cell>
          <cell r="J497">
            <v>1207.6884792752189</v>
          </cell>
        </row>
        <row r="498">
          <cell r="B498" t="str">
            <v>ITOT-CHPWODCCS</v>
          </cell>
          <cell r="C498" t="str">
            <v>VAR_fout</v>
          </cell>
          <cell r="D498" t="str">
            <v>CO2</v>
          </cell>
          <cell r="I498">
            <v>-803.411310513079</v>
          </cell>
          <cell r="J498">
            <v>-1207.6884792752201</v>
          </cell>
        </row>
        <row r="499">
          <cell r="B499" t="str">
            <v>ITOT-CHPWODCCS</v>
          </cell>
          <cell r="C499" t="str">
            <v>VAR_fout</v>
          </cell>
          <cell r="D499" t="str">
            <v>ITOT_LTH_CHP</v>
          </cell>
          <cell r="I499">
            <v>5.7193817537396203</v>
          </cell>
          <cell r="J499">
            <v>8.9526424954996298</v>
          </cell>
        </row>
        <row r="500">
          <cell r="B500" t="str">
            <v>ITOT-CHPWODCCS</v>
          </cell>
          <cell r="C500" t="str">
            <v>VAR_fout</v>
          </cell>
          <cell r="D500" t="str">
            <v>ITOT_KEV_WOD_ELC_CHP</v>
          </cell>
          <cell r="I500">
            <v>2.7037077381314512</v>
          </cell>
          <cell r="J500">
            <v>4.2321582705998138</v>
          </cell>
        </row>
        <row r="501">
          <cell r="B501" t="str">
            <v>ITOT-CHPWODCCS</v>
          </cell>
          <cell r="C501" t="str">
            <v>VAR_fin</v>
          </cell>
          <cell r="D501" t="str">
            <v>IWOD</v>
          </cell>
          <cell r="I501">
            <v>8.0599139033932445</v>
          </cell>
          <cell r="J501">
            <v>12.128465003355585</v>
          </cell>
        </row>
        <row r="502">
          <cell r="B502" t="str">
            <v>ITOT-CHPWODCCS</v>
          </cell>
          <cell r="C502" t="str">
            <v>VAR_ncap</v>
          </cell>
          <cell r="D502" t="str">
            <v>-</v>
          </cell>
          <cell r="I502">
            <v>9.9968094271310606E-2</v>
          </cell>
          <cell r="J502">
            <v>9.5094684528329504E-2</v>
          </cell>
        </row>
        <row r="503">
          <cell r="B503" t="str">
            <v>ITOT-CHPWODCCS</v>
          </cell>
          <cell r="C503" t="str">
            <v>VAR_cap</v>
          </cell>
          <cell r="D503" t="str">
            <v>-</v>
          </cell>
          <cell r="I503">
            <v>9.9968094271310606E-2</v>
          </cell>
          <cell r="J503">
            <v>0.16764488185898899</v>
          </cell>
        </row>
        <row r="504">
          <cell r="B504" t="str">
            <v>SUP_WODBIO</v>
          </cell>
          <cell r="C504" t="str">
            <v>VAR_fout</v>
          </cell>
          <cell r="D504" t="str">
            <v>ELC35</v>
          </cell>
          <cell r="F504">
            <v>1.3428522085599779E-6</v>
          </cell>
          <cell r="G504">
            <v>3.0889398382070484E-7</v>
          </cell>
        </row>
        <row r="505">
          <cell r="B505" t="str">
            <v>SUP_WODBIO</v>
          </cell>
          <cell r="C505" t="str">
            <v>VAR_fout</v>
          </cell>
          <cell r="D505" t="str">
            <v>BIO</v>
          </cell>
          <cell r="F505">
            <v>4.6424862544226617E-5</v>
          </cell>
          <cell r="G505">
            <v>2.9865495481396749E-5</v>
          </cell>
          <cell r="H505">
            <v>1.0304676892974778E-5</v>
          </cell>
          <cell r="I505">
            <v>6.5327201051392011E-6</v>
          </cell>
          <cell r="J505">
            <v>1.7345421967284558E-6</v>
          </cell>
        </row>
        <row r="506">
          <cell r="B506" t="str">
            <v>SUP_WODBIO</v>
          </cell>
          <cell r="C506" t="str">
            <v>VAR_fout</v>
          </cell>
          <cell r="D506" t="str">
            <v>LTH</v>
          </cell>
          <cell r="F506">
            <v>4.0285566256799298E-6</v>
          </cell>
          <cell r="G506">
            <v>2.6062262507073291E-6</v>
          </cell>
        </row>
        <row r="507">
          <cell r="B507" t="str">
            <v>SUP_WODBIO</v>
          </cell>
          <cell r="C507" t="str">
            <v>VAR_fin</v>
          </cell>
          <cell r="D507" t="str">
            <v>CWOD</v>
          </cell>
          <cell r="F507">
            <v>6.2673564434705939E-5</v>
          </cell>
          <cell r="G507">
            <v>4.0318418899885641E-5</v>
          </cell>
          <cell r="H507">
            <v>1.391131380551594E-5</v>
          </cell>
          <cell r="I507">
            <v>8.8191721419379313E-6</v>
          </cell>
          <cell r="J507">
            <v>2.3616529777215753E-6</v>
          </cell>
        </row>
        <row r="508">
          <cell r="B508" t="str">
            <v>SUP_WODBIO</v>
          </cell>
          <cell r="C508" t="str">
            <v>VAR_ncap</v>
          </cell>
          <cell r="D508" t="str">
            <v>-</v>
          </cell>
          <cell r="E508">
            <v>3.7123771639378901E-8</v>
          </cell>
          <cell r="F508">
            <v>1.84594990289969E-6</v>
          </cell>
          <cell r="I508">
            <v>1.8468029400810299E-8</v>
          </cell>
          <cell r="J508">
            <v>3.10287600512306E-7</v>
          </cell>
        </row>
        <row r="509">
          <cell r="B509" t="str">
            <v>SUP_WODBIO</v>
          </cell>
          <cell r="C509" t="str">
            <v>VAR_cap</v>
          </cell>
          <cell r="D509" t="str">
            <v>-</v>
          </cell>
          <cell r="E509">
            <v>3.7123771639378901E-8</v>
          </cell>
          <cell r="F509">
            <v>1.88307367453907E-6</v>
          </cell>
          <cell r="G509">
            <v>1.8335824293699234E-6</v>
          </cell>
          <cell r="H509">
            <v>1.3383556643571941E-6</v>
          </cell>
          <cell r="I509">
            <v>7.0784610500063007E-7</v>
          </cell>
          <cell r="J509">
            <v>3.2875562991311598E-7</v>
          </cell>
        </row>
        <row r="510">
          <cell r="B510" t="str">
            <v>D-RLFO</v>
          </cell>
          <cell r="C510" t="str">
            <v>VAR_fout</v>
          </cell>
          <cell r="D510" t="str">
            <v>CO2</v>
          </cell>
          <cell r="E510">
            <v>4514.4818909444402</v>
          </cell>
          <cell r="F510">
            <v>4127.0322115123899</v>
          </cell>
          <cell r="G510">
            <v>3965.8858428804201</v>
          </cell>
          <cell r="H510">
            <v>2886.9356774462199</v>
          </cell>
          <cell r="I510">
            <v>1505.71992282121</v>
          </cell>
          <cell r="J510">
            <v>3.5436563666100701E-3</v>
          </cell>
        </row>
        <row r="511">
          <cell r="B511" t="str">
            <v>D-RLFO</v>
          </cell>
          <cell r="C511" t="str">
            <v>VAR_fout</v>
          </cell>
          <cell r="D511" t="str">
            <v>RLFO</v>
          </cell>
          <cell r="E511">
            <v>60.23181522671883</v>
          </cell>
          <cell r="F511">
            <v>55.062496118802358</v>
          </cell>
          <cell r="G511">
            <v>52.912499622546989</v>
          </cell>
          <cell r="H511">
            <v>38.517249988781309</v>
          </cell>
          <cell r="I511">
            <v>20.089190190068056</v>
          </cell>
          <cell r="J511">
            <v>0.21593030083073581</v>
          </cell>
        </row>
        <row r="512">
          <cell r="B512" t="str">
            <v>D-RLFO</v>
          </cell>
          <cell r="C512" t="str">
            <v>VAR_fin</v>
          </cell>
          <cell r="D512" t="str">
            <v>LFO</v>
          </cell>
          <cell r="E512">
            <v>61.254842482285333</v>
          </cell>
          <cell r="F512">
            <v>55.997723358377144</v>
          </cell>
          <cell r="G512">
            <v>53.811205466491359</v>
          </cell>
          <cell r="H512">
            <v>39.171447455172661</v>
          </cell>
          <cell r="I512">
            <v>20.430392439907873</v>
          </cell>
          <cell r="J512">
            <v>4.8082175937721387E-5</v>
          </cell>
        </row>
        <row r="513">
          <cell r="B513" t="str">
            <v>D-RLFO</v>
          </cell>
          <cell r="C513" t="str">
            <v>VAR_fin</v>
          </cell>
          <cell r="D513" t="str">
            <v>BDS</v>
          </cell>
          <cell r="G513">
            <v>4.1373398209056876E-6</v>
          </cell>
          <cell r="H513">
            <v>1.1548670055566774E-5</v>
          </cell>
          <cell r="I513">
            <v>9.2679894997502774E-6</v>
          </cell>
          <cell r="J513">
            <v>0.21954977098242992</v>
          </cell>
        </row>
        <row r="514">
          <cell r="B514" t="str">
            <v>G-INTC-EXP00-IT</v>
          </cell>
          <cell r="C514" t="str">
            <v>VAR_fout</v>
          </cell>
          <cell r="D514" t="str">
            <v>ELC_E-IT</v>
          </cell>
          <cell r="E514">
            <v>71.694107738000127</v>
          </cell>
          <cell r="F514">
            <v>34.14349303301379</v>
          </cell>
          <cell r="G514">
            <v>54.69220886946885</v>
          </cell>
          <cell r="H514">
            <v>31.018985794677963</v>
          </cell>
          <cell r="I514">
            <v>20.633211292269234</v>
          </cell>
          <cell r="J514">
            <v>18.205357422751558</v>
          </cell>
        </row>
        <row r="515">
          <cell r="B515" t="str">
            <v>G-INTC-EXP00-IT</v>
          </cell>
          <cell r="C515" t="str">
            <v>VAR_fin</v>
          </cell>
          <cell r="D515" t="str">
            <v>ELC</v>
          </cell>
          <cell r="E515">
            <v>71.694107738000127</v>
          </cell>
          <cell r="F515">
            <v>34.14349303301379</v>
          </cell>
          <cell r="G515">
            <v>54.69220886946885</v>
          </cell>
          <cell r="H515">
            <v>31.018985794677963</v>
          </cell>
          <cell r="I515">
            <v>20.633211292269234</v>
          </cell>
          <cell r="J515">
            <v>18.205357422751558</v>
          </cell>
        </row>
        <row r="516">
          <cell r="B516" t="str">
            <v>G-INTC-EXP00-IT</v>
          </cell>
          <cell r="C516" t="str">
            <v>VAR_ncap</v>
          </cell>
          <cell r="D516" t="str">
            <v>-</v>
          </cell>
          <cell r="E516">
            <v>5.5854435806390003E-3</v>
          </cell>
          <cell r="F516">
            <v>5.58542992099285E-3</v>
          </cell>
          <cell r="G516">
            <v>5.5854107587903698E-3</v>
          </cell>
          <cell r="H516">
            <v>5.5854125643482102E-3</v>
          </cell>
          <cell r="I516">
            <v>5.5853983901105004E-3</v>
          </cell>
          <cell r="J516">
            <v>5.5853738515504302E-3</v>
          </cell>
        </row>
        <row r="517">
          <cell r="B517" t="str">
            <v>G-INTC-EXP00-IT</v>
          </cell>
          <cell r="C517" t="str">
            <v>VAR_cap</v>
          </cell>
          <cell r="D517" t="str">
            <v>-</v>
          </cell>
          <cell r="E517">
            <v>3.75</v>
          </cell>
          <cell r="F517">
            <v>3.75</v>
          </cell>
          <cell r="G517">
            <v>3.75</v>
          </cell>
          <cell r="H517">
            <v>3.7553491491540218</v>
          </cell>
          <cell r="I517">
            <v>3.7723416968247703</v>
          </cell>
          <cell r="J517">
            <v>3.7827339975857535</v>
          </cell>
        </row>
        <row r="518">
          <cell r="B518" t="str">
            <v>EWOD-CCS</v>
          </cell>
          <cell r="C518" t="str">
            <v>VAR_fout</v>
          </cell>
          <cell r="D518" t="str">
            <v>CO2_O</v>
          </cell>
          <cell r="I518">
            <v>6.279523462549938E-3</v>
          </cell>
          <cell r="J518">
            <v>83.012600364447451</v>
          </cell>
        </row>
        <row r="519">
          <cell r="B519" t="str">
            <v>EWOD-CCS</v>
          </cell>
          <cell r="C519" t="str">
            <v>VAR_fout</v>
          </cell>
          <cell r="D519" t="str">
            <v>CO2</v>
          </cell>
          <cell r="I519">
            <v>-6.2795234625499397E-3</v>
          </cell>
          <cell r="J519">
            <v>-83.012600364447493</v>
          </cell>
        </row>
        <row r="520">
          <cell r="B520" t="str">
            <v>EWOD-CCS</v>
          </cell>
          <cell r="C520" t="str">
            <v>VAR_fout</v>
          </cell>
          <cell r="D520" t="str">
            <v>ELC13</v>
          </cell>
          <cell r="I520">
            <v>1.3917579925816123E-5</v>
          </cell>
          <cell r="J520">
            <v>0.18398442291238482</v>
          </cell>
        </row>
        <row r="521">
          <cell r="B521" t="str">
            <v>EWOD-CCS</v>
          </cell>
          <cell r="C521" t="str">
            <v>VAR_fin</v>
          </cell>
          <cell r="D521" t="str">
            <v>EWOD</v>
          </cell>
          <cell r="I521">
            <v>6.9181749264590639E-5</v>
          </cell>
          <cell r="J521">
            <v>0.69678816868147508</v>
          </cell>
        </row>
        <row r="522">
          <cell r="B522" t="str">
            <v>EWOD-CCS</v>
          </cell>
          <cell r="C522" t="str">
            <v>VAR_ncap</v>
          </cell>
          <cell r="D522" t="str">
            <v>-</v>
          </cell>
          <cell r="I522">
            <v>2.00467171121377E-6</v>
          </cell>
          <cell r="J522">
            <v>8.5299121771930594E-3</v>
          </cell>
        </row>
        <row r="523">
          <cell r="B523" t="str">
            <v>EWOD-CCS</v>
          </cell>
          <cell r="C523" t="str">
            <v>VAR_cap</v>
          </cell>
          <cell r="D523" t="str">
            <v>-</v>
          </cell>
          <cell r="I523">
            <v>2.00467171121377E-6</v>
          </cell>
          <cell r="J523">
            <v>8.5319168489042807E-3</v>
          </cell>
        </row>
        <row r="524">
          <cell r="B524" t="str">
            <v>EOIL-ENG</v>
          </cell>
          <cell r="C524" t="str">
            <v>VAR_fout</v>
          </cell>
          <cell r="D524" t="str">
            <v>ELC35</v>
          </cell>
          <cell r="E524">
            <v>3.9600053344282612E-2</v>
          </cell>
          <cell r="G524">
            <v>1.3219179757544588E-4</v>
          </cell>
          <cell r="H524">
            <v>1.3325238889307701E-5</v>
          </cell>
          <cell r="I524">
            <v>5.7261640184793495E-5</v>
          </cell>
          <cell r="J524">
            <v>7.0679488442114688E-6</v>
          </cell>
        </row>
        <row r="525">
          <cell r="B525" t="str">
            <v>EOIL-ENG</v>
          </cell>
          <cell r="C525" t="str">
            <v>VAR_fout</v>
          </cell>
          <cell r="D525" t="str">
            <v>CO2_E</v>
          </cell>
          <cell r="E525">
            <v>8.3412535764867393</v>
          </cell>
          <cell r="G525">
            <v>3.07517106117236E-2</v>
          </cell>
          <cell r="H525">
            <v>3.4202214914012502E-3</v>
          </cell>
          <cell r="I525">
            <v>1.30426004432945E-2</v>
          </cell>
          <cell r="J525">
            <v>1.6944404349087401E-3</v>
          </cell>
        </row>
        <row r="526">
          <cell r="B526" t="str">
            <v>EOIL-ENG</v>
          </cell>
          <cell r="C526" t="str">
            <v>VAR_fin</v>
          </cell>
          <cell r="D526" t="str">
            <v>ELFO</v>
          </cell>
          <cell r="E526">
            <v>0.1131784745791958</v>
          </cell>
          <cell r="G526">
            <v>4.1725523218078176E-4</v>
          </cell>
          <cell r="H526">
            <v>4.6407347237466114E-5</v>
          </cell>
          <cell r="I526">
            <v>1.7696879841647966E-4</v>
          </cell>
          <cell r="J526">
            <v>2.2991050677187802E-5</v>
          </cell>
        </row>
        <row r="527">
          <cell r="B527" t="str">
            <v>EOIL-ENG</v>
          </cell>
          <cell r="C527" t="str">
            <v>VAR_ncap</v>
          </cell>
          <cell r="D527" t="str">
            <v>-</v>
          </cell>
          <cell r="F527">
            <v>2.7201802248948099E-8</v>
          </cell>
          <cell r="G527">
            <v>4.1521831783994501E-8</v>
          </cell>
          <cell r="H527">
            <v>4.4198002490623702E-8</v>
          </cell>
          <cell r="I527">
            <v>7.7960554093221704E-7</v>
          </cell>
          <cell r="J527">
            <v>8.6686874248015899E-8</v>
          </cell>
        </row>
        <row r="528">
          <cell r="B528" t="str">
            <v>EOIL-ENG</v>
          </cell>
          <cell r="C528" t="str">
            <v>VAR_cap</v>
          </cell>
          <cell r="D528" t="str">
            <v>-</v>
          </cell>
          <cell r="E528">
            <v>1.2290071167796304E-2</v>
          </cell>
          <cell r="F528">
            <v>3.679401046895181E-5</v>
          </cell>
          <cell r="G528">
            <v>3.6684897532633653E-5</v>
          </cell>
          <cell r="H528">
            <v>3.6657020273273347E-5</v>
          </cell>
          <cell r="I528">
            <v>6.0009012328991751E-5</v>
          </cell>
          <cell r="J528">
            <v>2.3482515412986443E-5</v>
          </cell>
        </row>
        <row r="529">
          <cell r="B529" t="str">
            <v>D-SWOD</v>
          </cell>
          <cell r="C529" t="str">
            <v>VAR_fout</v>
          </cell>
          <cell r="D529" t="str">
            <v>SWOD</v>
          </cell>
          <cell r="E529">
            <v>8.5743671085762596</v>
          </cell>
          <cell r="F529">
            <v>9.9817474089615832</v>
          </cell>
          <cell r="G529">
            <v>8.562172450234975</v>
          </cell>
          <cell r="H529">
            <v>8.097167723864084</v>
          </cell>
          <cell r="I529">
            <v>2.4737721418081606</v>
          </cell>
          <cell r="J529">
            <v>0.53428270685903101</v>
          </cell>
        </row>
        <row r="530">
          <cell r="B530" t="str">
            <v>D-SWOD</v>
          </cell>
          <cell r="C530" t="str">
            <v>VAR_fin</v>
          </cell>
          <cell r="D530" t="str">
            <v>WOD</v>
          </cell>
          <cell r="E530">
            <v>8.5743671085762596</v>
          </cell>
          <cell r="F530">
            <v>9.9817474089615832</v>
          </cell>
          <cell r="G530">
            <v>8.562172450234975</v>
          </cell>
          <cell r="H530">
            <v>8.097167723864084</v>
          </cell>
          <cell r="I530">
            <v>2.4737721418081606</v>
          </cell>
          <cell r="J530">
            <v>0.53428270685903101</v>
          </cell>
        </row>
        <row r="531">
          <cell r="B531" t="str">
            <v>SCOM-CHPWOD</v>
          </cell>
          <cell r="C531" t="str">
            <v>VAR_fout</v>
          </cell>
          <cell r="D531" t="str">
            <v>SCOM_KEV_WOD_ELC_CHP</v>
          </cell>
          <cell r="H531">
            <v>4.0641142659442411E-5</v>
          </cell>
          <cell r="I531">
            <v>8.9744806506716188E-5</v>
          </cell>
          <cell r="J531">
            <v>4.2025942258536006E-5</v>
          </cell>
        </row>
        <row r="532">
          <cell r="B532" t="str">
            <v>SCOM-CHPWOD</v>
          </cell>
          <cell r="C532" t="str">
            <v>VAR_fout</v>
          </cell>
          <cell r="D532" t="str">
            <v>SCOM_LTH_CHPWOD</v>
          </cell>
          <cell r="H532">
            <v>6.4951390602704934E-5</v>
          </cell>
          <cell r="I532">
            <v>1.3724510342452738E-4</v>
          </cell>
          <cell r="J532">
            <v>6.1719133181408999E-5</v>
          </cell>
        </row>
        <row r="533">
          <cell r="B533" t="str">
            <v>SCOM-CHPWOD</v>
          </cell>
          <cell r="C533" t="str">
            <v>VAR_fin</v>
          </cell>
          <cell r="D533" t="str">
            <v>SWOD</v>
          </cell>
          <cell r="H533">
            <v>1.2609615922344088E-4</v>
          </cell>
          <cell r="I533">
            <v>2.6445634346891958E-4</v>
          </cell>
          <cell r="J533">
            <v>1.173816362738201E-4</v>
          </cell>
        </row>
        <row r="534">
          <cell r="B534" t="str">
            <v>SCOM-CHPWOD</v>
          </cell>
          <cell r="C534" t="str">
            <v>VAR_ncap</v>
          </cell>
          <cell r="D534" t="str">
            <v>-</v>
          </cell>
          <cell r="H534">
            <v>2.6209218149539301E-6</v>
          </cell>
          <cell r="I534">
            <v>4.4233463821356104E-6</v>
          </cell>
        </row>
        <row r="535">
          <cell r="B535" t="str">
            <v>SCOM-CHPWOD</v>
          </cell>
          <cell r="C535" t="str">
            <v>VAR_cap</v>
          </cell>
          <cell r="D535" t="str">
            <v>-</v>
          </cell>
          <cell r="H535">
            <v>2.6209218149539301E-6</v>
          </cell>
          <cell r="I535">
            <v>6.2267724373759498E-6</v>
          </cell>
          <cell r="J535">
            <v>3.2158271842354901E-6</v>
          </cell>
        </row>
        <row r="536">
          <cell r="B536" t="str">
            <v>ENUC_BMGL</v>
          </cell>
          <cell r="C536" t="str">
            <v>VAR_fout</v>
          </cell>
          <cell r="D536" t="str">
            <v>ELC</v>
          </cell>
          <cell r="E536">
            <v>32.820800002420746</v>
          </cell>
          <cell r="F536">
            <v>32.820799844657671</v>
          </cell>
          <cell r="G536">
            <v>32.231685825262467</v>
          </cell>
          <cell r="H536">
            <v>32.820799954692916</v>
          </cell>
          <cell r="I536">
            <v>32.820800026390955</v>
          </cell>
        </row>
        <row r="537">
          <cell r="B537" t="str">
            <v>ENUC_BMGL</v>
          </cell>
          <cell r="C537" t="str">
            <v>VAR_fin</v>
          </cell>
          <cell r="D537" t="str">
            <v>URN</v>
          </cell>
          <cell r="E537">
            <v>98.945499413960931</v>
          </cell>
          <cell r="F537">
            <v>98.94549893834953</v>
          </cell>
          <cell r="G537">
            <v>97.169485530494697</v>
          </cell>
          <cell r="H537">
            <v>98.945499270075032</v>
          </cell>
          <cell r="I537">
            <v>98.945499486224335</v>
          </cell>
        </row>
        <row r="538">
          <cell r="B538" t="str">
            <v>ENUC_BMGL</v>
          </cell>
          <cell r="C538" t="str">
            <v>VAR_cap</v>
          </cell>
          <cell r="D538" t="str">
            <v>-</v>
          </cell>
          <cell r="E538">
            <v>1.22</v>
          </cell>
          <cell r="F538">
            <v>1.22</v>
          </cell>
          <cell r="G538">
            <v>1.22</v>
          </cell>
          <cell r="H538">
            <v>1.22</v>
          </cell>
          <cell r="I538">
            <v>1.22</v>
          </cell>
        </row>
        <row r="539">
          <cell r="B539" t="str">
            <v>D-RSH2R</v>
          </cell>
          <cell r="C539" t="str">
            <v>VAR_fout</v>
          </cell>
          <cell r="D539" t="str">
            <v>RSH2</v>
          </cell>
          <cell r="H539">
            <v>3.3464627037456039E-5</v>
          </cell>
          <cell r="I539">
            <v>4.0527928537496458E-5</v>
          </cell>
          <cell r="J539">
            <v>4.4552421055025658E-4</v>
          </cell>
        </row>
        <row r="540">
          <cell r="B540" t="str">
            <v>D-RSH2R</v>
          </cell>
          <cell r="C540" t="str">
            <v>VAR_fin</v>
          </cell>
          <cell r="D540" t="str">
            <v>H2</v>
          </cell>
          <cell r="H540">
            <v>3.3464627037456039E-5</v>
          </cell>
          <cell r="I540">
            <v>4.0527928537496458E-5</v>
          </cell>
          <cell r="J540">
            <v>4.4552421055025658E-4</v>
          </cell>
        </row>
        <row r="541">
          <cell r="B541" t="str">
            <v>D-RSH2R</v>
          </cell>
          <cell r="C541" t="str">
            <v>VAR_ncap</v>
          </cell>
          <cell r="D541" t="str">
            <v>-</v>
          </cell>
          <cell r="H541">
            <v>1.84745736167769E-6</v>
          </cell>
          <cell r="I541">
            <v>2.0018611363277199E-6</v>
          </cell>
          <cell r="J541">
            <v>1.7549975243487401E-5</v>
          </cell>
        </row>
        <row r="542">
          <cell r="B542" t="str">
            <v>D-RSH2R</v>
          </cell>
          <cell r="C542" t="str">
            <v>VAR_cap</v>
          </cell>
          <cell r="D542" t="str">
            <v>-</v>
          </cell>
          <cell r="H542">
            <v>1.84745736167769E-6</v>
          </cell>
          <cell r="I542">
            <v>2.4387752151111602E-6</v>
          </cell>
          <cell r="J542">
            <v>1.82356552157114E-5</v>
          </cell>
        </row>
        <row r="543">
          <cell r="B543" t="str">
            <v>ENGA-GTOC</v>
          </cell>
          <cell r="C543" t="str">
            <v>VAR_fout</v>
          </cell>
          <cell r="D543" t="str">
            <v>ELC13</v>
          </cell>
          <cell r="G543">
            <v>1.2634278352735299E-4</v>
          </cell>
          <cell r="H543">
            <v>5.9082339857390543E-5</v>
          </cell>
          <cell r="I543">
            <v>5.0219256293361339E-2</v>
          </cell>
          <cell r="J543">
            <v>1.602491981564249E-2</v>
          </cell>
        </row>
        <row r="544">
          <cell r="B544" t="str">
            <v>ENGA-GTOC</v>
          </cell>
          <cell r="C544" t="str">
            <v>VAR_fout</v>
          </cell>
          <cell r="D544" t="str">
            <v>CO2_E</v>
          </cell>
          <cell r="G544">
            <v>1.9478234333431699E-2</v>
          </cell>
          <cell r="H544">
            <v>8.4752829260705698E-3</v>
          </cell>
          <cell r="I544">
            <v>7.2742783111464897</v>
          </cell>
          <cell r="J544">
            <v>2.2057391555619499</v>
          </cell>
        </row>
        <row r="545">
          <cell r="B545" t="str">
            <v>ENGA-GTOC</v>
          </cell>
          <cell r="C545" t="str">
            <v>VAR_fin</v>
          </cell>
          <cell r="D545" t="str">
            <v>ENGA</v>
          </cell>
          <cell r="G545">
            <v>3.4535876477715809E-4</v>
          </cell>
          <cell r="H545">
            <v>1.5027097386649977E-4</v>
          </cell>
          <cell r="I545">
            <v>0.12897656580046971</v>
          </cell>
          <cell r="J545">
            <v>3.9108850275921155E-2</v>
          </cell>
        </row>
        <row r="546">
          <cell r="B546" t="str">
            <v>ENGA-GTOC</v>
          </cell>
          <cell r="C546" t="str">
            <v>VAR_fin</v>
          </cell>
          <cell r="D546" t="str">
            <v>GTC</v>
          </cell>
          <cell r="F546">
            <v>0.25</v>
          </cell>
          <cell r="G546">
            <v>8.1140592432915659E-2</v>
          </cell>
          <cell r="H546">
            <v>8.114048106484785E-2</v>
          </cell>
          <cell r="I546">
            <v>8.4668916020545673E-2</v>
          </cell>
          <cell r="J546">
            <v>4.0927857190110072E-2</v>
          </cell>
        </row>
        <row r="547">
          <cell r="B547" t="str">
            <v>ENGA-GTOC</v>
          </cell>
          <cell r="C547" t="str">
            <v>VAR_ncap</v>
          </cell>
          <cell r="D547" t="str">
            <v>-</v>
          </cell>
          <cell r="F547">
            <v>0.25</v>
          </cell>
          <cell r="G547">
            <v>1.6004461859208901E-8</v>
          </cell>
          <cell r="H547">
            <v>3.6465639542193E-8</v>
          </cell>
          <cell r="I547">
            <v>3.5281109142412102E-3</v>
          </cell>
          <cell r="J547">
            <v>2.3160175082797899E-2</v>
          </cell>
        </row>
        <row r="548">
          <cell r="B548" t="str">
            <v>ENGA-GTOC</v>
          </cell>
          <cell r="C548" t="str">
            <v>VAR_cap</v>
          </cell>
          <cell r="D548" t="str">
            <v>-</v>
          </cell>
          <cell r="F548">
            <v>0.25</v>
          </cell>
          <cell r="G548">
            <v>8.1140592432915964E-2</v>
          </cell>
          <cell r="H548">
            <v>8.1140481064846975E-2</v>
          </cell>
          <cell r="I548">
            <v>8.4668916020545021E-2</v>
          </cell>
          <cell r="J548">
            <v>4.0927857190110009E-2</v>
          </cell>
        </row>
        <row r="549">
          <cell r="B549" t="str">
            <v>D-RSH2</v>
          </cell>
          <cell r="C549" t="str">
            <v>VAR_fout</v>
          </cell>
          <cell r="D549" t="str">
            <v>RSH2</v>
          </cell>
          <cell r="H549">
            <v>4.416165105272482E-5</v>
          </cell>
          <cell r="I549">
            <v>6.1270138903275154E-5</v>
          </cell>
          <cell r="J549">
            <v>1.5622645057861975E-4</v>
          </cell>
        </row>
        <row r="550">
          <cell r="B550" t="str">
            <v>D-RSH2</v>
          </cell>
          <cell r="C550" t="str">
            <v>VAR_fin</v>
          </cell>
          <cell r="D550" t="str">
            <v>H2</v>
          </cell>
          <cell r="H550">
            <v>4.4498091645975564E-5</v>
          </cell>
          <cell r="I550">
            <v>6.1736918595378711E-5</v>
          </cell>
          <cell r="J550">
            <v>1.5741664429785792E-4</v>
          </cell>
        </row>
        <row r="551">
          <cell r="B551" t="str">
            <v>D-RSH2</v>
          </cell>
          <cell r="C551" t="str">
            <v>VAR_ncap</v>
          </cell>
          <cell r="D551" t="str">
            <v>-</v>
          </cell>
          <cell r="H551">
            <v>2.7505751894265299E-6</v>
          </cell>
          <cell r="I551">
            <v>3.7447780217754299E-8</v>
          </cell>
          <cell r="J551">
            <v>1.01422367938382E-5</v>
          </cell>
        </row>
        <row r="552">
          <cell r="B552" t="str">
            <v>D-RSH2</v>
          </cell>
          <cell r="C552" t="str">
            <v>VAR_cap</v>
          </cell>
          <cell r="D552" t="str">
            <v>-</v>
          </cell>
          <cell r="H552">
            <v>2.7505751894265299E-6</v>
          </cell>
          <cell r="I552">
            <v>4.3686836607306902E-6</v>
          </cell>
          <cell r="J552">
            <v>1.45109204545689E-5</v>
          </cell>
        </row>
        <row r="553">
          <cell r="B553" t="str">
            <v>D-RWOD</v>
          </cell>
          <cell r="C553" t="str">
            <v>VAR_fout</v>
          </cell>
          <cell r="D553" t="str">
            <v>RWOD</v>
          </cell>
          <cell r="E553">
            <v>13.722983032506315</v>
          </cell>
          <cell r="F553">
            <v>13.742946837316778</v>
          </cell>
          <cell r="G553">
            <v>12.328155422961308</v>
          </cell>
          <cell r="H553">
            <v>12.155906964467924</v>
          </cell>
          <cell r="I553">
            <v>12.253391100390797</v>
          </cell>
          <cell r="J553">
            <v>6.739349163127712</v>
          </cell>
        </row>
        <row r="554">
          <cell r="B554" t="str">
            <v>D-RWOD</v>
          </cell>
          <cell r="C554" t="str">
            <v>VAR_fin</v>
          </cell>
          <cell r="D554" t="str">
            <v>WOD</v>
          </cell>
          <cell r="E554">
            <v>13.722983032506315</v>
          </cell>
          <cell r="F554">
            <v>13.742946837316778</v>
          </cell>
          <cell r="G554">
            <v>12.328155422961308</v>
          </cell>
          <cell r="H554">
            <v>12.155906964467924</v>
          </cell>
          <cell r="I554">
            <v>12.253391100390797</v>
          </cell>
          <cell r="J554">
            <v>6.739349163127712</v>
          </cell>
        </row>
        <row r="555">
          <cell r="B555" t="str">
            <v>SCOM-CHPGFC</v>
          </cell>
          <cell r="C555" t="str">
            <v>VAR_fout</v>
          </cell>
          <cell r="D555" t="str">
            <v>CO2_S</v>
          </cell>
          <cell r="H555">
            <v>1.2706266997691399E-3</v>
          </cell>
          <cell r="I555">
            <v>2.96916803853131E-3</v>
          </cell>
          <cell r="J555">
            <v>1.3748723317944999E-3</v>
          </cell>
        </row>
        <row r="556">
          <cell r="B556" t="str">
            <v>SCOM-CHPGFC</v>
          </cell>
          <cell r="C556" t="str">
            <v>VAR_fout</v>
          </cell>
          <cell r="D556" t="str">
            <v>SCOM_NKEV_GAS_ELC_CHP</v>
          </cell>
          <cell r="H556">
            <v>1.3517305316692983E-5</v>
          </cell>
          <cell r="I556">
            <v>3.2113342260710986E-5</v>
          </cell>
          <cell r="J556">
            <v>1.5113844782138129E-5</v>
          </cell>
        </row>
        <row r="557">
          <cell r="B557" t="str">
            <v>SCOM-CHPGFC</v>
          </cell>
          <cell r="C557" t="str">
            <v>VAR_fout</v>
          </cell>
          <cell r="D557" t="str">
            <v>SCOM_LTH_CHPNGA</v>
          </cell>
          <cell r="H557">
            <v>2.7088105804188176E-6</v>
          </cell>
          <cell r="I557">
            <v>9.4760682080786678E-6</v>
          </cell>
          <cell r="J557">
            <v>3.7239254504994968E-6</v>
          </cell>
        </row>
        <row r="558">
          <cell r="B558" t="str">
            <v>SCOM-CHPGFC</v>
          </cell>
          <cell r="C558" t="str">
            <v>VAR_fin</v>
          </cell>
          <cell r="D558" t="str">
            <v>SNGA</v>
          </cell>
          <cell r="H558">
            <v>2.2528842194488307E-5</v>
          </cell>
          <cell r="I558">
            <v>5.264482337821471E-5</v>
          </cell>
          <cell r="J558">
            <v>2.4377169003448609E-5</v>
          </cell>
        </row>
        <row r="559">
          <cell r="B559" t="str">
            <v>SCOM-CHPGFC</v>
          </cell>
          <cell r="C559" t="str">
            <v>VAR_ncap</v>
          </cell>
          <cell r="D559" t="str">
            <v>-</v>
          </cell>
          <cell r="H559">
            <v>8.0059316202983502E-7</v>
          </cell>
          <cell r="I559">
            <v>1.5887626466225499E-8</v>
          </cell>
          <cell r="J559">
            <v>6.3162207034463497E-7</v>
          </cell>
        </row>
        <row r="560">
          <cell r="B560" t="str">
            <v>SCOM-CHPGFC</v>
          </cell>
          <cell r="C560" t="str">
            <v>VAR_cap</v>
          </cell>
          <cell r="D560" t="str">
            <v>-</v>
          </cell>
          <cell r="H560">
            <v>8.0059316202983502E-7</v>
          </cell>
          <cell r="I560">
            <v>1.88757380817294E-6</v>
          </cell>
          <cell r="J560">
            <v>1.2035744883541301E-6</v>
          </cell>
        </row>
        <row r="561">
          <cell r="B561" t="str">
            <v>CHPOIL</v>
          </cell>
          <cell r="C561" t="str">
            <v>VAR_fout</v>
          </cell>
          <cell r="D561" t="str">
            <v>ELC35</v>
          </cell>
          <cell r="E561">
            <v>1.8000533663101483E-3</v>
          </cell>
          <cell r="G561">
            <v>5.374850071596484E-5</v>
          </cell>
          <cell r="H561">
            <v>8.339164609199021E-6</v>
          </cell>
          <cell r="I561">
            <v>1.4893998187853581E-5</v>
          </cell>
        </row>
        <row r="562">
          <cell r="B562" t="str">
            <v>CHPOIL</v>
          </cell>
          <cell r="C562" t="str">
            <v>VAR_fout</v>
          </cell>
          <cell r="D562" t="str">
            <v>LTH</v>
          </cell>
          <cell r="E562">
            <v>9.2574173124521826E-3</v>
          </cell>
          <cell r="G562">
            <v>2.7642086082496197E-4</v>
          </cell>
          <cell r="H562">
            <v>4.2887132275880609E-5</v>
          </cell>
          <cell r="I562">
            <v>7.6597704966104114E-5</v>
          </cell>
          <cell r="J562">
            <v>8.3495556831800029E-6</v>
          </cell>
        </row>
        <row r="563">
          <cell r="B563" t="str">
            <v>CHPOIL</v>
          </cell>
          <cell r="C563" t="str">
            <v>VAR_fout</v>
          </cell>
          <cell r="D563" t="str">
            <v>CO2_E</v>
          </cell>
          <cell r="E563">
            <v>1.1494550824111001</v>
          </cell>
          <cell r="G563">
            <v>3.6562848067132503E-2</v>
          </cell>
          <cell r="H563">
            <v>6.0769569589808996E-3</v>
          </cell>
          <cell r="I563">
            <v>1.03240378018022E-2</v>
          </cell>
          <cell r="J563">
            <v>1.19216183317872E-3</v>
          </cell>
        </row>
        <row r="564">
          <cell r="B564" t="str">
            <v>CHPOIL</v>
          </cell>
          <cell r="C564" t="str">
            <v>VAR_fin</v>
          </cell>
          <cell r="D564" t="str">
            <v>ELFO</v>
          </cell>
          <cell r="E564">
            <v>1.5596405460123412E-2</v>
          </cell>
          <cell r="G564">
            <v>4.9610377295973508E-4</v>
          </cell>
          <cell r="H564">
            <v>8.245531830367569E-5</v>
          </cell>
          <cell r="I564">
            <v>1.400819240407356E-4</v>
          </cell>
          <cell r="J564">
            <v>1.6175872906088456E-5</v>
          </cell>
        </row>
        <row r="565">
          <cell r="B565" t="str">
            <v>CHPOIL</v>
          </cell>
          <cell r="C565" t="str">
            <v>VAR_ncap</v>
          </cell>
          <cell r="D565" t="str">
            <v>-</v>
          </cell>
          <cell r="F565">
            <v>1.8672202671435799E-8</v>
          </cell>
          <cell r="G565">
            <v>1.7935623484008299E-8</v>
          </cell>
          <cell r="H565">
            <v>2.8203438668633001E-8</v>
          </cell>
          <cell r="I565">
            <v>2.2516816828726201E-7</v>
          </cell>
          <cell r="J565">
            <v>1.27094492082541E-6</v>
          </cell>
        </row>
        <row r="566">
          <cell r="B566" t="str">
            <v>CHPOIL</v>
          </cell>
          <cell r="C566" t="str">
            <v>VAR_cap</v>
          </cell>
          <cell r="D566" t="str">
            <v>-</v>
          </cell>
          <cell r="E566">
            <v>1.0076941169540402E-3</v>
          </cell>
          <cell r="F566">
            <v>1.7489463582071041E-5</v>
          </cell>
          <cell r="G566">
            <v>1.6954068539954542E-5</v>
          </cell>
          <cell r="H566">
            <v>1.3526904533722045E-5</v>
          </cell>
          <cell r="I566">
            <v>4.7417199464981435E-6</v>
          </cell>
          <cell r="J566">
            <v>1.5284933773021172E-6</v>
          </cell>
        </row>
        <row r="567">
          <cell r="B567" t="str">
            <v>CHPHFC</v>
          </cell>
          <cell r="C567" t="str">
            <v>VAR_fout</v>
          </cell>
          <cell r="D567" t="str">
            <v>ELC35</v>
          </cell>
          <cell r="I567">
            <v>1.5083355571333905E-5</v>
          </cell>
          <cell r="J567">
            <v>4.7829162454984531E-2</v>
          </cell>
        </row>
        <row r="568">
          <cell r="B568" t="str">
            <v>CHPHFC</v>
          </cell>
          <cell r="C568" t="str">
            <v>VAR_fout</v>
          </cell>
          <cell r="D568" t="str">
            <v>LTH</v>
          </cell>
          <cell r="I568">
            <v>1.8315503193762547E-5</v>
          </cell>
          <cell r="J568">
            <v>6.035584785986129E-2</v>
          </cell>
        </row>
        <row r="569">
          <cell r="B569" t="str">
            <v>CHPHFC</v>
          </cell>
          <cell r="C569" t="str">
            <v>VAR_fin</v>
          </cell>
          <cell r="D569" t="str">
            <v>EH2</v>
          </cell>
          <cell r="I569">
            <v>3.5912751360318822E-5</v>
          </cell>
          <cell r="J569">
            <v>0.11387895822615367</v>
          </cell>
        </row>
        <row r="570">
          <cell r="B570" t="str">
            <v>CHPHFC</v>
          </cell>
          <cell r="C570" t="str">
            <v>VAR_ncap</v>
          </cell>
          <cell r="D570" t="str">
            <v>-</v>
          </cell>
          <cell r="I570">
            <v>2.54964286837712E-6</v>
          </cell>
          <cell r="J570">
            <v>3.7330480633493801E-3</v>
          </cell>
        </row>
        <row r="571">
          <cell r="B571" t="str">
            <v>CHPHFC</v>
          </cell>
          <cell r="C571" t="str">
            <v>VAR_cap</v>
          </cell>
          <cell r="D571" t="str">
            <v>-</v>
          </cell>
          <cell r="I571">
            <v>2.54964286837712E-6</v>
          </cell>
          <cell r="J571">
            <v>3.7355977062177598E-3</v>
          </cell>
        </row>
        <row r="572">
          <cell r="B572" t="str">
            <v>ITOT-ESOLPV</v>
          </cell>
          <cell r="C572" t="str">
            <v>VAR_fout</v>
          </cell>
          <cell r="D572" t="str">
            <v>ITOT_SOL_ELC</v>
          </cell>
          <cell r="E572">
            <v>3.517953999707534</v>
          </cell>
          <cell r="F572">
            <v>5.2836844775526357</v>
          </cell>
          <cell r="G572">
            <v>6.9760031413777854</v>
          </cell>
          <cell r="H572">
            <v>17.321232970106955</v>
          </cell>
          <cell r="I572">
            <v>35.524595502046708</v>
          </cell>
          <cell r="J572">
            <v>52.112117460693973</v>
          </cell>
        </row>
        <row r="573">
          <cell r="B573" t="str">
            <v>ITOT-ESOLPV</v>
          </cell>
          <cell r="C573" t="str">
            <v>VAR_fin</v>
          </cell>
          <cell r="D573" t="str">
            <v>SOL</v>
          </cell>
          <cell r="E573">
            <v>3.517953999707534</v>
          </cell>
          <cell r="F573">
            <v>5.2836844775526357</v>
          </cell>
          <cell r="G573">
            <v>6.9760031413777854</v>
          </cell>
          <cell r="H573">
            <v>17.321232970106955</v>
          </cell>
          <cell r="I573">
            <v>35.524595502046708</v>
          </cell>
          <cell r="J573">
            <v>52.112117460693973</v>
          </cell>
        </row>
        <row r="574">
          <cell r="B574" t="str">
            <v>ITOT-ESOLPV</v>
          </cell>
          <cell r="C574" t="str">
            <v>VAR_fin</v>
          </cell>
          <cell r="D574" t="str">
            <v>SOLPVC</v>
          </cell>
          <cell r="E574">
            <v>3.51795399970753</v>
          </cell>
          <cell r="F574">
            <v>5.2836844775526304</v>
          </cell>
          <cell r="G574">
            <v>6.9760031413777899</v>
          </cell>
          <cell r="H574">
            <v>17.321232970107001</v>
          </cell>
          <cell r="I574">
            <v>35.524595502046701</v>
          </cell>
          <cell r="J574">
            <v>52.112117460693902</v>
          </cell>
        </row>
        <row r="575">
          <cell r="B575" t="str">
            <v>ITOT-ESOLPV</v>
          </cell>
          <cell r="C575" t="str">
            <v>VAR_ncap</v>
          </cell>
          <cell r="D575" t="str">
            <v>-</v>
          </cell>
          <cell r="F575">
            <v>0.26374864810769499</v>
          </cell>
          <cell r="G575">
            <v>0.46359868156677803</v>
          </cell>
          <cell r="H575">
            <v>2.9538731845172399</v>
          </cell>
          <cell r="I575">
            <v>2.8095549313458799</v>
          </cell>
          <cell r="J575">
            <v>8.5318399471003605</v>
          </cell>
        </row>
        <row r="576">
          <cell r="B576" t="str">
            <v>ITOT-ESOLPV</v>
          </cell>
          <cell r="C576" t="str">
            <v>VAR_cap</v>
          </cell>
          <cell r="D576" t="str">
            <v>-</v>
          </cell>
          <cell r="E576">
            <v>1.1186210000000001</v>
          </cell>
          <cell r="F576">
            <v>1.646269648107695</v>
          </cell>
          <cell r="G576">
            <v>2.1098683296744731</v>
          </cell>
          <cell r="H576">
            <v>4.9948256173875993</v>
          </cell>
          <cell r="I576">
            <v>10.244025918401526</v>
          </cell>
          <cell r="J576">
            <v>15.0272754387879</v>
          </cell>
        </row>
        <row r="577">
          <cell r="B577" t="str">
            <v>SUP_WODBIOCCS</v>
          </cell>
          <cell r="C577" t="str">
            <v>VAR_fout</v>
          </cell>
          <cell r="D577" t="str">
            <v>CO2_O</v>
          </cell>
          <cell r="I577">
            <v>4.3214094529246119E-4</v>
          </cell>
          <cell r="J577">
            <v>6.7511282437375791E-4</v>
          </cell>
        </row>
        <row r="578">
          <cell r="B578" t="str">
            <v>SUP_WODBIOCCS</v>
          </cell>
          <cell r="C578" t="str">
            <v>VAR_fout</v>
          </cell>
          <cell r="D578" t="str">
            <v>CO2</v>
          </cell>
          <cell r="I578">
            <v>-4.3214094529246103E-4</v>
          </cell>
          <cell r="J578">
            <v>-6.7511282437375899E-4</v>
          </cell>
        </row>
        <row r="579">
          <cell r="B579" t="str">
            <v>SUP_WODBIOCCS</v>
          </cell>
          <cell r="C579" t="str">
            <v>VAR_fout</v>
          </cell>
          <cell r="D579" t="str">
            <v>BIO</v>
          </cell>
          <cell r="I579">
            <v>7.8664878012594709E-6</v>
          </cell>
          <cell r="J579">
            <v>1.1465054475252423E-5</v>
          </cell>
        </row>
        <row r="580">
          <cell r="B580" t="str">
            <v>SUP_WODBIOCCS</v>
          </cell>
          <cell r="C580" t="str">
            <v>VAR_fout</v>
          </cell>
          <cell r="D580" t="str">
            <v>LTH</v>
          </cell>
          <cell r="J580">
            <v>8.2437760764317284E-7</v>
          </cell>
        </row>
        <row r="581">
          <cell r="B581" t="str">
            <v>SUP_WODBIOCCS</v>
          </cell>
          <cell r="C581" t="str">
            <v>VAR_fin</v>
          </cell>
          <cell r="D581" t="str">
            <v>CWOD</v>
          </cell>
          <cell r="I581">
            <v>1.1728247781348271E-5</v>
          </cell>
          <cell r="J581">
            <v>1.713649766142113E-5</v>
          </cell>
        </row>
        <row r="582">
          <cell r="B582" t="str">
            <v>SUP_WODBIOCCS</v>
          </cell>
          <cell r="C582" t="str">
            <v>VAR_ncap</v>
          </cell>
          <cell r="D582" t="str">
            <v>-</v>
          </cell>
          <cell r="I582">
            <v>4.5600171925484002E-7</v>
          </cell>
          <cell r="J582">
            <v>4.4198226178863099E-8</v>
          </cell>
        </row>
        <row r="583">
          <cell r="B583" t="str">
            <v>SUP_WODBIOCCS</v>
          </cell>
          <cell r="C583" t="str">
            <v>VAR_cap</v>
          </cell>
          <cell r="D583" t="str">
            <v>-</v>
          </cell>
          <cell r="I583">
            <v>4.5600171925484002E-7</v>
          </cell>
          <cell r="J583">
            <v>5.00199945433703E-7</v>
          </cell>
        </row>
        <row r="584">
          <cell r="B584" t="str">
            <v>RHNS-CHPNGA</v>
          </cell>
          <cell r="C584" t="str">
            <v>VAR_fout</v>
          </cell>
          <cell r="D584" t="str">
            <v>CO2_R</v>
          </cell>
          <cell r="F584">
            <v>7.5819320399111198E-2</v>
          </cell>
          <cell r="G584">
            <v>7.9785993514534401E-2</v>
          </cell>
          <cell r="H584">
            <v>7.7033266273649606E-2</v>
          </cell>
          <cell r="I584">
            <v>4.0903955141341999E-2</v>
          </cell>
          <cell r="J584">
            <v>2.3202641244040498E-3</v>
          </cell>
        </row>
        <row r="585">
          <cell r="B585" t="str">
            <v>RHNS-CHPNGA</v>
          </cell>
          <cell r="C585" t="str">
            <v>VAR_fout</v>
          </cell>
          <cell r="D585" t="str">
            <v>RHNS_LTH_CHPNGA</v>
          </cell>
          <cell r="F585">
            <v>8.7050359113047151E-4</v>
          </cell>
          <cell r="G585">
            <v>8.9128730094938373E-4</v>
          </cell>
          <cell r="H585">
            <v>8.6820721601094596E-4</v>
          </cell>
          <cell r="I585">
            <v>4.5788915460345369E-4</v>
          </cell>
          <cell r="J585">
            <v>2.4235139688599888E-5</v>
          </cell>
        </row>
        <row r="586">
          <cell r="B586" t="str">
            <v>RHNS-CHPNGA</v>
          </cell>
          <cell r="C586" t="str">
            <v>VAR_fout</v>
          </cell>
          <cell r="D586" t="str">
            <v>RHNS_NKEV_GAS_ELC_CHP</v>
          </cell>
          <cell r="F586">
            <v>3.6528680888911811E-4</v>
          </cell>
          <cell r="G586">
            <v>3.7982705722532865E-4</v>
          </cell>
          <cell r="H586">
            <v>3.7984065700478857E-4</v>
          </cell>
          <cell r="I586">
            <v>2.0390376415935029E-4</v>
          </cell>
          <cell r="J586">
            <v>1.0985400507666114E-5</v>
          </cell>
        </row>
        <row r="587">
          <cell r="B587" t="str">
            <v>RHNS-CHPNGA</v>
          </cell>
          <cell r="C587" t="str">
            <v>VAR_fin</v>
          </cell>
          <cell r="D587" t="str">
            <v>RNGA</v>
          </cell>
          <cell r="F587">
            <v>1.3443141914736025E-3</v>
          </cell>
          <cell r="G587">
            <v>1.4146452750803974E-3</v>
          </cell>
          <cell r="H587">
            <v>1.3658380544973338E-3</v>
          </cell>
          <cell r="I587">
            <v>7.2524743158407798E-4</v>
          </cell>
          <cell r="J587">
            <v>4.1139434829859003E-5</v>
          </cell>
        </row>
        <row r="588">
          <cell r="B588" t="str">
            <v>RHNS-CHPNGA</v>
          </cell>
          <cell r="C588" t="str">
            <v>VAR_ncap</v>
          </cell>
          <cell r="D588" t="str">
            <v>-</v>
          </cell>
          <cell r="F588">
            <v>3.2516857314933798E-5</v>
          </cell>
          <cell r="G588">
            <v>1.24695657154791E-6</v>
          </cell>
          <cell r="I588">
            <v>1.11632588969785E-8</v>
          </cell>
          <cell r="J588">
            <v>9.8250975285962592E-7</v>
          </cell>
        </row>
        <row r="589">
          <cell r="B589" t="str">
            <v>RHNS-CHPNGA</v>
          </cell>
          <cell r="C589" t="str">
            <v>VAR_cap</v>
          </cell>
          <cell r="D589" t="str">
            <v>-</v>
          </cell>
          <cell r="F589">
            <v>3.2516857314933798E-5</v>
          </cell>
          <cell r="G589">
            <v>3.3763813886481703E-5</v>
          </cell>
          <cell r="H589">
            <v>3.3763813886481703E-5</v>
          </cell>
          <cell r="I589">
            <v>1.8131854160317E-5</v>
          </cell>
          <cell r="J589">
            <v>1.00433998671882E-6</v>
          </cell>
        </row>
        <row r="590">
          <cell r="B590" t="str">
            <v>ENUC_BEZ</v>
          </cell>
          <cell r="C590" t="str">
            <v>VAR_fout</v>
          </cell>
          <cell r="D590" t="str">
            <v>ELC</v>
          </cell>
          <cell r="E590">
            <v>20.224800009270517</v>
          </cell>
          <cell r="F590">
            <v>20.224799655076854</v>
          </cell>
          <cell r="G590">
            <v>9.9959887996080621</v>
          </cell>
          <cell r="H590">
            <v>7.3992102008090939</v>
          </cell>
        </row>
        <row r="591">
          <cell r="B591" t="str">
            <v>ENUC_BEZ</v>
          </cell>
          <cell r="C591" t="str">
            <v>VAR_fin</v>
          </cell>
          <cell r="D591" t="str">
            <v>URN</v>
          </cell>
          <cell r="E591">
            <v>60.972095053050367</v>
          </cell>
          <cell r="F591">
            <v>60.972093985255924</v>
          </cell>
          <cell r="G591">
            <v>30.135100419265513</v>
          </cell>
          <cell r="H591">
            <v>22.306541843402091</v>
          </cell>
        </row>
        <row r="592">
          <cell r="B592" t="str">
            <v>ENUC_BEZ</v>
          </cell>
          <cell r="C592" t="str">
            <v>VAR_cap</v>
          </cell>
          <cell r="D592" t="str">
            <v>-</v>
          </cell>
          <cell r="E592">
            <v>0.73</v>
          </cell>
          <cell r="F592">
            <v>0.73</v>
          </cell>
          <cell r="G592">
            <v>0.37718669849568703</v>
          </cell>
          <cell r="H592">
            <v>0.26706931591377198</v>
          </cell>
        </row>
        <row r="593">
          <cell r="B593" t="str">
            <v>RHNM-CHPWOD</v>
          </cell>
          <cell r="C593" t="str">
            <v>VAR_fin</v>
          </cell>
          <cell r="D593" t="str">
            <v>RWOD</v>
          </cell>
          <cell r="H593">
            <v>6.5036737526615232E-6</v>
          </cell>
          <cell r="I593">
            <v>1.0525099333421459E-5</v>
          </cell>
          <cell r="J593">
            <v>2.8991172148913199E-6</v>
          </cell>
        </row>
        <row r="594">
          <cell r="B594" t="str">
            <v>RHNM-SHSTG-CHPNGA</v>
          </cell>
          <cell r="C594" t="str">
            <v>VAR_fout</v>
          </cell>
          <cell r="D594" t="str">
            <v>AUX_RNM-CHPNGA_OUT</v>
          </cell>
          <cell r="E594">
            <v>3.7329559002426586E-6</v>
          </cell>
          <cell r="F594">
            <v>7.4535638010331829E-6</v>
          </cell>
          <cell r="G594">
            <v>2.0140320531593381E-4</v>
          </cell>
          <cell r="H594">
            <v>2.2008066039890811E-4</v>
          </cell>
          <cell r="I594">
            <v>5.6602880754251098E-5</v>
          </cell>
          <cell r="J594">
            <v>1.7954257244657794E-5</v>
          </cell>
        </row>
        <row r="595">
          <cell r="B595" t="str">
            <v>RHNM-SHSTG-CHPNGA</v>
          </cell>
          <cell r="C595" t="str">
            <v>VAR_fout</v>
          </cell>
          <cell r="D595" t="str">
            <v>RHNM_LTH_CHPNGA</v>
          </cell>
          <cell r="E595">
            <v>3.7329559002426451E-6</v>
          </cell>
          <cell r="F595">
            <v>7.4585328435671898E-6</v>
          </cell>
          <cell r="G595">
            <v>2.0161300032147105E-4</v>
          </cell>
          <cell r="H595">
            <v>2.2008066039890811E-4</v>
          </cell>
          <cell r="I595">
            <v>5.6602880754250901E-5</v>
          </cell>
          <cell r="J595">
            <v>1.7954257244657777E-5</v>
          </cell>
        </row>
        <row r="596">
          <cell r="B596" t="str">
            <v>RHNM-SHSTG-CHPNGA</v>
          </cell>
          <cell r="C596" t="str">
            <v>VAR_fin</v>
          </cell>
          <cell r="D596" t="str">
            <v>AUX_RNM-CHPNGA_IN</v>
          </cell>
          <cell r="E596">
            <v>2.984893128671009E-6</v>
          </cell>
          <cell r="F596">
            <v>9.9179180280667412E-6</v>
          </cell>
          <cell r="G596">
            <v>2.6010133406719307E-4</v>
          </cell>
          <cell r="H596">
            <v>2.7508606696568014E-4</v>
          </cell>
          <cell r="I596">
            <v>6.6591316963635162E-5</v>
          </cell>
          <cell r="J596">
            <v>1.9949099173170661E-5</v>
          </cell>
        </row>
        <row r="597">
          <cell r="B597" t="str">
            <v>RHNM-SHSTG-CHPNGA</v>
          </cell>
          <cell r="C597" t="str">
            <v>VAR_fin</v>
          </cell>
          <cell r="D597" t="str">
            <v>RHNM_LTH_CHPNGA</v>
          </cell>
          <cell r="E597">
            <v>2.984893128671009E-6</v>
          </cell>
          <cell r="F597">
            <v>9.9179180280667412E-6</v>
          </cell>
          <cell r="G597">
            <v>2.6010133406719307E-4</v>
          </cell>
          <cell r="H597">
            <v>2.7508606696568014E-4</v>
          </cell>
          <cell r="I597">
            <v>6.6591316963635162E-5</v>
          </cell>
          <cell r="J597">
            <v>1.9949099173170661E-5</v>
          </cell>
        </row>
        <row r="598">
          <cell r="B598" t="str">
            <v>RHNM-SHSTG-CHPNGA</v>
          </cell>
          <cell r="C598" t="str">
            <v>VAR_ncap</v>
          </cell>
          <cell r="D598" t="str">
            <v>-</v>
          </cell>
          <cell r="E598">
            <v>6.3338844516719301E-5</v>
          </cell>
          <cell r="F598">
            <v>2.71247483909696E-6</v>
          </cell>
          <cell r="G598">
            <v>3.3899920686099098E-5</v>
          </cell>
          <cell r="H598">
            <v>4.2771629088808499E-5</v>
          </cell>
          <cell r="I598">
            <v>1.5836925205309299E-6</v>
          </cell>
          <cell r="J598">
            <v>1.5653307833848799E-5</v>
          </cell>
        </row>
        <row r="599">
          <cell r="B599" t="str">
            <v>RHNM-SHSTG-CHPNGA</v>
          </cell>
          <cell r="C599" t="str">
            <v>VAR_cap</v>
          </cell>
          <cell r="D599" t="str">
            <v>-</v>
          </cell>
          <cell r="E599">
            <v>6.3338844516719301E-5</v>
          </cell>
          <cell r="F599">
            <v>6.5952486894246812E-5</v>
          </cell>
          <cell r="G599">
            <v>9.9552835250720921E-5</v>
          </cell>
          <cell r="H599">
            <v>1.4167389956325064E-4</v>
          </cell>
          <cell r="I599">
            <v>7.2835076743442509E-5</v>
          </cell>
          <cell r="J599">
            <v>3.2327279488276588E-5</v>
          </cell>
        </row>
        <row r="600">
          <cell r="B600" t="str">
            <v>CT_CWODBDS</v>
          </cell>
          <cell r="C600" t="str">
            <v>VAR_fout</v>
          </cell>
          <cell r="D600" t="str">
            <v>BDS</v>
          </cell>
          <cell r="E600">
            <v>0.40016063849049871</v>
          </cell>
          <cell r="G600">
            <v>0.44236302703418234</v>
          </cell>
          <cell r="I600">
            <v>3.7694370176560556E-6</v>
          </cell>
        </row>
        <row r="601">
          <cell r="B601" t="str">
            <v>CT_CWODBDS</v>
          </cell>
          <cell r="C601" t="str">
            <v>VAR_fout</v>
          </cell>
          <cell r="D601" t="str">
            <v>LTH</v>
          </cell>
          <cell r="E601">
            <v>0.15606264901129399</v>
          </cell>
          <cell r="G601">
            <v>0.17252158054333111</v>
          </cell>
          <cell r="I601">
            <v>1.4700804368858585E-6</v>
          </cell>
        </row>
        <row r="602">
          <cell r="B602" t="str">
            <v>CT_CWODBDS</v>
          </cell>
          <cell r="C602" t="str">
            <v>VAR_fin</v>
          </cell>
          <cell r="D602" t="str">
            <v>CWOD</v>
          </cell>
          <cell r="E602">
            <v>1.1402577393786744</v>
          </cell>
          <cell r="G602">
            <v>1.2605134455339022</v>
          </cell>
          <cell r="H602">
            <v>6.1064955069381079E-6</v>
          </cell>
          <cell r="I602">
            <v>1.5523858169742537E-5</v>
          </cell>
          <cell r="J602">
            <v>8.2893015850791234E-7</v>
          </cell>
        </row>
        <row r="603">
          <cell r="B603" t="str">
            <v>CT_CWODBDS</v>
          </cell>
          <cell r="C603" t="str">
            <v>VAR_fin</v>
          </cell>
          <cell r="D603" t="str">
            <v>CELC</v>
          </cell>
          <cell r="E603">
            <v>2.7811164375089618E-2</v>
          </cell>
          <cell r="G603">
            <v>3.0744230378875696E-2</v>
          </cell>
        </row>
        <row r="604">
          <cell r="B604" t="str">
            <v>CT_CWODBDS</v>
          </cell>
          <cell r="C604" t="str">
            <v>VAR_ncap</v>
          </cell>
          <cell r="D604" t="str">
            <v>-</v>
          </cell>
          <cell r="I604">
            <v>3.8922179572410801E-8</v>
          </cell>
        </row>
        <row r="605">
          <cell r="B605" t="str">
            <v>CT_CWODBDS</v>
          </cell>
          <cell r="C605" t="str">
            <v>VAR_cap</v>
          </cell>
          <cell r="D605" t="str">
            <v>-</v>
          </cell>
          <cell r="E605">
            <v>2.2938726391056298E-2</v>
          </cell>
          <cell r="F605">
            <v>2.2938667650116699E-2</v>
          </cell>
          <cell r="G605">
            <v>2.2938660276738E-2</v>
          </cell>
          <cell r="H605">
            <v>7.2130042230028613E-7</v>
          </cell>
          <cell r="I605">
            <v>4.8364784313500904E-7</v>
          </cell>
          <cell r="J605">
            <v>3.93306399728277E-7</v>
          </cell>
        </row>
        <row r="606">
          <cell r="B606" t="str">
            <v>RHNS-EBAT</v>
          </cell>
          <cell r="C606" t="str">
            <v>VAR_fout</v>
          </cell>
          <cell r="D606" t="str">
            <v>RHNS_ELC</v>
          </cell>
          <cell r="E606">
            <v>2.6424817609700473E-5</v>
          </cell>
          <cell r="F606">
            <v>2.632748777161027E-5</v>
          </cell>
          <cell r="G606">
            <v>2.9532338348314868E-5</v>
          </cell>
          <cell r="H606">
            <v>1.0664417173633408E-3</v>
          </cell>
          <cell r="I606">
            <v>6.499844989038662E-3</v>
          </cell>
          <cell r="J606">
            <v>5.0214410233758736E-2</v>
          </cell>
        </row>
        <row r="607">
          <cell r="B607" t="str">
            <v>RHNS-EBAT</v>
          </cell>
          <cell r="C607" t="str">
            <v>VAR_fout</v>
          </cell>
          <cell r="D607" t="str">
            <v>AUX_RHNS-EBAT_OUT</v>
          </cell>
          <cell r="E607">
            <v>2.6424817609700497E-5</v>
          </cell>
          <cell r="F607">
            <v>2.6327487771610301E-5</v>
          </cell>
          <cell r="G607">
            <v>2.9532338348314895E-5</v>
          </cell>
          <cell r="H607">
            <v>1.0664417173633421E-3</v>
          </cell>
          <cell r="I607">
            <v>6.4998449890386637E-3</v>
          </cell>
          <cell r="J607">
            <v>5.0214410233758791E-2</v>
          </cell>
        </row>
        <row r="608">
          <cell r="B608" t="str">
            <v>RHNS-EBAT</v>
          </cell>
          <cell r="C608" t="str">
            <v>VAR_fin</v>
          </cell>
          <cell r="D608" t="str">
            <v>RHNS_ELC</v>
          </cell>
          <cell r="E608">
            <v>2.9340869676096078E-5</v>
          </cell>
          <cell r="F608">
            <v>2.9226009204645819E-5</v>
          </cell>
          <cell r="G608">
            <v>3.2675051718228375E-5</v>
          </cell>
          <cell r="H608">
            <v>1.1793568342854759E-3</v>
          </cell>
          <cell r="I608">
            <v>7.1879768927304022E-3</v>
          </cell>
          <cell r="J608">
            <v>5.5530357896005536E-2</v>
          </cell>
        </row>
        <row r="609">
          <cell r="B609" t="str">
            <v>RHNS-EBAT</v>
          </cell>
          <cell r="C609" t="str">
            <v>VAR_fin</v>
          </cell>
          <cell r="D609" t="str">
            <v>AUX_RHNS-EBAT_IN</v>
          </cell>
          <cell r="E609">
            <v>2.9340869676096078E-5</v>
          </cell>
          <cell r="F609">
            <v>2.9226009204645819E-5</v>
          </cell>
          <cell r="G609">
            <v>3.2675051718228375E-5</v>
          </cell>
          <cell r="H609">
            <v>1.1793568342854759E-3</v>
          </cell>
          <cell r="I609">
            <v>7.1879768927304022E-3</v>
          </cell>
          <cell r="J609">
            <v>5.5530357896005536E-2</v>
          </cell>
        </row>
        <row r="610">
          <cell r="B610" t="str">
            <v>RHNS-EBAT</v>
          </cell>
          <cell r="C610" t="str">
            <v>VAR_ncap</v>
          </cell>
          <cell r="D610" t="str">
            <v>-</v>
          </cell>
          <cell r="E610">
            <v>8.0362404420500192E-6</v>
          </cell>
          <cell r="F610">
            <v>1.7401496512990401E-8</v>
          </cell>
          <cell r="G610">
            <v>1.2775432442915699E-6</v>
          </cell>
          <cell r="H610">
            <v>2.2986419938210299E-2</v>
          </cell>
          <cell r="I610">
            <v>1.0730582462510001E-3</v>
          </cell>
          <cell r="J610">
            <v>2.4976279588232401E-2</v>
          </cell>
        </row>
        <row r="611">
          <cell r="B611" t="str">
            <v>RHNS-EBAT</v>
          </cell>
          <cell r="C611" t="str">
            <v>VAR_cap</v>
          </cell>
          <cell r="D611" t="str">
            <v>-</v>
          </cell>
          <cell r="E611">
            <v>1.0800918908621759E-5</v>
          </cell>
          <cell r="F611">
            <v>1.081832040513475E-5</v>
          </cell>
          <cell r="G611">
            <v>1.2095863649426309E-5</v>
          </cell>
          <cell r="H611">
            <v>2.2993592668393702E-2</v>
          </cell>
          <cell r="I611">
            <v>6.269135098481796E-3</v>
          </cell>
          <cell r="J611">
            <v>2.5711789801973282E-2</v>
          </cell>
        </row>
        <row r="612">
          <cell r="B612" t="str">
            <v>G-INTC-EXP00-AT</v>
          </cell>
          <cell r="C612" t="str">
            <v>VAR_fout</v>
          </cell>
          <cell r="D612" t="str">
            <v>ELC_E-AT</v>
          </cell>
          <cell r="E612">
            <v>6.2295545153372132</v>
          </cell>
          <cell r="F612">
            <v>1.3829738799688838E-5</v>
          </cell>
          <cell r="G612">
            <v>1.6491983624573344E-5</v>
          </cell>
          <cell r="H612">
            <v>7.3793321548193555E-6</v>
          </cell>
          <cell r="I612">
            <v>9.7010314467498276E-2</v>
          </cell>
          <cell r="J612">
            <v>9.0249920037775724E-2</v>
          </cell>
        </row>
        <row r="613">
          <cell r="B613" t="str">
            <v>G-INTC-EXP00-AT</v>
          </cell>
          <cell r="C613" t="str">
            <v>VAR_fin</v>
          </cell>
          <cell r="D613" t="str">
            <v>ELC</v>
          </cell>
          <cell r="E613">
            <v>6.2295545153372132</v>
          </cell>
          <cell r="F613">
            <v>1.3829738799688838E-5</v>
          </cell>
          <cell r="G613">
            <v>1.6491983624573344E-5</v>
          </cell>
          <cell r="H613">
            <v>7.3793321548193555E-6</v>
          </cell>
          <cell r="I613">
            <v>9.7010314467498276E-2</v>
          </cell>
          <cell r="J613">
            <v>9.0249920037775724E-2</v>
          </cell>
        </row>
        <row r="614">
          <cell r="B614" t="str">
            <v>G-INTC-EXP00-AT</v>
          </cell>
          <cell r="C614" t="str">
            <v>VAR_cap</v>
          </cell>
          <cell r="D614" t="str">
            <v>-</v>
          </cell>
          <cell r="E614">
            <v>1.2</v>
          </cell>
          <cell r="F614">
            <v>1.2</v>
          </cell>
          <cell r="G614">
            <v>1.2</v>
          </cell>
          <cell r="H614">
            <v>1.2</v>
          </cell>
          <cell r="I614">
            <v>1.2</v>
          </cell>
          <cell r="J614">
            <v>1.2</v>
          </cell>
        </row>
        <row r="615">
          <cell r="B615" t="str">
            <v>G-INTC-IMP00-DE</v>
          </cell>
          <cell r="C615" t="str">
            <v>VAR_fout</v>
          </cell>
          <cell r="D615" t="str">
            <v>ELC</v>
          </cell>
          <cell r="E615">
            <v>46.398475558524069</v>
          </cell>
          <cell r="F615">
            <v>28.137494090058652</v>
          </cell>
          <cell r="G615">
            <v>25.90287954247421</v>
          </cell>
          <cell r="H615">
            <v>15.750815947300936</v>
          </cell>
          <cell r="I615">
            <v>23.6048149672738</v>
          </cell>
          <cell r="J615">
            <v>14.146511373998184</v>
          </cell>
        </row>
        <row r="616">
          <cell r="B616" t="str">
            <v>G-INTC-IMP00-DE</v>
          </cell>
          <cell r="C616" t="str">
            <v>VAR_fin</v>
          </cell>
          <cell r="D616" t="str">
            <v>ELC_I-DE</v>
          </cell>
          <cell r="E616">
            <v>46.398475558524069</v>
          </cell>
          <cell r="F616">
            <v>28.137494090058652</v>
          </cell>
          <cell r="G616">
            <v>25.90287954247421</v>
          </cell>
          <cell r="H616">
            <v>15.750815947300936</v>
          </cell>
          <cell r="I616">
            <v>23.6048149672738</v>
          </cell>
          <cell r="J616">
            <v>14.146511373998184</v>
          </cell>
        </row>
        <row r="617">
          <cell r="B617" t="str">
            <v>G-INTC-IMP00-DE</v>
          </cell>
          <cell r="C617" t="str">
            <v>VAR_cap</v>
          </cell>
          <cell r="D617" t="str">
            <v>-</v>
          </cell>
          <cell r="E617">
            <v>3.7</v>
          </cell>
          <cell r="F617">
            <v>3.7</v>
          </cell>
          <cell r="G617">
            <v>3.7</v>
          </cell>
          <cell r="H617">
            <v>3.7</v>
          </cell>
          <cell r="I617">
            <v>3.7</v>
          </cell>
          <cell r="J617">
            <v>3.7</v>
          </cell>
        </row>
        <row r="618">
          <cell r="B618" t="str">
            <v>RHEM-SHSTG-CHPWOD</v>
          </cell>
          <cell r="C618" t="str">
            <v>VAR_fout</v>
          </cell>
          <cell r="D618" t="str">
            <v>AUX_REM-CHPWOD_OUT</v>
          </cell>
          <cell r="E618">
            <v>3.7329826683941468E-6</v>
          </cell>
          <cell r="G618">
            <v>3.7813595918757647E-6</v>
          </cell>
          <cell r="J618">
            <v>2.4836032000498339E-7</v>
          </cell>
        </row>
        <row r="619">
          <cell r="B619" t="str">
            <v>RHEM-SHSTG-CHPWOD</v>
          </cell>
          <cell r="C619" t="str">
            <v>VAR_fout</v>
          </cell>
          <cell r="D619" t="str">
            <v>RHEM_LTH_CHPWOD</v>
          </cell>
          <cell r="E619">
            <v>3.7329826683941379E-6</v>
          </cell>
          <cell r="F619">
            <v>1.589755533190515E-8</v>
          </cell>
          <cell r="G619">
            <v>3.7852985081173002E-6</v>
          </cell>
          <cell r="I619">
            <v>8.6200263422892901E-9</v>
          </cell>
          <cell r="J619">
            <v>1.204814481880348E-6</v>
          </cell>
        </row>
        <row r="620">
          <cell r="B620" t="str">
            <v>RHEM-SHSTG-CHPWOD</v>
          </cell>
          <cell r="C620" t="str">
            <v>VAR_fin</v>
          </cell>
          <cell r="D620" t="str">
            <v>AUX_REM-CHPWOD_IN</v>
          </cell>
          <cell r="E620">
            <v>2.9849288195273306E-6</v>
          </cell>
          <cell r="G620">
            <v>3.0506856659184965E-6</v>
          </cell>
          <cell r="J620">
            <v>1.3484429718458488E-6</v>
          </cell>
        </row>
        <row r="621">
          <cell r="B621" t="str">
            <v>RHEM-SHSTG-CHPWOD</v>
          </cell>
          <cell r="C621" t="str">
            <v>VAR_fin</v>
          </cell>
          <cell r="D621" t="str">
            <v>RHEM_LTH_CHPWOD</v>
          </cell>
          <cell r="E621">
            <v>2.9849288195273306E-6</v>
          </cell>
          <cell r="G621">
            <v>3.0506856659184965E-6</v>
          </cell>
          <cell r="J621">
            <v>1.3484429718458488E-6</v>
          </cell>
        </row>
        <row r="622">
          <cell r="B622" t="str">
            <v>RHEM-SHSTG-CHPWOD</v>
          </cell>
          <cell r="C622" t="str">
            <v>VAR_ncap</v>
          </cell>
          <cell r="D622" t="str">
            <v>-</v>
          </cell>
          <cell r="E622">
            <v>4.1811479141048699E-5</v>
          </cell>
          <cell r="F622">
            <v>9.6758123322645708E-7</v>
          </cell>
          <cell r="G622">
            <v>1.4737644357284799E-6</v>
          </cell>
          <cell r="H622">
            <v>1.18687907025497E-6</v>
          </cell>
          <cell r="I622">
            <v>3.45659869499237E-6</v>
          </cell>
          <cell r="J622">
            <v>6.9463566017517804E-6</v>
          </cell>
        </row>
        <row r="623">
          <cell r="B623" t="str">
            <v>RHEM-SHSTG-CHPWOD</v>
          </cell>
          <cell r="C623" t="str">
            <v>VAR_cap</v>
          </cell>
          <cell r="D623" t="str">
            <v>-</v>
          </cell>
          <cell r="E623">
            <v>4.1811479141048699E-5</v>
          </cell>
          <cell r="F623">
            <v>4.266170759798352E-5</v>
          </cell>
          <cell r="G623">
            <v>4.3836883387662952E-5</v>
          </cell>
          <cell r="H623">
            <v>4.4551003172942494E-5</v>
          </cell>
          <cell r="I623">
            <v>5.8890600838079553E-5</v>
          </cell>
          <cell r="J623">
            <v>3.2382111836455288E-5</v>
          </cell>
        </row>
        <row r="624">
          <cell r="B624" t="str">
            <v>RHNM-CHPGFC</v>
          </cell>
          <cell r="C624" t="str">
            <v>VAR_fout</v>
          </cell>
          <cell r="D624" t="str">
            <v>CO2_R</v>
          </cell>
          <cell r="H624">
            <v>1.36979183408589E-3</v>
          </cell>
          <cell r="I624">
            <v>3.43661982515381E-3</v>
          </cell>
          <cell r="J624">
            <v>2.0075154389251602E-3</v>
          </cell>
        </row>
        <row r="625">
          <cell r="B625" t="str">
            <v>RHNM-CHPGFC</v>
          </cell>
          <cell r="C625" t="str">
            <v>VAR_fout</v>
          </cell>
          <cell r="D625" t="str">
            <v>RHNM_NKEV_GAS_ELC_CHP</v>
          </cell>
          <cell r="H625">
            <v>1.020057748787365E-5</v>
          </cell>
          <cell r="I625">
            <v>2.6810509274249585E-5</v>
          </cell>
          <cell r="J625">
            <v>1.5859982253379736E-5</v>
          </cell>
        </row>
        <row r="626">
          <cell r="B626" t="str">
            <v>RHNM-CHPGFC</v>
          </cell>
          <cell r="C626" t="str">
            <v>VAR_fout</v>
          </cell>
          <cell r="D626" t="str">
            <v>RHNM_LTH_CHPNGA</v>
          </cell>
          <cell r="H626">
            <v>1.142464678641848E-5</v>
          </cell>
          <cell r="I626">
            <v>2.8419139830704548E-5</v>
          </cell>
          <cell r="J626">
            <v>1.5859982253379736E-5</v>
          </cell>
        </row>
        <row r="627">
          <cell r="B627" t="str">
            <v>RHNM-CHPGFC</v>
          </cell>
          <cell r="C627" t="str">
            <v>VAR_fin</v>
          </cell>
          <cell r="D627" t="str">
            <v>RNGA</v>
          </cell>
          <cell r="H627">
            <v>2.4287089256842023E-5</v>
          </cell>
          <cell r="I627">
            <v>6.0932975623294472E-5</v>
          </cell>
          <cell r="J627">
            <v>3.5594245371013416E-5</v>
          </cell>
        </row>
        <row r="628">
          <cell r="B628" t="str">
            <v>RHNM-CHPGFC</v>
          </cell>
          <cell r="C628" t="str">
            <v>VAR_ncap</v>
          </cell>
          <cell r="D628" t="str">
            <v>-</v>
          </cell>
          <cell r="H628">
            <v>9.0574359037412197E-7</v>
          </cell>
          <cell r="I628">
            <v>1.14392475225739E-8</v>
          </cell>
          <cell r="J628">
            <v>2.0215255966622801E-8</v>
          </cell>
        </row>
        <row r="629">
          <cell r="B629" t="str">
            <v>RHNM-CHPGFC</v>
          </cell>
          <cell r="C629" t="str">
            <v>VAR_cap</v>
          </cell>
          <cell r="D629" t="str">
            <v>-</v>
          </cell>
          <cell r="H629">
            <v>9.0574359037412197E-7</v>
          </cell>
          <cell r="I629">
            <v>2.3755104212508301E-6</v>
          </cell>
          <cell r="J629">
            <v>1.42926378756496E-6</v>
          </cell>
        </row>
        <row r="630">
          <cell r="B630" t="str">
            <v>G-INTC-EXP00-FR</v>
          </cell>
          <cell r="C630" t="str">
            <v>VAR_fout</v>
          </cell>
          <cell r="D630" t="str">
            <v>ELC_E-FR</v>
          </cell>
          <cell r="E630">
            <v>12.753358585989826</v>
          </cell>
          <cell r="F630">
            <v>1.256802835345464E-5</v>
          </cell>
          <cell r="G630">
            <v>1.2039816607540773E-5</v>
          </cell>
          <cell r="H630">
            <v>4.4684558499160161E-6</v>
          </cell>
          <cell r="I630">
            <v>1.9614280301223679E-2</v>
          </cell>
          <cell r="J630">
            <v>0.84830395792784186</v>
          </cell>
        </row>
        <row r="631">
          <cell r="B631" t="str">
            <v>G-INTC-EXP00-FR</v>
          </cell>
          <cell r="C631" t="str">
            <v>VAR_fin</v>
          </cell>
          <cell r="D631" t="str">
            <v>ELC</v>
          </cell>
          <cell r="E631">
            <v>12.753358585989826</v>
          </cell>
          <cell r="F631">
            <v>1.256802835345464E-5</v>
          </cell>
          <cell r="G631">
            <v>1.2039816607540773E-5</v>
          </cell>
          <cell r="H631">
            <v>4.4684558499160161E-6</v>
          </cell>
          <cell r="I631">
            <v>1.9614280301223679E-2</v>
          </cell>
          <cell r="J631">
            <v>0.84830395792784186</v>
          </cell>
        </row>
        <row r="632">
          <cell r="B632" t="str">
            <v>G-INTC-EXP00-FR</v>
          </cell>
          <cell r="C632" t="str">
            <v>VAR_cap</v>
          </cell>
          <cell r="D632" t="str">
            <v>-</v>
          </cell>
          <cell r="E632">
            <v>1.3</v>
          </cell>
          <cell r="F632">
            <v>1.3</v>
          </cell>
          <cell r="G632">
            <v>1.3</v>
          </cell>
          <cell r="H632">
            <v>1.3</v>
          </cell>
          <cell r="I632">
            <v>1.3</v>
          </cell>
          <cell r="J632">
            <v>1.3</v>
          </cell>
        </row>
        <row r="633">
          <cell r="B633" t="str">
            <v>RHNM-EBAT</v>
          </cell>
          <cell r="C633" t="str">
            <v>VAR_fout</v>
          </cell>
          <cell r="D633" t="str">
            <v>RHNM_ELC</v>
          </cell>
          <cell r="E633">
            <v>2.3684483280127226E-5</v>
          </cell>
          <cell r="F633">
            <v>2.3583584772587732E-5</v>
          </cell>
          <cell r="G633">
            <v>2.3732511198551398E-5</v>
          </cell>
          <cell r="H633">
            <v>9.7723936080087374E-4</v>
          </cell>
          <cell r="I633">
            <v>7.4336789121313654E-2</v>
          </cell>
          <cell r="J633">
            <v>0.18850804185989845</v>
          </cell>
        </row>
        <row r="634">
          <cell r="B634" t="str">
            <v>RHNM-EBAT</v>
          </cell>
          <cell r="C634" t="str">
            <v>VAR_fout</v>
          </cell>
          <cell r="D634" t="str">
            <v>AUX_RHNM-EBAT_OUT</v>
          </cell>
          <cell r="E634">
            <v>2.3684483280127253E-5</v>
          </cell>
          <cell r="F634">
            <v>2.3583584772587752E-5</v>
          </cell>
          <cell r="G634">
            <v>2.3732511198551425E-5</v>
          </cell>
          <cell r="H634">
            <v>9.7723936080087504E-4</v>
          </cell>
          <cell r="I634">
            <v>7.4336789121313682E-2</v>
          </cell>
          <cell r="J634">
            <v>0.18850804185989872</v>
          </cell>
        </row>
        <row r="635">
          <cell r="B635" t="str">
            <v>RHNM-EBAT</v>
          </cell>
          <cell r="C635" t="str">
            <v>VAR_fin</v>
          </cell>
          <cell r="D635" t="str">
            <v>RHNM_ELC</v>
          </cell>
          <cell r="E635">
            <v>2.6310430410761157E-5</v>
          </cell>
          <cell r="F635">
            <v>2.6191623473394091E-5</v>
          </cell>
          <cell r="G635">
            <v>2.6278337904173492E-5</v>
          </cell>
          <cell r="H635">
            <v>1.0807283017265799E-3</v>
          </cell>
          <cell r="I635">
            <v>8.2206465301377027E-2</v>
          </cell>
          <cell r="J635">
            <v>0.20846441667237611</v>
          </cell>
        </row>
        <row r="636">
          <cell r="B636" t="str">
            <v>RHNM-EBAT</v>
          </cell>
          <cell r="C636" t="str">
            <v>VAR_fin</v>
          </cell>
          <cell r="D636" t="str">
            <v>AUX_RHNM-EBAT_IN</v>
          </cell>
          <cell r="E636">
            <v>2.6310430410761157E-5</v>
          </cell>
          <cell r="F636">
            <v>2.6191623473394091E-5</v>
          </cell>
          <cell r="G636">
            <v>2.6278337904173492E-5</v>
          </cell>
          <cell r="H636">
            <v>1.0807283017265799E-3</v>
          </cell>
          <cell r="I636">
            <v>8.2206465301377027E-2</v>
          </cell>
          <cell r="J636">
            <v>0.20846441667237611</v>
          </cell>
        </row>
        <row r="637">
          <cell r="B637" t="str">
            <v>RHNM-EBAT</v>
          </cell>
          <cell r="C637" t="str">
            <v>VAR_ncap</v>
          </cell>
          <cell r="D637" t="str">
            <v>-</v>
          </cell>
          <cell r="E637">
            <v>6.91014004597373E-6</v>
          </cell>
          <cell r="F637">
            <v>1.4328680315713801E-8</v>
          </cell>
          <cell r="G637">
            <v>6.1767138151233005E-8</v>
          </cell>
          <cell r="H637">
            <v>2.0691453416051601E-2</v>
          </cell>
          <cell r="I637">
            <v>5.1586658227956703E-2</v>
          </cell>
          <cell r="J637">
            <v>6.7231672224684402E-2</v>
          </cell>
        </row>
        <row r="638">
          <cell r="B638" t="str">
            <v>RHNM-EBAT</v>
          </cell>
          <cell r="C638" t="str">
            <v>VAR_cap</v>
          </cell>
          <cell r="D638" t="str">
            <v>-</v>
          </cell>
          <cell r="E638">
            <v>9.6748303949774396E-6</v>
          </cell>
          <cell r="F638">
            <v>9.68915907529316E-6</v>
          </cell>
          <cell r="G638">
            <v>9.7509262134443893E-6</v>
          </cell>
          <cell r="H638">
            <v>2.0696583740440099E-2</v>
          </cell>
          <cell r="I638">
            <v>7.5302516201928377E-2</v>
          </cell>
          <cell r="J638">
            <v>9.6621365445372073E-2</v>
          </cell>
        </row>
        <row r="639">
          <cell r="B639" t="str">
            <v>ITOT-CHPWST</v>
          </cell>
          <cell r="C639" t="str">
            <v>VAR_fout</v>
          </cell>
          <cell r="D639" t="str">
            <v>ITOT_LTH_CHP</v>
          </cell>
          <cell r="E639">
            <v>1.9347802049834564</v>
          </cell>
          <cell r="F639">
            <v>1.6761030665119234</v>
          </cell>
          <cell r="G639">
            <v>2.5502835006504729</v>
          </cell>
          <cell r="H639">
            <v>2.2433281282237751</v>
          </cell>
          <cell r="I639">
            <v>0.96223160997336321</v>
          </cell>
          <cell r="J639">
            <v>3.6013633605513558E-6</v>
          </cell>
        </row>
        <row r="640">
          <cell r="B640" t="str">
            <v>ITOT-CHPWST</v>
          </cell>
          <cell r="C640" t="str">
            <v>VAR_fout</v>
          </cell>
          <cell r="D640" t="str">
            <v>ITOT_KEV_WST_ELC_CHP</v>
          </cell>
          <cell r="E640">
            <v>0.23004007986946667</v>
          </cell>
          <cell r="F640">
            <v>0.2075395998481632</v>
          </cell>
          <cell r="G640">
            <v>0.33670547578737114</v>
          </cell>
          <cell r="H640">
            <v>0.33294516750130332</v>
          </cell>
          <cell r="I640">
            <v>0.1899751635941746</v>
          </cell>
        </row>
        <row r="641">
          <cell r="B641" t="str">
            <v>ITOT-CHPWST</v>
          </cell>
          <cell r="C641" t="str">
            <v>VAR_fout</v>
          </cell>
          <cell r="D641" t="str">
            <v>CO2_I</v>
          </cell>
          <cell r="E641">
            <v>344.46989272384502</v>
          </cell>
          <cell r="F641">
            <v>310.77697048124401</v>
          </cell>
          <cell r="G641">
            <v>504.19447719293299</v>
          </cell>
          <cell r="H641">
            <v>498.56366092555697</v>
          </cell>
          <cell r="I641">
            <v>284.47541302832798</v>
          </cell>
          <cell r="J641">
            <v>1.6338566645462101E-3</v>
          </cell>
        </row>
        <row r="642">
          <cell r="B642" t="str">
            <v>ITOT-CHPWST</v>
          </cell>
          <cell r="C642" t="str">
            <v>VAR_fin</v>
          </cell>
          <cell r="D642" t="str">
            <v>IWST</v>
          </cell>
          <cell r="E642">
            <v>3.7119600509034982</v>
          </cell>
          <cell r="F642">
            <v>3.3488897681168597</v>
          </cell>
          <cell r="G642">
            <v>5.43313014216523</v>
          </cell>
          <cell r="H642">
            <v>5.3724532427322984</v>
          </cell>
          <cell r="I642">
            <v>3.0654678128052621</v>
          </cell>
          <cell r="J642">
            <v>1.760621405761003E-5</v>
          </cell>
        </row>
        <row r="643">
          <cell r="B643" t="str">
            <v>ITOT-CHPWST</v>
          </cell>
          <cell r="C643" t="str">
            <v>VAR_ncap</v>
          </cell>
          <cell r="D643" t="str">
            <v>-</v>
          </cell>
          <cell r="H643">
            <v>1.4816878216210199E-3</v>
          </cell>
        </row>
        <row r="644">
          <cell r="B644" t="str">
            <v>ITOT-CHPWST</v>
          </cell>
          <cell r="C644" t="str">
            <v>VAR_cap</v>
          </cell>
          <cell r="D644" t="str">
            <v>-</v>
          </cell>
          <cell r="E644">
            <v>4.9338736708150692E-2</v>
          </cell>
          <cell r="F644">
            <v>1.3850595664896402E-2</v>
          </cell>
          <cell r="G644">
            <v>1.3850589646737403E-2</v>
          </cell>
          <cell r="H644">
            <v>1.3545666193103614E-2</v>
          </cell>
          <cell r="I644">
            <v>1.258891376757228E-2</v>
          </cell>
          <cell r="J644">
            <v>3.2391490054593797E-6</v>
          </cell>
        </row>
        <row r="645">
          <cell r="B645" t="str">
            <v>CAES-EBAT</v>
          </cell>
          <cell r="C645" t="str">
            <v>VAR_fout</v>
          </cell>
          <cell r="D645" t="str">
            <v>ELC13</v>
          </cell>
          <cell r="E645">
            <v>9.4500252975572588E-2</v>
          </cell>
          <cell r="F645">
            <v>6.0720923649635649E-3</v>
          </cell>
          <cell r="G645">
            <v>3.8206563196244291E-2</v>
          </cell>
          <cell r="H645">
            <v>1.9269994355891474E-5</v>
          </cell>
          <cell r="I645">
            <v>7.5119992426337745E-4</v>
          </cell>
          <cell r="J645">
            <v>4.3483732757662104E-2</v>
          </cell>
        </row>
        <row r="646">
          <cell r="B646" t="str">
            <v>CAES-EBAT</v>
          </cell>
          <cell r="C646" t="str">
            <v>VAR_fout</v>
          </cell>
          <cell r="D646" t="str">
            <v>AUX_CAES_OUT</v>
          </cell>
          <cell r="E646">
            <v>9.4500252975572532E-2</v>
          </cell>
          <cell r="F646">
            <v>6.0720923649635536E-3</v>
          </cell>
          <cell r="G646">
            <v>3.8206563196244256E-2</v>
          </cell>
          <cell r="H646">
            <v>1.9269994355891461E-5</v>
          </cell>
          <cell r="I646">
            <v>7.5119992426337745E-4</v>
          </cell>
          <cell r="J646">
            <v>4.3483732757662055E-2</v>
          </cell>
        </row>
        <row r="647">
          <cell r="B647" t="str">
            <v>CAES-EBAT</v>
          </cell>
          <cell r="C647" t="str">
            <v>VAR_fin</v>
          </cell>
          <cell r="D647" t="str">
            <v>ELC13</v>
          </cell>
          <cell r="E647">
            <v>0.13500064509452001</v>
          </cell>
          <cell r="F647">
            <v>8.6745466772002004E-3</v>
          </cell>
          <cell r="G647">
            <v>5.4580855465608029E-2</v>
          </cell>
          <cell r="H647">
            <v>2.7577479661993559E-5</v>
          </cell>
          <cell r="I647">
            <v>1.0732094498576887E-3</v>
          </cell>
          <cell r="J647">
            <v>6.2119641908693374E-2</v>
          </cell>
        </row>
        <row r="648">
          <cell r="B648" t="str">
            <v>CAES-EBAT</v>
          </cell>
          <cell r="C648" t="str">
            <v>VAR_fin</v>
          </cell>
          <cell r="D648" t="str">
            <v>AUX_CAES_IN</v>
          </cell>
          <cell r="E648">
            <v>0.13500064509452001</v>
          </cell>
          <cell r="F648">
            <v>8.6745466772002004E-3</v>
          </cell>
          <cell r="G648">
            <v>5.4580855465608029E-2</v>
          </cell>
          <cell r="H648">
            <v>2.7577479661993559E-5</v>
          </cell>
          <cell r="I648">
            <v>1.0732094498576887E-3</v>
          </cell>
          <cell r="J648">
            <v>6.2119641908693374E-2</v>
          </cell>
        </row>
        <row r="649">
          <cell r="B649" t="str">
            <v>CAES-EBAT</v>
          </cell>
          <cell r="C649" t="str">
            <v>VAR_ncap</v>
          </cell>
          <cell r="D649" t="str">
            <v>-</v>
          </cell>
          <cell r="F649">
            <v>1.0680372189430101E-8</v>
          </cell>
          <cell r="G649">
            <v>1.04657414221946E-8</v>
          </cell>
          <cell r="H649">
            <v>1.0077068226115E-8</v>
          </cell>
          <cell r="I649">
            <v>2.07637073755559E-7</v>
          </cell>
          <cell r="J649">
            <v>3.2903711374493798E-8</v>
          </cell>
        </row>
        <row r="650">
          <cell r="B650" t="str">
            <v>CAES-EBAT</v>
          </cell>
          <cell r="C650" t="str">
            <v>VAR_cap</v>
          </cell>
          <cell r="D650" t="str">
            <v>-</v>
          </cell>
          <cell r="E650">
            <v>0.1</v>
          </cell>
          <cell r="F650">
            <v>9.9999765726887277E-2</v>
          </cell>
          <cell r="G650">
            <v>9.9999764640537739E-2</v>
          </cell>
          <cell r="H650">
            <v>9.9999769361568888E-2</v>
          </cell>
          <cell r="I650">
            <v>9.9999994202824211E-2</v>
          </cell>
          <cell r="J650">
            <v>0.10000002455594452</v>
          </cell>
        </row>
        <row r="651">
          <cell r="B651" t="str">
            <v>RHEM-CHPNGA</v>
          </cell>
          <cell r="C651" t="str">
            <v>VAR_fout</v>
          </cell>
          <cell r="D651" t="str">
            <v>CO2_R</v>
          </cell>
          <cell r="E651">
            <v>5.3935144217789004</v>
          </cell>
          <cell r="F651">
            <v>2.5755980371568301E-4</v>
          </cell>
          <cell r="G651">
            <v>4.1425810903336198E-2</v>
          </cell>
          <cell r="H651">
            <v>46.399040200356197</v>
          </cell>
          <cell r="I651">
            <v>71.578385587112805</v>
          </cell>
          <cell r="J651">
            <v>72.241221340884493</v>
          </cell>
        </row>
        <row r="652">
          <cell r="B652" t="str">
            <v>RHEM-CHPNGA</v>
          </cell>
          <cell r="C652" t="str">
            <v>VAR_fout</v>
          </cell>
          <cell r="D652" t="str">
            <v>RHEM_LTH_CHPNGA</v>
          </cell>
          <cell r="E652">
            <v>6.000600594833988E-2</v>
          </cell>
          <cell r="F652">
            <v>2.4998731201147127E-6</v>
          </cell>
          <cell r="G652">
            <v>4.4127830569844954E-4</v>
          </cell>
          <cell r="H652">
            <v>0.50903559986594005</v>
          </cell>
          <cell r="I652">
            <v>0.77876176234251637</v>
          </cell>
          <cell r="J652">
            <v>0.77936889551521671</v>
          </cell>
        </row>
        <row r="653">
          <cell r="B653" t="str">
            <v>RHEM-CHPNGA</v>
          </cell>
          <cell r="C653" t="str">
            <v>VAR_fout</v>
          </cell>
          <cell r="D653" t="str">
            <v>RHEM_NKEV_GAS_ELC_CHP</v>
          </cell>
          <cell r="E653">
            <v>2.7621812261934216E-2</v>
          </cell>
          <cell r="F653">
            <v>2.6850626569024039E-7</v>
          </cell>
          <cell r="G653">
            <v>2.0819529607247889E-4</v>
          </cell>
          <cell r="H653">
            <v>0.24630754832222854</v>
          </cell>
          <cell r="I653">
            <v>0.38621518295035329</v>
          </cell>
          <cell r="J653">
            <v>0.39607271739297945</v>
          </cell>
        </row>
        <row r="654">
          <cell r="B654" t="str">
            <v>RHEM-CHPNGA</v>
          </cell>
          <cell r="C654" t="str">
            <v>VAR_fin</v>
          </cell>
          <cell r="D654" t="str">
            <v>RNGA</v>
          </cell>
          <cell r="E654">
            <v>9.5629688329413071E-2</v>
          </cell>
          <cell r="F654">
            <v>4.566663186448276E-6</v>
          </cell>
          <cell r="G654">
            <v>7.3450019332156396E-4</v>
          </cell>
          <cell r="H654">
            <v>0.82267801773681193</v>
          </cell>
          <cell r="I654">
            <v>1.2691203118282419</v>
          </cell>
          <cell r="J654">
            <v>1.2808727188100097</v>
          </cell>
        </row>
        <row r="655">
          <cell r="B655" t="str">
            <v>RHEM-CHPNGA</v>
          </cell>
          <cell r="C655" t="str">
            <v>VAR_ncap</v>
          </cell>
          <cell r="D655" t="str">
            <v>-</v>
          </cell>
          <cell r="G655">
            <v>1.5041301934835201E-5</v>
          </cell>
          <cell r="H655">
            <v>1.8261407587610402E-2</v>
          </cell>
          <cell r="I655">
            <v>4.0798295348501402E-4</v>
          </cell>
          <cell r="J655">
            <v>1.6285511486229001E-2</v>
          </cell>
        </row>
        <row r="656">
          <cell r="B656" t="str">
            <v>RHEM-CHPNGA</v>
          </cell>
          <cell r="C656" t="str">
            <v>VAR_cap</v>
          </cell>
          <cell r="D656" t="str">
            <v>-</v>
          </cell>
          <cell r="E656">
            <v>8.3502438438005505E-3</v>
          </cell>
          <cell r="F656">
            <v>3.9352084118052244E-7</v>
          </cell>
          <cell r="G656">
            <v>1.543509066547627E-5</v>
          </cell>
          <cell r="H656">
            <v>1.8276842693142371E-2</v>
          </cell>
          <cell r="I656">
            <v>2.8658491066407436E-2</v>
          </cell>
          <cell r="J656">
            <v>2.9389938781346988E-2</v>
          </cell>
        </row>
        <row r="657">
          <cell r="B657" t="str">
            <v>D-DH2</v>
          </cell>
          <cell r="C657" t="str">
            <v>VAR_fout</v>
          </cell>
          <cell r="D657" t="str">
            <v>H2</v>
          </cell>
          <cell r="H657">
            <v>1.3577336464151997E-6</v>
          </cell>
          <cell r="I657">
            <v>1.5070392377425777E-4</v>
          </cell>
          <cell r="J657">
            <v>1.6027954375261551E-4</v>
          </cell>
        </row>
        <row r="658">
          <cell r="B658" t="str">
            <v>D-DH2</v>
          </cell>
          <cell r="C658" t="str">
            <v>VAR_fin</v>
          </cell>
          <cell r="D658" t="str">
            <v>H2_E</v>
          </cell>
          <cell r="H658">
            <v>1.3714481276921209E-6</v>
          </cell>
          <cell r="I658">
            <v>1.5222618563056326E-4</v>
          </cell>
          <cell r="J658">
            <v>1.6189852904304611E-4</v>
          </cell>
        </row>
        <row r="659">
          <cell r="B659" t="str">
            <v>D-DH2</v>
          </cell>
          <cell r="C659" t="str">
            <v>VAR_ncap</v>
          </cell>
          <cell r="D659" t="str">
            <v>-</v>
          </cell>
          <cell r="H659">
            <v>7.1814227448110104E-7</v>
          </cell>
          <cell r="I659">
            <v>1.5292935674692201E-5</v>
          </cell>
          <cell r="J659">
            <v>1.16594461244629E-6</v>
          </cell>
        </row>
        <row r="660">
          <cell r="B660" t="str">
            <v>D-DH2</v>
          </cell>
          <cell r="C660" t="str">
            <v>VAR_cap</v>
          </cell>
          <cell r="D660" t="str">
            <v>-</v>
          </cell>
          <cell r="H660">
            <v>7.1814227448110104E-7</v>
          </cell>
          <cell r="I660">
            <v>2.05137396920549E-5</v>
          </cell>
          <cell r="J660">
            <v>2.16796843045012E-5</v>
          </cell>
        </row>
        <row r="661">
          <cell r="B661" t="str">
            <v>D-SBIO</v>
          </cell>
          <cell r="C661" t="str">
            <v>VAR_fout</v>
          </cell>
          <cell r="D661" t="str">
            <v>SBIO</v>
          </cell>
          <cell r="E661">
            <v>4.047640866325831</v>
          </cell>
          <cell r="F661">
            <v>4.5832126606675443</v>
          </cell>
          <cell r="G661">
            <v>4.667282748925528</v>
          </cell>
          <cell r="H661">
            <v>4.7976416472523837</v>
          </cell>
          <cell r="I661">
            <v>8.926487335120143</v>
          </cell>
          <cell r="J661">
            <v>12.345956327272733</v>
          </cell>
        </row>
        <row r="662">
          <cell r="B662" t="str">
            <v>D-SBIO</v>
          </cell>
          <cell r="C662" t="str">
            <v>VAR_fin</v>
          </cell>
          <cell r="D662" t="str">
            <v>BIO</v>
          </cell>
          <cell r="E662">
            <v>4.047640866325831</v>
          </cell>
          <cell r="F662">
            <v>4.5832126606675443</v>
          </cell>
          <cell r="G662">
            <v>4.667282748925528</v>
          </cell>
          <cell r="H662">
            <v>4.7976416472523837</v>
          </cell>
          <cell r="I662">
            <v>8.926487335120143</v>
          </cell>
          <cell r="J662">
            <v>12.345956327272733</v>
          </cell>
        </row>
        <row r="663">
          <cell r="B663" t="str">
            <v>SCOM-CHPBIO</v>
          </cell>
          <cell r="C663" t="str">
            <v>VAR_fout</v>
          </cell>
          <cell r="D663" t="str">
            <v>SCOM_LTH_CHPBIO</v>
          </cell>
          <cell r="E663">
            <v>1.4243075484212893</v>
          </cell>
          <cell r="F663">
            <v>1.5783093694596859</v>
          </cell>
          <cell r="G663">
            <v>1.573292959941242</v>
          </cell>
          <cell r="H663">
            <v>1.404599928691767</v>
          </cell>
          <cell r="I663">
            <v>1.3735260758193411</v>
          </cell>
          <cell r="J663">
            <v>1.9480340695657885</v>
          </cell>
        </row>
        <row r="664">
          <cell r="B664" t="str">
            <v>SCOM-CHPBIO</v>
          </cell>
          <cell r="C664" t="str">
            <v>VAR_fout</v>
          </cell>
          <cell r="D664" t="str">
            <v>SCOM_KEV_BIO_ELC_CHP</v>
          </cell>
          <cell r="E664">
            <v>0.95936405744582232</v>
          </cell>
          <cell r="F664">
            <v>1.1059335749311869</v>
          </cell>
          <cell r="G664">
            <v>1.1733412946902979</v>
          </cell>
          <cell r="H664">
            <v>1.1733413942848772</v>
          </cell>
          <cell r="I664">
            <v>1.5101147532576003</v>
          </cell>
          <cell r="J664">
            <v>2.1417540155143486</v>
          </cell>
        </row>
        <row r="665">
          <cell r="B665" t="str">
            <v>SCOM-CHPBIO</v>
          </cell>
          <cell r="C665" t="str">
            <v>VAR_fin</v>
          </cell>
          <cell r="D665" t="str">
            <v>SBIO</v>
          </cell>
          <cell r="E665">
            <v>2.6453644485151671</v>
          </cell>
          <cell r="F665">
            <v>3.0459900186112101</v>
          </cell>
          <cell r="G665">
            <v>3.2260609824614104</v>
          </cell>
          <cell r="H665">
            <v>3.2167738541041841</v>
          </cell>
          <cell r="I665">
            <v>4.0306276085504651</v>
          </cell>
          <cell r="J665">
            <v>5.574639743136415</v>
          </cell>
        </row>
        <row r="666">
          <cell r="B666" t="str">
            <v>SCOM-CHPBIO</v>
          </cell>
          <cell r="C666" t="str">
            <v>VAR_ncap</v>
          </cell>
          <cell r="D666" t="str">
            <v>-</v>
          </cell>
          <cell r="F666">
            <v>2.61861569114956E-2</v>
          </cell>
          <cell r="G666">
            <v>1.17308179253208E-2</v>
          </cell>
          <cell r="H666">
            <v>1.2220426652206601E-2</v>
          </cell>
          <cell r="I666">
            <v>6.1206728609283799E-2</v>
          </cell>
          <cell r="J666">
            <v>0.101048072751249</v>
          </cell>
        </row>
        <row r="667">
          <cell r="B667" t="str">
            <v>SCOM-CHPBIO</v>
          </cell>
          <cell r="C667" t="str">
            <v>VAR_cap</v>
          </cell>
          <cell r="D667" t="str">
            <v>-</v>
          </cell>
          <cell r="E667">
            <v>7.35127E-2</v>
          </cell>
          <cell r="F667">
            <v>8.4743837967445404E-2</v>
          </cell>
          <cell r="G667">
            <v>8.9909064344358358E-2</v>
          </cell>
          <cell r="H667">
            <v>8.9909059207185921E-2</v>
          </cell>
          <cell r="I667">
            <v>0.11571479723759596</v>
          </cell>
          <cell r="J667">
            <v>0.16411510298017901</v>
          </cell>
        </row>
        <row r="668">
          <cell r="B668" t="str">
            <v>SCOM-CHPHFC</v>
          </cell>
          <cell r="C668" t="str">
            <v>VAR_fout</v>
          </cell>
          <cell r="D668" t="str">
            <v>SCOM_KEV_HFC_ELC_CHP</v>
          </cell>
          <cell r="H668">
            <v>2.7829962450029068E-5</v>
          </cell>
          <cell r="I668">
            <v>4.4390313043686256E-5</v>
          </cell>
          <cell r="J668">
            <v>5.929611022743657E-5</v>
          </cell>
        </row>
        <row r="669">
          <cell r="B669" t="str">
            <v>SCOM-CHPHFC</v>
          </cell>
          <cell r="C669" t="str">
            <v>VAR_fout</v>
          </cell>
          <cell r="D669" t="str">
            <v>SCOM_LTH_CHPHFC</v>
          </cell>
          <cell r="H669">
            <v>2.0842060016400681E-5</v>
          </cell>
          <cell r="I669">
            <v>2.7805872634593368E-5</v>
          </cell>
          <cell r="J669">
            <v>3.351519273724679E-5</v>
          </cell>
        </row>
        <row r="670">
          <cell r="B670" t="str">
            <v>SCOM-CHPHFC</v>
          </cell>
          <cell r="C670" t="str">
            <v>VAR_fin</v>
          </cell>
          <cell r="D670" t="str">
            <v>RSH2</v>
          </cell>
          <cell r="H670">
            <v>5.9132476762562869E-5</v>
          </cell>
          <cell r="I670">
            <v>8.220428341423376E-5</v>
          </cell>
          <cell r="J670">
            <v>1.031236699607592E-4</v>
          </cell>
        </row>
        <row r="671">
          <cell r="B671" t="str">
            <v>SCOM-CHPHFC</v>
          </cell>
          <cell r="C671" t="str">
            <v>VAR_ncap</v>
          </cell>
          <cell r="D671" t="str">
            <v>-</v>
          </cell>
          <cell r="H671">
            <v>1.6808701041063899E-6</v>
          </cell>
          <cell r="I671">
            <v>1.6519560762325901E-8</v>
          </cell>
          <cell r="J671">
            <v>3.3210379742392402E-6</v>
          </cell>
        </row>
        <row r="672">
          <cell r="B672" t="str">
            <v>SCOM-CHPHFC</v>
          </cell>
          <cell r="C672" t="str">
            <v>VAR_cap</v>
          </cell>
          <cell r="D672" t="str">
            <v>-</v>
          </cell>
          <cell r="H672">
            <v>1.6808701041063899E-6</v>
          </cell>
          <cell r="I672">
            <v>2.9317107544163299E-6</v>
          </cell>
          <cell r="J672">
            <v>4.08053442919896E-6</v>
          </cell>
        </row>
        <row r="673">
          <cell r="B673" t="str">
            <v>RHES-EBAT</v>
          </cell>
          <cell r="C673" t="str">
            <v>VAR_fout</v>
          </cell>
          <cell r="D673" t="str">
            <v>RHES_ELC</v>
          </cell>
          <cell r="E673">
            <v>2.6425358625051946E-5</v>
          </cell>
          <cell r="F673">
            <v>2.632796631279626E-5</v>
          </cell>
          <cell r="G673">
            <v>2.9532848342105234E-5</v>
          </cell>
          <cell r="H673">
            <v>1.0664693487614858E-3</v>
          </cell>
          <cell r="I673">
            <v>6.4999884586858592E-3</v>
          </cell>
          <cell r="J673">
            <v>5.0217786800980921E-2</v>
          </cell>
        </row>
        <row r="674">
          <cell r="B674" t="str">
            <v>RHES-EBAT</v>
          </cell>
          <cell r="C674" t="str">
            <v>VAR_fout</v>
          </cell>
          <cell r="D674" t="str">
            <v>AUX_RHES-EBAT_OUT</v>
          </cell>
          <cell r="E674">
            <v>2.6425358625051976E-5</v>
          </cell>
          <cell r="F674">
            <v>2.6327966312796284E-5</v>
          </cell>
          <cell r="G674">
            <v>2.9532848342105258E-5</v>
          </cell>
          <cell r="H674">
            <v>1.0664693487614865E-3</v>
          </cell>
          <cell r="I674">
            <v>6.4999884586858627E-3</v>
          </cell>
          <cell r="J674">
            <v>5.0217786800980956E-2</v>
          </cell>
        </row>
        <row r="675">
          <cell r="B675" t="str">
            <v>RHES-EBAT</v>
          </cell>
          <cell r="C675" t="str">
            <v>VAR_fin</v>
          </cell>
          <cell r="D675" t="str">
            <v>RHES_ELC</v>
          </cell>
          <cell r="E675">
            <v>2.9341467965926696E-5</v>
          </cell>
          <cell r="F675">
            <v>2.9226538406496559E-5</v>
          </cell>
          <cell r="G675">
            <v>3.267561570240524E-5</v>
          </cell>
          <cell r="H675">
            <v>1.1793873908759625E-3</v>
          </cell>
          <cell r="I675">
            <v>7.188135550762597E-3</v>
          </cell>
          <cell r="J675">
            <v>5.5534091922830667E-2</v>
          </cell>
        </row>
        <row r="676">
          <cell r="B676" t="str">
            <v>RHES-EBAT</v>
          </cell>
          <cell r="C676" t="str">
            <v>VAR_fin</v>
          </cell>
          <cell r="D676" t="str">
            <v>AUX_RHES-EBAT_IN</v>
          </cell>
          <cell r="E676">
            <v>2.9341467965926696E-5</v>
          </cell>
          <cell r="F676">
            <v>2.9226538406496559E-5</v>
          </cell>
          <cell r="G676">
            <v>3.267561570240524E-5</v>
          </cell>
          <cell r="H676">
            <v>1.1793873908759625E-3</v>
          </cell>
          <cell r="I676">
            <v>7.188135550762597E-3</v>
          </cell>
          <cell r="J676">
            <v>5.5534091922830667E-2</v>
          </cell>
        </row>
        <row r="677">
          <cell r="B677" t="str">
            <v>RHES-EBAT</v>
          </cell>
          <cell r="C677" t="str">
            <v>VAR_ncap</v>
          </cell>
          <cell r="D677" t="str">
            <v>-</v>
          </cell>
          <cell r="E677">
            <v>8.0364915805966708E-6</v>
          </cell>
          <cell r="F677">
            <v>1.7398696371251799E-8</v>
          </cell>
          <cell r="G677">
            <v>1.2775485763803299E-6</v>
          </cell>
          <cell r="H677">
            <v>2.2987053190046201E-2</v>
          </cell>
          <cell r="I677">
            <v>1.0730783674402699E-3</v>
          </cell>
          <cell r="J677">
            <v>2.49780001535111E-2</v>
          </cell>
        </row>
        <row r="678">
          <cell r="B678" t="str">
            <v>RHES-EBAT</v>
          </cell>
          <cell r="C678" t="str">
            <v>VAR_cap</v>
          </cell>
          <cell r="D678" t="str">
            <v>-</v>
          </cell>
          <cell r="E678">
            <v>1.0801126746127822E-5</v>
          </cell>
          <cell r="F678">
            <v>1.0818525442499071E-5</v>
          </cell>
          <cell r="G678">
            <v>1.2096074018879409E-5</v>
          </cell>
          <cell r="H678">
            <v>2.2994226106889799E-2</v>
          </cell>
          <cell r="I678">
            <v>6.2692546999696223E-3</v>
          </cell>
          <cell r="J678">
            <v>2.5713518232502418E-2</v>
          </cell>
        </row>
        <row r="679">
          <cell r="B679" t="str">
            <v>D-INGA</v>
          </cell>
          <cell r="C679" t="str">
            <v>VAR_fout</v>
          </cell>
          <cell r="D679" t="str">
            <v>CO2</v>
          </cell>
          <cell r="E679">
            <v>2101.0412261065499</v>
          </cell>
          <cell r="F679">
            <v>1782.04078454722</v>
          </cell>
          <cell r="G679">
            <v>1786.78524350269</v>
          </cell>
          <cell r="H679">
            <v>1191.1538105690099</v>
          </cell>
          <cell r="I679">
            <v>532.10378577854704</v>
          </cell>
          <cell r="J679">
            <v>137.647703069324</v>
          </cell>
        </row>
        <row r="680">
          <cell r="B680" t="str">
            <v>D-INGA</v>
          </cell>
          <cell r="C680" t="str">
            <v>VAR_fout</v>
          </cell>
          <cell r="D680" t="str">
            <v>INGA</v>
          </cell>
          <cell r="E680">
            <v>37.466643811180965</v>
          </cell>
          <cell r="F680">
            <v>31.818232781289446</v>
          </cell>
          <cell r="G680">
            <v>35.701184786050668</v>
          </cell>
          <cell r="H680">
            <v>25.223812571583608</v>
          </cell>
          <cell r="I680">
            <v>13.511715009013798</v>
          </cell>
          <cell r="J680">
            <v>6.6574092833885006</v>
          </cell>
        </row>
        <row r="681">
          <cell r="B681" t="str">
            <v>D-INGA</v>
          </cell>
          <cell r="C681" t="str">
            <v>VAR_fin</v>
          </cell>
          <cell r="D681" t="str">
            <v>NGA</v>
          </cell>
          <cell r="E681">
            <v>37.252504008981326</v>
          </cell>
          <cell r="F681">
            <v>31.596467811120835</v>
          </cell>
          <cell r="G681">
            <v>31.680589423806662</v>
          </cell>
          <cell r="H681">
            <v>21.119748414344112</v>
          </cell>
          <cell r="I681">
            <v>9.434464286853661</v>
          </cell>
          <cell r="J681">
            <v>2.4405621111582296</v>
          </cell>
        </row>
        <row r="682">
          <cell r="B682" t="str">
            <v>D-INGA</v>
          </cell>
          <cell r="C682" t="str">
            <v>VAR_fin</v>
          </cell>
          <cell r="D682" t="str">
            <v>BNGA</v>
          </cell>
          <cell r="E682">
            <v>0.3338314764178193</v>
          </cell>
          <cell r="F682">
            <v>0.32341647660616951</v>
          </cell>
          <cell r="G682">
            <v>4.120415639966053</v>
          </cell>
          <cell r="H682">
            <v>4.1204157437109963</v>
          </cell>
          <cell r="I682">
            <v>4.1204158576262282</v>
          </cell>
          <cell r="J682">
            <v>4.1204142601882392</v>
          </cell>
        </row>
        <row r="683">
          <cell r="B683" t="str">
            <v>D-INGA</v>
          </cell>
          <cell r="C683" t="str">
            <v>VAR_fin</v>
          </cell>
          <cell r="D683" t="str">
            <v>H2</v>
          </cell>
          <cell r="G683">
            <v>1.4231426512497671E-2</v>
          </cell>
          <cell r="H683">
            <v>6.4235649730624581E-2</v>
          </cell>
          <cell r="I683">
            <v>9.764797050921971E-6</v>
          </cell>
          <cell r="J683">
            <v>0.11770584078981115</v>
          </cell>
        </row>
        <row r="684">
          <cell r="B684" t="str">
            <v>D-INGA</v>
          </cell>
          <cell r="C684" t="str">
            <v>VAR_ncap</v>
          </cell>
          <cell r="D684" t="str">
            <v>-</v>
          </cell>
          <cell r="I684">
            <v>2.51150485755213E-8</v>
          </cell>
          <cell r="J684">
            <v>9.9285712879403496E-8</v>
          </cell>
        </row>
        <row r="685">
          <cell r="B685" t="str">
            <v>D-INGA</v>
          </cell>
          <cell r="C685" t="str">
            <v>VAR_cap</v>
          </cell>
          <cell r="D685" t="str">
            <v>-</v>
          </cell>
          <cell r="E685">
            <v>1.9844833702661</v>
          </cell>
          <cell r="F685">
            <v>1.9844833702661</v>
          </cell>
          <cell r="G685">
            <v>1.9844833702661</v>
          </cell>
          <cell r="H685">
            <v>1.9844833702661</v>
          </cell>
          <cell r="I685">
            <v>1.9844834115404799</v>
          </cell>
          <cell r="J685">
            <v>1.0954595780060128</v>
          </cell>
        </row>
        <row r="686">
          <cell r="B686" t="str">
            <v>EWIND</v>
          </cell>
          <cell r="C686" t="str">
            <v>VAR_fout</v>
          </cell>
          <cell r="D686" t="str">
            <v>ELC35</v>
          </cell>
          <cell r="E686">
            <v>0.52400000000000047</v>
          </cell>
          <cell r="F686">
            <v>0.55079999487740994</v>
          </cell>
          <cell r="G686">
            <v>1.9353729882399184</v>
          </cell>
          <cell r="H686">
            <v>6.3940299883357739</v>
          </cell>
          <cell r="I686">
            <v>17.980165940397701</v>
          </cell>
          <cell r="J686">
            <v>35.960145584703454</v>
          </cell>
        </row>
        <row r="687">
          <cell r="B687" t="str">
            <v>EWIND</v>
          </cell>
          <cell r="C687" t="str">
            <v>VAR_fin</v>
          </cell>
          <cell r="D687" t="str">
            <v>WND</v>
          </cell>
          <cell r="E687">
            <v>0.52400000000000047</v>
          </cell>
          <cell r="F687">
            <v>0.55079999487740994</v>
          </cell>
          <cell r="G687">
            <v>1.9353729882399184</v>
          </cell>
          <cell r="H687">
            <v>6.3940299883357739</v>
          </cell>
          <cell r="I687">
            <v>17.980165940397701</v>
          </cell>
          <cell r="J687">
            <v>35.960145584703454</v>
          </cell>
        </row>
        <row r="688">
          <cell r="B688" t="str">
            <v>EWIND</v>
          </cell>
          <cell r="C688" t="str">
            <v>VAR_ncap</v>
          </cell>
          <cell r="D688" t="str">
            <v>-</v>
          </cell>
          <cell r="F688">
            <v>8.0478668369042203E-3</v>
          </cell>
          <cell r="G688">
            <v>0.237202553542503</v>
          </cell>
          <cell r="H688">
            <v>0.764144016022962</v>
          </cell>
          <cell r="I688">
            <v>1.1233855353312401</v>
          </cell>
          <cell r="J688">
            <v>3.9742295288660698</v>
          </cell>
        </row>
        <row r="689">
          <cell r="B689" t="str">
            <v>EWIND</v>
          </cell>
          <cell r="C689" t="str">
            <v>VAR_cap</v>
          </cell>
          <cell r="D689" t="str">
            <v>-</v>
          </cell>
          <cell r="E689">
            <v>8.7120000000000003E-2</v>
          </cell>
          <cell r="F689">
            <v>9.1575754873511411E-2</v>
          </cell>
          <cell r="G689">
            <v>0.3217742259099432</v>
          </cell>
          <cell r="H689">
            <v>1.0630684971111761</v>
          </cell>
          <cell r="I689">
            <v>2.9893741590527867</v>
          </cell>
          <cell r="J689">
            <v>5.9787173401486804</v>
          </cell>
        </row>
        <row r="690">
          <cell r="B690" t="str">
            <v>EGEO</v>
          </cell>
          <cell r="C690" t="str">
            <v>VAR_fout</v>
          </cell>
          <cell r="D690" t="str">
            <v>ELC35</v>
          </cell>
          <cell r="I690">
            <v>5.8409003546072507E-4</v>
          </cell>
          <cell r="J690">
            <v>3.2041770316103531</v>
          </cell>
        </row>
        <row r="691">
          <cell r="B691" t="str">
            <v>EGEO</v>
          </cell>
          <cell r="C691" t="str">
            <v>VAR_fin</v>
          </cell>
          <cell r="D691" t="str">
            <v>GEO</v>
          </cell>
          <cell r="I691">
            <v>3.8939335697381681E-3</v>
          </cell>
          <cell r="J691">
            <v>21.361180210735661</v>
          </cell>
        </row>
        <row r="692">
          <cell r="B692" t="str">
            <v>EGEO</v>
          </cell>
          <cell r="C692" t="str">
            <v>VAR_ncap</v>
          </cell>
          <cell r="D692" t="str">
            <v>-</v>
          </cell>
          <cell r="I692">
            <v>2.3179140194622898E-5</v>
          </cell>
          <cell r="J692">
            <v>0.12712670407959001</v>
          </cell>
        </row>
        <row r="693">
          <cell r="B693" t="str">
            <v>EGEO</v>
          </cell>
          <cell r="C693" t="str">
            <v>VAR_cap</v>
          </cell>
          <cell r="D693" t="str">
            <v>-</v>
          </cell>
          <cell r="I693">
            <v>2.3179140194622898E-5</v>
          </cell>
          <cell r="J693">
            <v>0.12714988321978399</v>
          </cell>
        </row>
        <row r="694">
          <cell r="B694" t="str">
            <v>D-SPLT</v>
          </cell>
          <cell r="C694" t="str">
            <v>VAR_fout</v>
          </cell>
          <cell r="D694" t="str">
            <v>SPLT</v>
          </cell>
          <cell r="E694">
            <v>2.0856330961482024</v>
          </cell>
          <cell r="F694">
            <v>2.4000907406811502</v>
          </cell>
          <cell r="G694">
            <v>2.4003230459138751</v>
          </cell>
          <cell r="H694">
            <v>2.4733969228876256</v>
          </cell>
          <cell r="I694">
            <v>3.0725575313369591</v>
          </cell>
          <cell r="J694">
            <v>2.4744286717084605</v>
          </cell>
        </row>
        <row r="695">
          <cell r="B695" t="str">
            <v>D-SPLT</v>
          </cell>
          <cell r="C695" t="str">
            <v>VAR_fin</v>
          </cell>
          <cell r="D695" t="str">
            <v>PLT</v>
          </cell>
          <cell r="E695">
            <v>2.0856330961482024</v>
          </cell>
          <cell r="F695">
            <v>2.4000907406811502</v>
          </cell>
          <cell r="G695">
            <v>2.4003230459138751</v>
          </cell>
          <cell r="H695">
            <v>2.4733969228876256</v>
          </cell>
          <cell r="I695">
            <v>3.0725575313369591</v>
          </cell>
          <cell r="J695">
            <v>2.4744286717084605</v>
          </cell>
        </row>
        <row r="696">
          <cell r="B696" t="str">
            <v>RHES-ESOLPV</v>
          </cell>
          <cell r="C696" t="str">
            <v>VAR_fout</v>
          </cell>
          <cell r="D696" t="str">
            <v>RHES_SOL_ELC</v>
          </cell>
          <cell r="E696">
            <v>2.1349390887346629</v>
          </cell>
          <cell r="F696">
            <v>2.8857158594353951</v>
          </cell>
          <cell r="G696">
            <v>3.4417576885091621</v>
          </cell>
          <cell r="H696">
            <v>4.1854343844205131</v>
          </cell>
          <cell r="I696">
            <v>5.6248665952744323</v>
          </cell>
          <cell r="J696">
            <v>7.5593528569911514</v>
          </cell>
        </row>
        <row r="697">
          <cell r="B697" t="str">
            <v>RHES-ESOLPV</v>
          </cell>
          <cell r="C697" t="str">
            <v>VAR_fin</v>
          </cell>
          <cell r="D697" t="str">
            <v>SOL</v>
          </cell>
          <cell r="E697">
            <v>2.1349390887346629</v>
          </cell>
          <cell r="F697">
            <v>2.8857158594353951</v>
          </cell>
          <cell r="G697">
            <v>3.4417576885091621</v>
          </cell>
          <cell r="H697">
            <v>4.1854343844205131</v>
          </cell>
          <cell r="I697">
            <v>5.6248665952744323</v>
          </cell>
          <cell r="J697">
            <v>7.5593528569911514</v>
          </cell>
        </row>
        <row r="698">
          <cell r="B698" t="str">
            <v>RHES-ESOLPV</v>
          </cell>
          <cell r="C698" t="str">
            <v>VAR_fin</v>
          </cell>
          <cell r="D698" t="str">
            <v>SOLPVC</v>
          </cell>
          <cell r="E698">
            <v>2.1349390887346602</v>
          </cell>
          <cell r="F698">
            <v>2.8857158594354</v>
          </cell>
          <cell r="G698">
            <v>3.4417576885091701</v>
          </cell>
          <cell r="H698">
            <v>4.1854343844205104</v>
          </cell>
          <cell r="I698">
            <v>5.6248665952744297</v>
          </cell>
          <cell r="J698">
            <v>7.5593528569911497</v>
          </cell>
        </row>
        <row r="699">
          <cell r="B699" t="str">
            <v>RHES-ESOLPV</v>
          </cell>
          <cell r="C699" t="str">
            <v>VAR_ncap</v>
          </cell>
          <cell r="D699" t="str">
            <v>-</v>
          </cell>
          <cell r="G699">
            <v>0.141713856750946</v>
          </cell>
          <cell r="H699">
            <v>0.202650648529804</v>
          </cell>
          <cell r="I699">
            <v>0.68250164751106701</v>
          </cell>
          <cell r="J699">
            <v>1.1132036030021799</v>
          </cell>
        </row>
        <row r="700">
          <cell r="B700" t="str">
            <v>RHES-ESOLPV</v>
          </cell>
          <cell r="C700" t="str">
            <v>VAR_cap</v>
          </cell>
          <cell r="D700" t="str">
            <v>-</v>
          </cell>
          <cell r="E700">
            <v>0.67885700000000004</v>
          </cell>
          <cell r="F700">
            <v>0.899057</v>
          </cell>
          <cell r="G700">
            <v>1.0407708567509459</v>
          </cell>
          <cell r="H700">
            <v>1.206538670337133</v>
          </cell>
          <cell r="I700">
            <v>1.621485001283596</v>
          </cell>
          <cell r="J700">
            <v>2.1791409742804899</v>
          </cell>
        </row>
        <row r="701">
          <cell r="B701" t="str">
            <v>SUP_DAC</v>
          </cell>
          <cell r="C701" t="str">
            <v>VAR_fout</v>
          </cell>
          <cell r="D701" t="str">
            <v>CO2_O</v>
          </cell>
          <cell r="I701">
            <v>9.4445211627684338E-5</v>
          </cell>
          <cell r="J701">
            <v>5.8692946248147058E-4</v>
          </cell>
        </row>
        <row r="702">
          <cell r="B702" t="str">
            <v>SUP_DAC</v>
          </cell>
          <cell r="C702" t="str">
            <v>VAR_fout</v>
          </cell>
          <cell r="D702" t="str">
            <v>CO2</v>
          </cell>
          <cell r="I702">
            <v>-9.4445211627684297E-5</v>
          </cell>
          <cell r="J702">
            <v>-5.8692946248147101E-4</v>
          </cell>
        </row>
        <row r="703">
          <cell r="B703" t="str">
            <v>SUP_DAC</v>
          </cell>
          <cell r="C703" t="str">
            <v>VAR_fin</v>
          </cell>
          <cell r="D703" t="str">
            <v>CHEAT</v>
          </cell>
          <cell r="I703">
            <v>6.2798324321620977E-7</v>
          </cell>
          <cell r="J703">
            <v>3.7409536887343564E-6</v>
          </cell>
        </row>
        <row r="704">
          <cell r="B704" t="str">
            <v>SUP_DAC</v>
          </cell>
          <cell r="C704" t="str">
            <v>VAR_fin</v>
          </cell>
          <cell r="D704" t="str">
            <v>CELC</v>
          </cell>
          <cell r="I704">
            <v>1.3096402679038902E-7</v>
          </cell>
          <cell r="J704">
            <v>5.3410581085813808E-7</v>
          </cell>
        </row>
        <row r="705">
          <cell r="B705" t="str">
            <v>SUP_DAC</v>
          </cell>
          <cell r="C705" t="str">
            <v>VAR_ncap</v>
          </cell>
          <cell r="D705" t="str">
            <v>-</v>
          </cell>
          <cell r="I705">
            <v>2.5816292806485399E-5</v>
          </cell>
          <cell r="J705">
            <v>6.3505262144871697E-5</v>
          </cell>
        </row>
        <row r="706">
          <cell r="B706" t="str">
            <v>SUP_DAC</v>
          </cell>
          <cell r="C706" t="str">
            <v>VAR_cap</v>
          </cell>
          <cell r="D706" t="str">
            <v>-</v>
          </cell>
          <cell r="I706">
            <v>2.5816292806485399E-5</v>
          </cell>
          <cell r="J706">
            <v>8.2126177817429827E-5</v>
          </cell>
        </row>
        <row r="707">
          <cell r="B707" t="str">
            <v>EHYD-DAM10</v>
          </cell>
          <cell r="C707" t="str">
            <v>VAR_fout</v>
          </cell>
          <cell r="D707" t="str">
            <v>ELC</v>
          </cell>
          <cell r="F707">
            <v>5.0864866329596904E-4</v>
          </cell>
          <cell r="G707">
            <v>1.3623610414100775E-3</v>
          </cell>
          <cell r="H707">
            <v>0.69883303334503089</v>
          </cell>
          <cell r="I707">
            <v>0.73677541071034947</v>
          </cell>
          <cell r="J707">
            <v>0.68223936198495283</v>
          </cell>
        </row>
        <row r="708">
          <cell r="B708" t="str">
            <v>EHYD-DAM10</v>
          </cell>
          <cell r="C708" t="str">
            <v>VAR_fin</v>
          </cell>
          <cell r="D708" t="str">
            <v>HYDD</v>
          </cell>
          <cell r="F708">
            <v>5.0864866329596904E-4</v>
          </cell>
          <cell r="G708">
            <v>1.3623610414100775E-3</v>
          </cell>
          <cell r="H708">
            <v>0.69883303334503089</v>
          </cell>
          <cell r="I708">
            <v>0.73677541071034947</v>
          </cell>
          <cell r="J708">
            <v>0.68223936198495283</v>
          </cell>
        </row>
        <row r="709">
          <cell r="B709" t="str">
            <v>EHYD-DAM10</v>
          </cell>
          <cell r="C709" t="str">
            <v>VAR_ncap</v>
          </cell>
          <cell r="D709" t="str">
            <v>-</v>
          </cell>
          <cell r="F709">
            <v>6.9849802097408107E-5</v>
          </cell>
          <cell r="G709">
            <v>7.8512360222720599E-5</v>
          </cell>
          <cell r="H709">
            <v>7.5152268685754794E-2</v>
          </cell>
          <cell r="I709">
            <v>1.9619015203744501E-8</v>
          </cell>
          <cell r="J709">
            <v>1.01823630356491E-7</v>
          </cell>
        </row>
        <row r="710">
          <cell r="B710" t="str">
            <v>EHYD-DAM10</v>
          </cell>
          <cell r="C710" t="str">
            <v>VAR_cap</v>
          </cell>
          <cell r="D710" t="str">
            <v>-</v>
          </cell>
          <cell r="F710">
            <v>6.9849802097408107E-5</v>
          </cell>
          <cell r="G710">
            <v>1.4836216232012899E-4</v>
          </cell>
          <cell r="H710">
            <v>7.5300630848074895E-2</v>
          </cell>
          <cell r="I710">
            <v>7.5300862211830993E-2</v>
          </cell>
          <cell r="J710">
            <v>7.5300964035461299E-2</v>
          </cell>
        </row>
        <row r="711">
          <cell r="B711" t="str">
            <v>DH-EBAT</v>
          </cell>
          <cell r="C711" t="str">
            <v>VAR_fout</v>
          </cell>
          <cell r="D711" t="str">
            <v>ELC35</v>
          </cell>
          <cell r="E711">
            <v>6.4438962310693163E-5</v>
          </cell>
          <cell r="F711">
            <v>5.0479184474412595E-5</v>
          </cell>
          <cell r="G711">
            <v>6.4887300704795717E-5</v>
          </cell>
        </row>
        <row r="712">
          <cell r="B712" t="str">
            <v>DH-EBAT</v>
          </cell>
          <cell r="C712" t="str">
            <v>VAR_fout</v>
          </cell>
          <cell r="D712" t="str">
            <v>AUX_DH-EBAT_OUT</v>
          </cell>
          <cell r="E712">
            <v>6.4438962310693149E-5</v>
          </cell>
          <cell r="F712">
            <v>5.0479184474412582E-5</v>
          </cell>
          <cell r="G712">
            <v>6.488730070479569E-5</v>
          </cell>
        </row>
        <row r="713">
          <cell r="B713" t="str">
            <v>DH-EBAT</v>
          </cell>
          <cell r="C713" t="str">
            <v>VAR_fin</v>
          </cell>
          <cell r="D713" t="str">
            <v>ELC35</v>
          </cell>
          <cell r="E713">
            <v>7.2075429127109854E-5</v>
          </cell>
          <cell r="F713">
            <v>5.6450318887533272E-5</v>
          </cell>
          <cell r="G713">
            <v>7.2578015243697833E-5</v>
          </cell>
        </row>
        <row r="714">
          <cell r="B714" t="str">
            <v>DH-EBAT</v>
          </cell>
          <cell r="C714" t="str">
            <v>VAR_fin</v>
          </cell>
          <cell r="D714" t="str">
            <v>AUX_DH-EBAT_IN</v>
          </cell>
          <cell r="E714">
            <v>7.2075429127109854E-5</v>
          </cell>
          <cell r="F714">
            <v>5.6450318887533272E-5</v>
          </cell>
          <cell r="G714">
            <v>7.2578015243697833E-5</v>
          </cell>
        </row>
        <row r="715">
          <cell r="B715" t="str">
            <v>DH-EBAT</v>
          </cell>
          <cell r="C715" t="str">
            <v>VAR_ncap</v>
          </cell>
          <cell r="D715" t="str">
            <v>-</v>
          </cell>
          <cell r="E715">
            <v>8.9174679069201793E-6</v>
          </cell>
          <cell r="F715">
            <v>1.0776718250208701E-8</v>
          </cell>
          <cell r="G715">
            <v>2.30664725674134E-8</v>
          </cell>
          <cell r="I715">
            <v>2.7103401318709399E-5</v>
          </cell>
          <cell r="J715">
            <v>8.0012390848351004E-5</v>
          </cell>
        </row>
        <row r="716">
          <cell r="B716" t="str">
            <v>DH-EBAT</v>
          </cell>
          <cell r="C716" t="str">
            <v>VAR_cap</v>
          </cell>
          <cell r="D716" t="str">
            <v>-</v>
          </cell>
          <cell r="E716">
            <v>8.9174679069201793E-6</v>
          </cell>
          <cell r="F716">
            <v>8.9282446251703907E-6</v>
          </cell>
          <cell r="G716">
            <v>8.9513110977378005E-6</v>
          </cell>
          <cell r="H716">
            <v>6.5454552601978908E-6</v>
          </cell>
          <cell r="I716">
            <v>3.4712803667430303E-5</v>
          </cell>
          <cell r="J716">
            <v>9.4935325674205335E-5</v>
          </cell>
        </row>
        <row r="717">
          <cell r="B717" t="str">
            <v>RHEM-EBAT</v>
          </cell>
          <cell r="C717" t="str">
            <v>VAR_fout</v>
          </cell>
          <cell r="D717" t="str">
            <v>RHEM_ELC</v>
          </cell>
          <cell r="E717">
            <v>2.3684055742486733E-5</v>
          </cell>
          <cell r="F717">
            <v>2.3583096882242654E-5</v>
          </cell>
          <cell r="G717">
            <v>2.3732029844266289E-5</v>
          </cell>
          <cell r="H717">
            <v>9.773626392799654E-4</v>
          </cell>
          <cell r="I717">
            <v>7.4336954420407345E-2</v>
          </cell>
          <cell r="J717">
            <v>0.18851700602388527</v>
          </cell>
        </row>
        <row r="718">
          <cell r="B718" t="str">
            <v>RHEM-EBAT</v>
          </cell>
          <cell r="C718" t="str">
            <v>VAR_fout</v>
          </cell>
          <cell r="D718" t="str">
            <v>AUX_RHEM-EBAT_OUT</v>
          </cell>
          <cell r="E718">
            <v>2.3684055742486763E-5</v>
          </cell>
          <cell r="F718">
            <v>2.3583096882242667E-5</v>
          </cell>
          <cell r="G718">
            <v>2.3732029844266316E-5</v>
          </cell>
          <cell r="H718">
            <v>9.7736263927996584E-4</v>
          </cell>
          <cell r="I718">
            <v>7.4336954420407358E-2</v>
          </cell>
          <cell r="J718">
            <v>0.1885170060238856</v>
          </cell>
        </row>
        <row r="719">
          <cell r="B719" t="str">
            <v>RHEM-EBAT</v>
          </cell>
          <cell r="C719" t="str">
            <v>VAR_fin</v>
          </cell>
          <cell r="D719" t="str">
            <v>RHEM_ELC</v>
          </cell>
          <cell r="E719">
            <v>2.6309957611937936E-5</v>
          </cell>
          <cell r="F719">
            <v>2.6191083932637313E-5</v>
          </cell>
          <cell r="G719">
            <v>2.6277805591413615E-5</v>
          </cell>
          <cell r="H719">
            <v>1.0808646310567639E-3</v>
          </cell>
          <cell r="I719">
            <v>8.2206648099821769E-2</v>
          </cell>
          <cell r="J719">
            <v>0.20847432982575079</v>
          </cell>
        </row>
        <row r="720">
          <cell r="B720" t="str">
            <v>RHEM-EBAT</v>
          </cell>
          <cell r="C720" t="str">
            <v>VAR_fin</v>
          </cell>
          <cell r="D720" t="str">
            <v>AUX_RHEM-EBAT_IN</v>
          </cell>
          <cell r="E720">
            <v>2.6309957611937936E-5</v>
          </cell>
          <cell r="F720">
            <v>2.6191083932637313E-5</v>
          </cell>
          <cell r="G720">
            <v>2.6277805591413615E-5</v>
          </cell>
          <cell r="H720">
            <v>1.0808646310567639E-3</v>
          </cell>
          <cell r="I720">
            <v>8.2206648099821769E-2</v>
          </cell>
          <cell r="J720">
            <v>0.20847432982575079</v>
          </cell>
        </row>
        <row r="721">
          <cell r="B721" t="str">
            <v>RHEM-EBAT</v>
          </cell>
          <cell r="C721" t="str">
            <v>VAR_ncap</v>
          </cell>
          <cell r="D721" t="str">
            <v>-</v>
          </cell>
          <cell r="E721">
            <v>6.9100034561517203E-6</v>
          </cell>
          <cell r="F721">
            <v>1.4326494258432301E-8</v>
          </cell>
          <cell r="G721">
            <v>6.1771033372642396E-8</v>
          </cell>
          <cell r="H721">
            <v>2.0694470652759301E-2</v>
          </cell>
          <cell r="I721">
            <v>5.1591522240166401E-2</v>
          </cell>
          <cell r="J721">
            <v>6.7234747899354505E-2</v>
          </cell>
        </row>
        <row r="722">
          <cell r="B722" t="str">
            <v>RHEM-EBAT</v>
          </cell>
          <cell r="C722" t="str">
            <v>VAR_cap</v>
          </cell>
          <cell r="D722" t="str">
            <v>-</v>
          </cell>
          <cell r="E722">
            <v>9.6746382546651307E-6</v>
          </cell>
          <cell r="F722">
            <v>9.6889647489235602E-6</v>
          </cell>
          <cell r="G722">
            <v>9.75073578229621E-6</v>
          </cell>
          <cell r="H722">
            <v>2.0699600879204201E-2</v>
          </cell>
          <cell r="I722">
            <v>7.530263263003531E-2</v>
          </cell>
          <cell r="J722">
            <v>9.6625953516890822E-2</v>
          </cell>
        </row>
        <row r="723">
          <cell r="B723" t="str">
            <v>HPLGEO</v>
          </cell>
          <cell r="C723" t="str">
            <v>VAR_fout</v>
          </cell>
          <cell r="D723" t="str">
            <v>LTH</v>
          </cell>
          <cell r="I723">
            <v>6.4130596595807785E-7</v>
          </cell>
          <cell r="J723">
            <v>4.0686259470128893E-7</v>
          </cell>
        </row>
        <row r="724">
          <cell r="B724" t="str">
            <v>HPLGEO</v>
          </cell>
          <cell r="C724" t="str">
            <v>VAR_fin</v>
          </cell>
          <cell r="D724" t="str">
            <v>GEO</v>
          </cell>
          <cell r="I724">
            <v>7.5447760700950362E-7</v>
          </cell>
          <cell r="J724">
            <v>4.786618761191634E-7</v>
          </cell>
        </row>
        <row r="725">
          <cell r="B725" t="str">
            <v>HPLGEO</v>
          </cell>
          <cell r="C725" t="str">
            <v>VAR_ncap</v>
          </cell>
          <cell r="D725" t="str">
            <v>-</v>
          </cell>
          <cell r="I725">
            <v>1.4506153551880499E-7</v>
          </cell>
        </row>
        <row r="726">
          <cell r="B726" t="str">
            <v>HPLGEO</v>
          </cell>
          <cell r="C726" t="str">
            <v>VAR_cap</v>
          </cell>
          <cell r="D726" t="str">
            <v>-</v>
          </cell>
          <cell r="I726">
            <v>1.4506153551880499E-7</v>
          </cell>
          <cell r="J726">
            <v>1.4506153551880499E-7</v>
          </cell>
        </row>
        <row r="727">
          <cell r="B727" t="str">
            <v>CT_CWODBDSCCS</v>
          </cell>
          <cell r="C727" t="str">
            <v>VAR_fout</v>
          </cell>
          <cell r="D727" t="str">
            <v>CO2_O</v>
          </cell>
          <cell r="I727">
            <v>8.6380977129897965E-4</v>
          </cell>
          <cell r="J727">
            <v>638.4538212852824</v>
          </cell>
        </row>
        <row r="728">
          <cell r="B728" t="str">
            <v>CT_CWODBDSCCS</v>
          </cell>
          <cell r="C728" t="str">
            <v>VAR_fout</v>
          </cell>
          <cell r="D728" t="str">
            <v>CO2</v>
          </cell>
          <cell r="I728">
            <v>-8.6380977129897998E-4</v>
          </cell>
          <cell r="J728">
            <v>-638.45382128528195</v>
          </cell>
        </row>
        <row r="729">
          <cell r="B729" t="str">
            <v>CT_CWODBDSCCS</v>
          </cell>
          <cell r="C729" t="str">
            <v>VAR_fout</v>
          </cell>
          <cell r="D729" t="str">
            <v>BDS</v>
          </cell>
          <cell r="I729">
            <v>5.1169291508916167E-6</v>
          </cell>
          <cell r="J729">
            <v>3.5723563953513291</v>
          </cell>
        </row>
        <row r="730">
          <cell r="B730" t="str">
            <v>CT_CWODBDSCCS</v>
          </cell>
          <cell r="C730" t="str">
            <v>VAR_fout</v>
          </cell>
          <cell r="D730" t="str">
            <v>LTH</v>
          </cell>
          <cell r="I730">
            <v>1.6013524203112497E-6</v>
          </cell>
          <cell r="J730">
            <v>1.393218994187017</v>
          </cell>
        </row>
        <row r="731">
          <cell r="B731" t="str">
            <v>CT_CWODBDSCCS</v>
          </cell>
          <cell r="C731" t="str">
            <v>VAR_fin</v>
          </cell>
          <cell r="D731" t="str">
            <v>CWOD</v>
          </cell>
          <cell r="I731">
            <v>1.7132558487878703E-5</v>
          </cell>
          <cell r="J731">
            <v>10.179429548553607</v>
          </cell>
        </row>
        <row r="732">
          <cell r="B732" t="str">
            <v>CT_CWODBDSCCS</v>
          </cell>
          <cell r="C732" t="str">
            <v>VAR_fin</v>
          </cell>
          <cell r="D732" t="str">
            <v>CELC</v>
          </cell>
          <cell r="J732">
            <v>0.46108908786704911</v>
          </cell>
        </row>
        <row r="733">
          <cell r="B733" t="str">
            <v>CT_CWODBDSCCS</v>
          </cell>
          <cell r="C733" t="str">
            <v>VAR_ncap</v>
          </cell>
          <cell r="D733" t="str">
            <v>-</v>
          </cell>
          <cell r="I733">
            <v>5.1215934928744198E-7</v>
          </cell>
          <cell r="J733">
            <v>0.18524345402249001</v>
          </cell>
        </row>
        <row r="734">
          <cell r="B734" t="str">
            <v>CT_CWODBDSCCS</v>
          </cell>
          <cell r="C734" t="str">
            <v>VAR_cap</v>
          </cell>
          <cell r="D734" t="str">
            <v>-</v>
          </cell>
          <cell r="I734">
            <v>5.1215934928744198E-7</v>
          </cell>
          <cell r="J734">
            <v>0.185243966181839</v>
          </cell>
        </row>
        <row r="735">
          <cell r="B735" t="str">
            <v>EHYD-PUM15</v>
          </cell>
          <cell r="C735" t="str">
            <v>VAR_fout</v>
          </cell>
          <cell r="D735" t="str">
            <v>ELC</v>
          </cell>
          <cell r="F735">
            <v>4.5516802216191726E-5</v>
          </cell>
          <cell r="G735">
            <v>7.134675125080266E-5</v>
          </cell>
          <cell r="H735">
            <v>7.978401020735408E-5</v>
          </cell>
          <cell r="I735">
            <v>6.7282554295260431E-5</v>
          </cell>
          <cell r="J735">
            <v>6.3952616891554726E-5</v>
          </cell>
        </row>
        <row r="736">
          <cell r="B736" t="str">
            <v>EHYD-PUM15</v>
          </cell>
          <cell r="C736" t="str">
            <v>VAR_fout</v>
          </cell>
          <cell r="D736" t="str">
            <v>AUX_PUMP_OUT</v>
          </cell>
          <cell r="F736">
            <v>4.5516802216191726E-5</v>
          </cell>
          <cell r="G736">
            <v>7.134675125080266E-5</v>
          </cell>
          <cell r="H736">
            <v>7.978401020735408E-5</v>
          </cell>
          <cell r="I736">
            <v>6.7282554295260431E-5</v>
          </cell>
          <cell r="J736">
            <v>6.3952616891554726E-5</v>
          </cell>
        </row>
        <row r="737">
          <cell r="B737" t="str">
            <v>EHYD-PUM15</v>
          </cell>
          <cell r="C737" t="str">
            <v>VAR_fin</v>
          </cell>
          <cell r="D737" t="str">
            <v>AUX_PUMP_IN</v>
          </cell>
          <cell r="F737">
            <v>5.6941842659276344E-5</v>
          </cell>
          <cell r="G737">
            <v>8.9212912970612276E-5</v>
          </cell>
          <cell r="H737">
            <v>9.9703329098440859E-5</v>
          </cell>
          <cell r="I737">
            <v>8.4064164567388403E-5</v>
          </cell>
          <cell r="J737">
            <v>7.9912261100386879E-5</v>
          </cell>
        </row>
        <row r="738">
          <cell r="B738" t="str">
            <v>EHYD-PUM15</v>
          </cell>
          <cell r="C738" t="str">
            <v>VAR_fin</v>
          </cell>
          <cell r="D738" t="str">
            <v>ELC</v>
          </cell>
          <cell r="F738">
            <v>5.6941842659276344E-5</v>
          </cell>
          <cell r="G738">
            <v>8.9212912970612276E-5</v>
          </cell>
          <cell r="H738">
            <v>9.9703329098440859E-5</v>
          </cell>
          <cell r="I738">
            <v>8.4064164567388403E-5</v>
          </cell>
          <cell r="J738">
            <v>7.9912261100386879E-5</v>
          </cell>
        </row>
        <row r="739">
          <cell r="B739" t="str">
            <v>EHYD-PUM15</v>
          </cell>
          <cell r="C739" t="str">
            <v>VAR_ncap</v>
          </cell>
          <cell r="D739" t="str">
            <v>-</v>
          </cell>
          <cell r="F739">
            <v>6.7370454652968199E-6</v>
          </cell>
          <cell r="G739">
            <v>2.0484538839543101E-8</v>
          </cell>
        </row>
        <row r="740">
          <cell r="B740" t="str">
            <v>EHYD-PUM15</v>
          </cell>
          <cell r="C740" t="str">
            <v>VAR_cap</v>
          </cell>
          <cell r="D740" t="str">
            <v>-</v>
          </cell>
          <cell r="F740">
            <v>6.7370454652968199E-6</v>
          </cell>
          <cell r="G740">
            <v>6.7575300041363699E-6</v>
          </cell>
          <cell r="H740">
            <v>6.7575300041363699E-6</v>
          </cell>
          <cell r="I740">
            <v>7.1023927056852997E-6</v>
          </cell>
          <cell r="J740">
            <v>7.1023927056852997E-6</v>
          </cell>
        </row>
        <row r="741">
          <cell r="B741" t="str">
            <v>D-EWST</v>
          </cell>
          <cell r="C741" t="str">
            <v>VAR_fout</v>
          </cell>
          <cell r="D741" t="str">
            <v>CO2</v>
          </cell>
          <cell r="E741">
            <v>2236.6449816906602</v>
          </cell>
          <cell r="F741">
            <v>2269.2712031316</v>
          </cell>
          <cell r="G741">
            <v>2268.78182844909</v>
          </cell>
          <cell r="H741">
            <v>2238.5106803950898</v>
          </cell>
          <cell r="I741">
            <v>2266.09848686539</v>
          </cell>
          <cell r="J741">
            <v>2317.3895540939802</v>
          </cell>
        </row>
        <row r="742">
          <cell r="B742" t="str">
            <v>D-EWST</v>
          </cell>
          <cell r="C742" t="str">
            <v>VAR_fout</v>
          </cell>
          <cell r="D742" t="str">
            <v>EWST</v>
          </cell>
          <cell r="E742">
            <v>48.203555639884847</v>
          </cell>
          <cell r="F742">
            <v>48.906707082434963</v>
          </cell>
          <cell r="G742">
            <v>48.896160340552171</v>
          </cell>
          <cell r="H742">
            <v>48.243764768180618</v>
          </cell>
          <cell r="I742">
            <v>48.838329458305751</v>
          </cell>
          <cell r="J742">
            <v>49.94374038995646</v>
          </cell>
        </row>
        <row r="743">
          <cell r="B743" t="str">
            <v>D-EWST</v>
          </cell>
          <cell r="C743" t="str">
            <v>VAR_fin</v>
          </cell>
          <cell r="D743" t="str">
            <v>WSTNREN</v>
          </cell>
          <cell r="E743">
            <v>24.101777819942416</v>
          </cell>
          <cell r="F743">
            <v>24.453353482021527</v>
          </cell>
          <cell r="G743">
            <v>24.448080047942753</v>
          </cell>
          <cell r="H743">
            <v>24.121882331843643</v>
          </cell>
          <cell r="I743">
            <v>24.419164729152868</v>
          </cell>
          <cell r="J743">
            <v>24.971870194978241</v>
          </cell>
        </row>
        <row r="744">
          <cell r="B744" t="str">
            <v>D-EWST</v>
          </cell>
          <cell r="C744" t="str">
            <v>VAR_fin</v>
          </cell>
          <cell r="D744" t="str">
            <v>WSTREN</v>
          </cell>
          <cell r="E744">
            <v>24.101777819942416</v>
          </cell>
          <cell r="F744">
            <v>24.453353482021527</v>
          </cell>
          <cell r="G744">
            <v>24.448080047942753</v>
          </cell>
          <cell r="H744">
            <v>24.121882331843643</v>
          </cell>
          <cell r="I744">
            <v>24.419164729152868</v>
          </cell>
          <cell r="J744">
            <v>24.971870194978241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1.3138138723040216E-3</v>
          </cell>
          <cell r="E4">
            <v>28.614197069055354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1.9033859600285687E-4</v>
          </cell>
          <cell r="E5">
            <v>1.2052891070055741E-3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3.9339681029836276E-4</v>
          </cell>
          <cell r="E6">
            <v>21.708237898571745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6.8827003691488689E-4</v>
          </cell>
          <cell r="E7">
            <v>6.904563589735794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407.12861676512682</v>
          </cell>
          <cell r="E8">
            <v>1140.9248965879244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1.8060705506545677E-2</v>
          </cell>
          <cell r="E9">
            <v>1.6150617409426336E-2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454.14371864170482</v>
          </cell>
          <cell r="E10">
            <v>1088.6107433545292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157.36664683342542</v>
          </cell>
          <cell r="E11">
            <v>715.22155370019254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3.5005776857671561E-3</v>
          </cell>
          <cell r="E12">
            <v>14.708011348946824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7.2852729639131814E-5</v>
          </cell>
          <cell r="E13">
            <v>1.3799655906831287E-4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803.411310513079</v>
          </cell>
          <cell r="E14">
            <v>1207.6884792752189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6.279523462549938E-3</v>
          </cell>
          <cell r="E15">
            <v>83.012600364447451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1.5140228159956537E-3</v>
          </cell>
          <cell r="E16">
            <v>1646.4541519359389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1026.0864650639626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4.3214094529246119E-4</v>
          </cell>
          <cell r="E18">
            <v>6.7511282437375791E-4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D19">
            <v>3.0119345793142909E-3</v>
          </cell>
          <cell r="E19">
            <v>679.39785056544792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E20">
            <v>3.2618155918960047E-5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9.4445211627684338E-5</v>
          </cell>
          <cell r="E21">
            <v>5.8692946248147058E-4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8.6380977129897965E-4</v>
          </cell>
          <cell r="E22">
            <v>638.4538212852824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1822.0826711527357</v>
          </cell>
          <cell r="E23">
            <v>8240.5751269084285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833.33333802934635</v>
          </cell>
          <cell r="E24">
            <v>1904.7619050006481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833.33333333333235</v>
          </cell>
          <cell r="E25">
            <v>1904.7619050006481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988.7480193095189</v>
          </cell>
          <cell r="E26">
            <v>6307.1990248386965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988.74802036996346</v>
          </cell>
          <cell r="E27">
            <v>6307.1990248386965</v>
          </cell>
        </row>
      </sheetData>
      <sheetData sheetId="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0.13797372244371806</v>
          </cell>
          <cell r="F4">
            <v>3.4045796670374817E-6</v>
          </cell>
          <cell r="H4">
            <v>8.3539446584680109E-6</v>
          </cell>
          <cell r="I4">
            <v>8.6438128207419016</v>
          </cell>
        </row>
        <row r="5">
          <cell r="A5" t="str">
            <v>EXPELC_DE</v>
          </cell>
          <cell r="C5" t="str">
            <v>ELC_E-DE</v>
          </cell>
          <cell r="D5">
            <v>26.492979292328812</v>
          </cell>
          <cell r="E5">
            <v>1.3066219133423507E-5</v>
          </cell>
          <cell r="F5">
            <v>1.4606676733103649E-5</v>
          </cell>
          <cell r="G5">
            <v>6.3058389073971903E-6</v>
          </cell>
          <cell r="H5">
            <v>1.8645556525821396</v>
          </cell>
          <cell r="I5">
            <v>1.8515082065484949</v>
          </cell>
        </row>
        <row r="6">
          <cell r="A6" t="str">
            <v>IMPDSL</v>
          </cell>
          <cell r="C6" t="str">
            <v>DSL</v>
          </cell>
          <cell r="D6">
            <v>119.5592058186251</v>
          </cell>
          <cell r="E6">
            <v>113.32234593403416</v>
          </cell>
          <cell r="F6">
            <v>95.369744914432061</v>
          </cell>
          <cell r="G6">
            <v>65.727097252376069</v>
          </cell>
          <cell r="H6">
            <v>41.954590183650168</v>
          </cell>
          <cell r="I6">
            <v>1.6310246780803693E-5</v>
          </cell>
        </row>
        <row r="7">
          <cell r="A7" t="str">
            <v>IMPH2</v>
          </cell>
          <cell r="C7" t="str">
            <v>H2</v>
          </cell>
          <cell r="H7">
            <v>0.16845214574394482</v>
          </cell>
          <cell r="I7">
            <v>0.16845191554830247</v>
          </cell>
        </row>
        <row r="8">
          <cell r="A8" t="str">
            <v>IMPELC_AT</v>
          </cell>
          <cell r="C8" t="str">
            <v>ELC_I-AT</v>
          </cell>
          <cell r="D8">
            <v>15.013805504334533</v>
          </cell>
          <cell r="E8">
            <v>4.2254506991970349</v>
          </cell>
          <cell r="F8">
            <v>0.84049951406179213</v>
          </cell>
          <cell r="G8">
            <v>0.52857976241037152</v>
          </cell>
          <cell r="H8">
            <v>4.2597332928535217E-3</v>
          </cell>
          <cell r="I8">
            <v>5.4439029078142323</v>
          </cell>
        </row>
        <row r="9">
          <cell r="A9" t="str">
            <v>IMPELC_AT</v>
          </cell>
          <cell r="C9" t="str">
            <v>ELCS</v>
          </cell>
          <cell r="D9">
            <v>15.013805504334533</v>
          </cell>
          <cell r="E9">
            <v>4.2254506991970349</v>
          </cell>
          <cell r="F9">
            <v>0.84049951406179213</v>
          </cell>
          <cell r="G9">
            <v>0.52857976241037152</v>
          </cell>
          <cell r="H9">
            <v>4.2597332928535217E-3</v>
          </cell>
          <cell r="I9">
            <v>5.4439029078142323</v>
          </cell>
        </row>
        <row r="10">
          <cell r="A10" t="str">
            <v>IMPELC_FR</v>
          </cell>
          <cell r="C10" t="str">
            <v>ELC_I-FR</v>
          </cell>
          <cell r="D10">
            <v>28.948621077814021</v>
          </cell>
          <cell r="E10">
            <v>17.910578729563415</v>
          </cell>
          <cell r="F10">
            <v>23.501984143694667</v>
          </cell>
          <cell r="G10">
            <v>13.508778235176798</v>
          </cell>
          <cell r="H10">
            <v>14.134873138610718</v>
          </cell>
          <cell r="I10">
            <v>12.247090805787071</v>
          </cell>
        </row>
        <row r="11">
          <cell r="A11" t="str">
            <v>IMPELC_FR</v>
          </cell>
          <cell r="C11" t="str">
            <v>ELCS</v>
          </cell>
          <cell r="D11">
            <v>28.948621077814021</v>
          </cell>
          <cell r="E11">
            <v>17.910578729563415</v>
          </cell>
          <cell r="F11">
            <v>23.501984143694667</v>
          </cell>
          <cell r="G11">
            <v>13.508778235176798</v>
          </cell>
          <cell r="H11">
            <v>14.134873138610718</v>
          </cell>
          <cell r="I11">
            <v>12.247090805787071</v>
          </cell>
        </row>
        <row r="12">
          <cell r="A12" t="str">
            <v>RNWHYDR1</v>
          </cell>
          <cell r="C12" t="str">
            <v>HYDR</v>
          </cell>
          <cell r="D12">
            <v>66.632400083472717</v>
          </cell>
          <cell r="E12">
            <v>55.764000065768997</v>
          </cell>
          <cell r="F12">
            <v>65.547550949863876</v>
          </cell>
          <cell r="G12">
            <v>64.46266238111555</v>
          </cell>
          <cell r="H12">
            <v>62.292915065927822</v>
          </cell>
          <cell r="I12">
            <v>66.134970443047877</v>
          </cell>
        </row>
        <row r="13">
          <cell r="A13" t="str">
            <v>EXPELC_IT</v>
          </cell>
          <cell r="C13" t="str">
            <v>ELC_E-IT</v>
          </cell>
          <cell r="D13">
            <v>71.694107738000127</v>
          </cell>
          <cell r="E13">
            <v>34.14349303301379</v>
          </cell>
          <cell r="F13">
            <v>54.69220886946885</v>
          </cell>
          <cell r="G13">
            <v>31.018985794677963</v>
          </cell>
          <cell r="H13">
            <v>20.633211292269234</v>
          </cell>
          <cell r="I13">
            <v>18.205357422751558</v>
          </cell>
        </row>
        <row r="14">
          <cell r="A14" t="str">
            <v>IMPLNG</v>
          </cell>
          <cell r="C14" t="str">
            <v>LBIO</v>
          </cell>
          <cell r="G14">
            <v>4.2324773561681653E-5</v>
          </cell>
          <cell r="H14">
            <v>0.4403410391157761</v>
          </cell>
          <cell r="I14">
            <v>2.1356910564674685</v>
          </cell>
        </row>
        <row r="15">
          <cell r="A15" t="str">
            <v>IMPLNG</v>
          </cell>
          <cell r="C15" t="str">
            <v>LNGA</v>
          </cell>
          <cell r="G15">
            <v>3.2764699931330512E-5</v>
          </cell>
          <cell r="H15">
            <v>3.9598093923101877E-5</v>
          </cell>
          <cell r="I15">
            <v>8.9323578330805309E-6</v>
          </cell>
        </row>
        <row r="16">
          <cell r="A16" t="str">
            <v>IMPURN1</v>
          </cell>
          <cell r="C16" t="str">
            <v>URN</v>
          </cell>
          <cell r="D16">
            <v>250.94816993910675</v>
          </cell>
          <cell r="E16">
            <v>253.30010753605376</v>
          </cell>
          <cell r="F16">
            <v>211.79437589419962</v>
          </cell>
          <cell r="G16">
            <v>211.90230409526569</v>
          </cell>
          <cell r="H16">
            <v>98.945499486224335</v>
          </cell>
        </row>
        <row r="17">
          <cell r="A17" t="str">
            <v>EXPELC_AT</v>
          </cell>
          <cell r="C17" t="str">
            <v>ELC_E-AT</v>
          </cell>
          <cell r="D17">
            <v>6.2295545153372132</v>
          </cell>
          <cell r="E17">
            <v>1.3829738799688838E-5</v>
          </cell>
          <cell r="F17">
            <v>1.6491983624573344E-5</v>
          </cell>
          <cell r="G17">
            <v>7.3793321548193555E-6</v>
          </cell>
          <cell r="H17">
            <v>9.7010314467498276E-2</v>
          </cell>
          <cell r="I17">
            <v>9.0249920037775724E-2</v>
          </cell>
        </row>
        <row r="18">
          <cell r="A18" t="str">
            <v>EXPELC_FR</v>
          </cell>
          <cell r="C18" t="str">
            <v>ELC_E-FR</v>
          </cell>
          <cell r="D18">
            <v>12.753358585989826</v>
          </cell>
          <cell r="E18">
            <v>1.256802835345464E-5</v>
          </cell>
          <cell r="F18">
            <v>1.2039816607540773E-5</v>
          </cell>
          <cell r="G18">
            <v>4.4684558499160161E-6</v>
          </cell>
          <cell r="H18">
            <v>1.9614280301223679E-2</v>
          </cell>
          <cell r="I18">
            <v>0.84830395792784186</v>
          </cell>
        </row>
        <row r="19">
          <cell r="A19" t="str">
            <v>RNWWND1</v>
          </cell>
          <cell r="C19" t="str">
            <v>WND</v>
          </cell>
          <cell r="D19">
            <v>0.52391703937892431</v>
          </cell>
          <cell r="E19">
            <v>0.55071635556234366</v>
          </cell>
          <cell r="F19">
            <v>1.9352885270678821</v>
          </cell>
          <cell r="G19">
            <v>2.5200003450903319</v>
          </cell>
          <cell r="H19">
            <v>2.5200001922212043</v>
          </cell>
          <cell r="I19">
            <v>2.5200002027419726</v>
          </cell>
        </row>
        <row r="20">
          <cell r="A20" t="str">
            <v>RNWWND2</v>
          </cell>
          <cell r="C20" t="str">
            <v>WND</v>
          </cell>
          <cell r="D20">
            <v>2.7258355904819029E-5</v>
          </cell>
          <cell r="E20">
            <v>2.7206436968310687E-5</v>
          </cell>
          <cell r="F20">
            <v>2.7683371658421231E-5</v>
          </cell>
          <cell r="G20">
            <v>3.8739015117069528</v>
          </cell>
          <cell r="H20">
            <v>5.4000000112699285</v>
          </cell>
          <cell r="I20">
            <v>5.4000000449701533</v>
          </cell>
        </row>
        <row r="21">
          <cell r="A21" t="str">
            <v>RNWMNR1</v>
          </cell>
          <cell r="C21" t="str">
            <v>MNR</v>
          </cell>
          <cell r="D21">
            <v>3.7976511594351314</v>
          </cell>
          <cell r="E21">
            <v>4.7600165349282175</v>
          </cell>
          <cell r="F21">
            <v>5.1133484197067389</v>
          </cell>
          <cell r="G21">
            <v>5.702235035244458</v>
          </cell>
          <cell r="H21">
            <v>7.1940810462532188</v>
          </cell>
          <cell r="I21">
            <v>8.9999999925399496</v>
          </cell>
        </row>
        <row r="22">
          <cell r="A22" t="str">
            <v>RNWWND3</v>
          </cell>
          <cell r="C22" t="str">
            <v>WND</v>
          </cell>
          <cell r="D22">
            <v>2.4400403970998465E-5</v>
          </cell>
          <cell r="E22">
            <v>2.4339650152797551E-5</v>
          </cell>
          <cell r="F22">
            <v>2.4767647886494242E-5</v>
          </cell>
          <cell r="G22">
            <v>9.2692407475221573E-5</v>
          </cell>
          <cell r="H22">
            <v>7.5599999826859232</v>
          </cell>
          <cell r="I22">
            <v>7.5600000389230413</v>
          </cell>
        </row>
        <row r="23">
          <cell r="A23" t="str">
            <v>RNWMNR2</v>
          </cell>
          <cell r="C23" t="str">
            <v>MNR</v>
          </cell>
          <cell r="D23">
            <v>2.7888702691801281E-4</v>
          </cell>
          <cell r="E23">
            <v>4.7600164952631667</v>
          </cell>
          <cell r="F23">
            <v>5.1133483248494374</v>
          </cell>
          <cell r="G23">
            <v>5.7022349550435329</v>
          </cell>
          <cell r="H23">
            <v>7.1940809393974527</v>
          </cell>
          <cell r="I23">
            <v>8.9999999752499775</v>
          </cell>
        </row>
        <row r="24">
          <cell r="A24" t="str">
            <v>RNWWND4</v>
          </cell>
          <cell r="C24" t="str">
            <v>WND</v>
          </cell>
          <cell r="D24">
            <v>1.7817866415173593E-5</v>
          </cell>
          <cell r="E24">
            <v>1.7736398427038416E-5</v>
          </cell>
          <cell r="F24">
            <v>1.8061795408337115E-5</v>
          </cell>
          <cell r="G24">
            <v>2.1224301432891992E-5</v>
          </cell>
          <cell r="H24">
            <v>2.5001096448297173</v>
          </cell>
          <cell r="I24">
            <v>20.479999948968732</v>
          </cell>
        </row>
        <row r="25">
          <cell r="A25" t="str">
            <v>RNWMNR3</v>
          </cell>
          <cell r="C25" t="str">
            <v>MNR</v>
          </cell>
          <cell r="D25">
            <v>1.5032444509327779E-4</v>
          </cell>
          <cell r="E25">
            <v>4.7600164955225042</v>
          </cell>
          <cell r="F25">
            <v>5.1133482053118886</v>
          </cell>
          <cell r="G25">
            <v>5.7020879425230593</v>
          </cell>
          <cell r="H25">
            <v>2.7183971311299135</v>
          </cell>
          <cell r="I25">
            <v>8.9999999568140154</v>
          </cell>
        </row>
        <row r="26">
          <cell r="A26" t="str">
            <v>IMPLFO1</v>
          </cell>
          <cell r="C26" t="str">
            <v>LFO</v>
          </cell>
          <cell r="D26">
            <v>101.72035513005801</v>
          </cell>
          <cell r="E26">
            <v>89.667566120481922</v>
          </cell>
          <cell r="F26">
            <v>89.030999526031565</v>
          </cell>
          <cell r="G26">
            <v>65.900649195930768</v>
          </cell>
          <cell r="H26">
            <v>32.054578445548863</v>
          </cell>
          <cell r="I26">
            <v>1.6744789827456228E-4</v>
          </cell>
        </row>
        <row r="27">
          <cell r="A27" t="str">
            <v>RNWWND5</v>
          </cell>
          <cell r="C27" t="str">
            <v>WND</v>
          </cell>
          <cell r="D27">
            <v>1.4479880133117845E-5</v>
          </cell>
          <cell r="E27">
            <v>1.4386643793213217E-5</v>
          </cell>
          <cell r="F27">
            <v>1.4652532900842633E-5</v>
          </cell>
          <cell r="G27">
            <v>1.5125047797256348E-5</v>
          </cell>
          <cell r="H27">
            <v>5.654837912743294E-5</v>
          </cell>
          <cell r="I27">
            <v>1.4578682153131725E-4</v>
          </cell>
        </row>
        <row r="28">
          <cell r="A28" t="str">
            <v>IMPBNGA</v>
          </cell>
          <cell r="C28" t="str">
            <v>BIO</v>
          </cell>
          <cell r="E28">
            <v>0.51650000872626167</v>
          </cell>
          <cell r="F28">
            <v>1.1671412360099409</v>
          </cell>
          <cell r="G28">
            <v>2.2314133695747156</v>
          </cell>
          <cell r="H28">
            <v>6.0928613900140327</v>
          </cell>
          <cell r="I28">
            <v>6.8570629340408325E-6</v>
          </cell>
        </row>
        <row r="29">
          <cell r="A29" t="str">
            <v>RNWGEO1</v>
          </cell>
          <cell r="C29" t="str">
            <v>GEO</v>
          </cell>
          <cell r="H29">
            <v>3.5846740950082182E-3</v>
          </cell>
          <cell r="I29">
            <v>21.359999719259303</v>
          </cell>
        </row>
        <row r="30">
          <cell r="A30" t="str">
            <v>RNWGEO2</v>
          </cell>
          <cell r="C30" t="str">
            <v>GEO</v>
          </cell>
          <cell r="H30">
            <v>1.8590278857191645E-4</v>
          </cell>
          <cell r="I30">
            <v>1.0165571677105574E-3</v>
          </cell>
        </row>
        <row r="31">
          <cell r="A31" t="str">
            <v>RNWGEO3</v>
          </cell>
          <cell r="C31" t="str">
            <v>GEO</v>
          </cell>
          <cell r="H31">
            <v>5.5790452451945762E-5</v>
          </cell>
          <cell r="I31">
            <v>7.7427957020617013E-5</v>
          </cell>
        </row>
        <row r="32">
          <cell r="A32" t="str">
            <v>RNWGEO4</v>
          </cell>
          <cell r="C32" t="str">
            <v>GEO</v>
          </cell>
          <cell r="H32">
            <v>3.9273747788952405E-5</v>
          </cell>
          <cell r="I32">
            <v>5.0826102900415359E-5</v>
          </cell>
        </row>
        <row r="33">
          <cell r="A33" t="str">
            <v>RNWGEO5</v>
          </cell>
          <cell r="C33" t="str">
            <v>GEO</v>
          </cell>
          <cell r="H33">
            <v>3.0671696430870192E-5</v>
          </cell>
          <cell r="I33">
            <v>3.7805293217385981E-5</v>
          </cell>
        </row>
        <row r="34">
          <cell r="A34" t="str">
            <v>IMPGSL</v>
          </cell>
          <cell r="C34" t="str">
            <v>GSL</v>
          </cell>
          <cell r="D34">
            <v>79.783814318118615</v>
          </cell>
          <cell r="E34">
            <v>82.884512737867098</v>
          </cell>
          <cell r="F34">
            <v>75.457382833399805</v>
          </cell>
          <cell r="G34">
            <v>41.104506695395131</v>
          </cell>
          <cell r="H34">
            <v>5.8884326353452039</v>
          </cell>
          <cell r="I34">
            <v>0.80428748145110551</v>
          </cell>
        </row>
        <row r="35">
          <cell r="A35" t="str">
            <v>RNWWOD1</v>
          </cell>
          <cell r="C35" t="str">
            <v>WOD</v>
          </cell>
          <cell r="D35">
            <v>10.182339476549727</v>
          </cell>
          <cell r="E35">
            <v>11.152950513118</v>
          </cell>
          <cell r="F35">
            <v>12.608867099096248</v>
          </cell>
          <cell r="G35">
            <v>15.035394751815067</v>
          </cell>
          <cell r="H35">
            <v>17.461922448556315</v>
          </cell>
          <cell r="I35">
            <v>17.46192244946106</v>
          </cell>
        </row>
        <row r="36">
          <cell r="A36" t="str">
            <v>RNWWOD2</v>
          </cell>
          <cell r="C36" t="str">
            <v>WOD</v>
          </cell>
          <cell r="D36">
            <v>7.4592163140853041</v>
          </cell>
          <cell r="E36">
            <v>8.0030401419416926</v>
          </cell>
          <cell r="F36">
            <v>8.8187759136852542</v>
          </cell>
          <cell r="G36">
            <v>10.178335544255187</v>
          </cell>
          <cell r="H36">
            <v>10.230788199722856</v>
          </cell>
          <cell r="I36">
            <v>7.616574214820135</v>
          </cell>
        </row>
        <row r="37">
          <cell r="A37" t="str">
            <v>RNWWOD3</v>
          </cell>
          <cell r="C37" t="str">
            <v>WOD</v>
          </cell>
          <cell r="D37">
            <v>2.6225281799366309</v>
          </cell>
          <cell r="E37">
            <v>3.2650044051615392</v>
          </cell>
          <cell r="F37">
            <v>4.2287187118006182</v>
          </cell>
          <cell r="G37">
            <v>5.834909304339603</v>
          </cell>
          <cell r="H37">
            <v>6.3806238189980835</v>
          </cell>
          <cell r="I37">
            <v>4.2596716986404237</v>
          </cell>
        </row>
        <row r="38">
          <cell r="A38" t="str">
            <v>RNWWOD4</v>
          </cell>
          <cell r="C38" t="str">
            <v>WOD</v>
          </cell>
          <cell r="D38">
            <v>16.967544887185074</v>
          </cell>
          <cell r="E38">
            <v>16.921791936181027</v>
          </cell>
          <cell r="F38">
            <v>16.853162411818296</v>
          </cell>
          <cell r="G38">
            <v>16.366038851101418</v>
          </cell>
          <cell r="H38">
            <v>13.341340751856796</v>
          </cell>
          <cell r="I38">
            <v>21.182977635245386</v>
          </cell>
        </row>
        <row r="39">
          <cell r="A39" t="str">
            <v>RNWWOD5</v>
          </cell>
          <cell r="C39" t="str">
            <v>WOD</v>
          </cell>
          <cell r="D39">
            <v>7.5383713554014697</v>
          </cell>
          <cell r="E39">
            <v>7.9181137403448547</v>
          </cell>
          <cell r="F39">
            <v>4.7513766889707876</v>
          </cell>
          <cell r="G39">
            <v>1.5284642177041217E-5</v>
          </cell>
          <cell r="H39">
            <v>1.9876873118506529E-5</v>
          </cell>
          <cell r="I39">
            <v>13.234507128911115</v>
          </cell>
        </row>
        <row r="40">
          <cell r="A40" t="str">
            <v>RNNWWST1</v>
          </cell>
          <cell r="C40" t="str">
            <v>WSTNREN</v>
          </cell>
          <cell r="D40">
            <v>35.611777921779279</v>
          </cell>
          <cell r="E40">
            <v>35.882382764981671</v>
          </cell>
          <cell r="F40">
            <v>35.489470584792898</v>
          </cell>
          <cell r="G40">
            <v>35.039963306500177</v>
          </cell>
          <cell r="H40">
            <v>35.159447415766437</v>
          </cell>
          <cell r="I40">
            <v>35.603175300201109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17.061889896675645</v>
          </cell>
          <cell r="F41">
            <v>19.784227292781541</v>
          </cell>
          <cell r="G41">
            <v>32.164570559709773</v>
          </cell>
          <cell r="H41">
            <v>61.880356843378266</v>
          </cell>
          <cell r="I41">
            <v>88.635431884274695</v>
          </cell>
        </row>
        <row r="42">
          <cell r="A42" t="str">
            <v>IMPHFO1</v>
          </cell>
          <cell r="C42" t="str">
            <v>HFO</v>
          </cell>
          <cell r="D42">
            <v>2.776368673369157</v>
          </cell>
          <cell r="E42">
            <v>7.8460437530479503E-7</v>
          </cell>
          <cell r="F42">
            <v>9.7379206189155624E-5</v>
          </cell>
          <cell r="G42">
            <v>1.2278254898477964E-5</v>
          </cell>
          <cell r="H42">
            <v>1.1201972704624749E-5</v>
          </cell>
        </row>
        <row r="43">
          <cell r="A43" t="str">
            <v>RNWHYDD1</v>
          </cell>
          <cell r="C43" t="str">
            <v>HYDD</v>
          </cell>
          <cell r="D43">
            <v>66.745680000968164</v>
          </cell>
          <cell r="E43">
            <v>49.18294000525821</v>
          </cell>
          <cell r="F43">
            <v>68.53778796670079</v>
          </cell>
          <cell r="G43">
            <v>70.236607180315318</v>
          </cell>
          <cell r="H43">
            <v>73.020285337032234</v>
          </cell>
          <cell r="I43">
            <v>69.178229752170637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1.9208025784824261</v>
          </cell>
          <cell r="H44">
            <v>0.34329334160641484</v>
          </cell>
          <cell r="I44">
            <v>1.0546912938584366E-5</v>
          </cell>
        </row>
        <row r="45">
          <cell r="A45" t="str">
            <v>IMPBDS</v>
          </cell>
          <cell r="C45" t="str">
            <v>BDS</v>
          </cell>
          <cell r="D45">
            <v>2.6150802314840278</v>
          </cell>
          <cell r="E45">
            <v>2.877266986849047</v>
          </cell>
          <cell r="F45">
            <v>2.6567403254955644</v>
          </cell>
          <cell r="G45">
            <v>3.5818115632608465</v>
          </cell>
          <cell r="H45">
            <v>3.2581230146357765</v>
          </cell>
          <cell r="I45">
            <v>18.63615511257489</v>
          </cell>
        </row>
        <row r="46">
          <cell r="A46" t="str">
            <v>IMPCOA1</v>
          </cell>
          <cell r="C46" t="str">
            <v>COA</v>
          </cell>
          <cell r="D46">
            <v>3.6600000975988638</v>
          </cell>
          <cell r="E46">
            <v>3.5647164394151627</v>
          </cell>
          <cell r="F46">
            <v>5.5054097238399263E-4</v>
          </cell>
          <cell r="G46">
            <v>2.5335217393591058E-5</v>
          </cell>
          <cell r="H46">
            <v>8.7158069587001419E-6</v>
          </cell>
          <cell r="I46">
            <v>2.0932756778315616E-6</v>
          </cell>
        </row>
        <row r="47">
          <cell r="A47" t="str">
            <v>IMPETH</v>
          </cell>
          <cell r="C47" t="str">
            <v>ETH</v>
          </cell>
          <cell r="D47">
            <v>4.4341500078709917</v>
          </cell>
          <cell r="E47">
            <v>4.7998453740174467</v>
          </cell>
          <cell r="F47">
            <v>4.3697310266414453</v>
          </cell>
          <cell r="G47">
            <v>2.3803879506319654</v>
          </cell>
          <cell r="H47">
            <v>6.0404943458949303</v>
          </cell>
          <cell r="I47">
            <v>6.056480446410486</v>
          </cell>
        </row>
        <row r="48">
          <cell r="A48" t="str">
            <v>IMPELC_DE</v>
          </cell>
          <cell r="C48" t="str">
            <v>ELC_I-DE</v>
          </cell>
          <cell r="D48">
            <v>46.398475558524069</v>
          </cell>
          <cell r="E48">
            <v>28.137494090058652</v>
          </cell>
          <cell r="F48">
            <v>25.90287954247421</v>
          </cell>
          <cell r="G48">
            <v>15.750815947300936</v>
          </cell>
          <cell r="H48">
            <v>23.6048149672738</v>
          </cell>
          <cell r="I48">
            <v>14.146511373998184</v>
          </cell>
        </row>
        <row r="49">
          <cell r="A49" t="str">
            <v>IMPELC_DE</v>
          </cell>
          <cell r="C49" t="str">
            <v>ELCS</v>
          </cell>
          <cell r="D49">
            <v>46.398475558524069</v>
          </cell>
          <cell r="E49">
            <v>28.137494090058652</v>
          </cell>
          <cell r="F49">
            <v>25.90287954247421</v>
          </cell>
          <cell r="G49">
            <v>15.750815947300936</v>
          </cell>
          <cell r="H49">
            <v>23.6048149672738</v>
          </cell>
          <cell r="I49">
            <v>14.146511373998184</v>
          </cell>
        </row>
        <row r="50">
          <cell r="A50" t="str">
            <v>RNWWST1</v>
          </cell>
          <cell r="C50" t="str">
            <v>WSTREN</v>
          </cell>
          <cell r="D50">
            <v>33.781100687826012</v>
          </cell>
          <cell r="E50">
            <v>33.781100564123655</v>
          </cell>
          <cell r="F50">
            <v>33.781100567550439</v>
          </cell>
          <cell r="G50">
            <v>33.781100652674681</v>
          </cell>
          <cell r="H50">
            <v>33.781100844554182</v>
          </cell>
          <cell r="I50">
            <v>41.899111051385063</v>
          </cell>
        </row>
        <row r="51">
          <cell r="A51" t="str">
            <v>IMPNGA1</v>
          </cell>
          <cell r="C51" t="str">
            <v>NGA</v>
          </cell>
          <cell r="D51">
            <v>116.89532588910716</v>
          </cell>
          <cell r="E51">
            <v>99.909999995850697</v>
          </cell>
          <cell r="F51">
            <v>109.44986330608405</v>
          </cell>
          <cell r="G51">
            <v>109.00722635192592</v>
          </cell>
          <cell r="H51">
            <v>83.723733221844071</v>
          </cell>
          <cell r="I51">
            <v>53.541515266762637</v>
          </cell>
        </row>
        <row r="52">
          <cell r="A52" t="str">
            <v>IMPELC_IT</v>
          </cell>
          <cell r="C52" t="str">
            <v>ELC_I-IT</v>
          </cell>
          <cell r="D52">
            <v>6.7990978997299063</v>
          </cell>
          <cell r="E52">
            <v>2.0507422698868927E-5</v>
          </cell>
          <cell r="F52">
            <v>0.20645181140708707</v>
          </cell>
          <cell r="G52">
            <v>0.16917670597533865</v>
          </cell>
          <cell r="H52">
            <v>0.25566310540283155</v>
          </cell>
          <cell r="I52">
            <v>0.18164873018742983</v>
          </cell>
        </row>
        <row r="53">
          <cell r="A53" t="str">
            <v>IMPELC_IT</v>
          </cell>
          <cell r="C53" t="str">
            <v>ELCS</v>
          </cell>
          <cell r="D53">
            <v>6.7990978997299063</v>
          </cell>
          <cell r="E53">
            <v>2.0507422698868927E-5</v>
          </cell>
          <cell r="F53">
            <v>0.20645181140708707</v>
          </cell>
          <cell r="G53">
            <v>0.16917670597533865</v>
          </cell>
          <cell r="H53">
            <v>0.25566310540283155</v>
          </cell>
          <cell r="I53">
            <v>0.18164873018742983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3.2682025955248437</v>
          </cell>
          <cell r="E4">
            <v>3.8319808104918933</v>
          </cell>
          <cell r="F4">
            <v>3.7298848598098018</v>
          </cell>
          <cell r="G4">
            <v>3.8822834252648164</v>
          </cell>
          <cell r="H4">
            <v>4.0183109412713289</v>
          </cell>
          <cell r="I4">
            <v>4.259498612571635</v>
          </cell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3.2682025955248437</v>
          </cell>
          <cell r="E5">
            <v>3.8319808104918933</v>
          </cell>
          <cell r="F5">
            <v>3.7298848598098018</v>
          </cell>
          <cell r="G5">
            <v>3.8822834252648164</v>
          </cell>
          <cell r="H5">
            <v>4.0183109412713289</v>
          </cell>
          <cell r="I5">
            <v>4.259498612571635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F6">
            <v>2.0748580371283535E-3</v>
          </cell>
          <cell r="G6">
            <v>2.3428081973568189E-3</v>
          </cell>
          <cell r="H6">
            <v>2.4716180845825247E-3</v>
          </cell>
          <cell r="I6">
            <v>2.82423077164403E-3</v>
          </cell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F7">
            <v>2.0748214317429917E-3</v>
          </cell>
          <cell r="G7">
            <v>2.3427996258185541E-3</v>
          </cell>
          <cell r="H7">
            <v>2.4715558338133849E-3</v>
          </cell>
          <cell r="I7">
            <v>2.8242277441745483E-3</v>
          </cell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3.43460595499231E-4</v>
          </cell>
          <cell r="E8">
            <v>-4.6685498455978598E-8</v>
          </cell>
          <cell r="H8">
            <v>3.41540544545692E-4</v>
          </cell>
          <cell r="I8">
            <v>1.00867525642952E-4</v>
          </cell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3.43460595499231E-4</v>
          </cell>
          <cell r="E9">
            <v>3.4341391000077502E-4</v>
          </cell>
          <cell r="F9">
            <v>3.4341391000077502E-4</v>
          </cell>
          <cell r="G9">
            <v>3.4341391000077502E-4</v>
          </cell>
          <cell r="H9">
            <v>3.41540544545692E-4</v>
          </cell>
          <cell r="I9">
            <v>3.4873494858253399E-4</v>
          </cell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F10">
            <v>3.1395840722113501E-3</v>
          </cell>
          <cell r="G10">
            <v>2.3019949564520499E-3</v>
          </cell>
          <cell r="H10">
            <v>9.7288230281319596E-4</v>
          </cell>
          <cell r="I10">
            <v>1.8103211600669001E-4</v>
          </cell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F11">
            <v>3.8162063292935337E-5</v>
          </cell>
          <cell r="G11">
            <v>2.7981055836566658E-5</v>
          </cell>
          <cell r="H11">
            <v>1.1825514196338602E-5</v>
          </cell>
          <cell r="I11">
            <v>2.2004695240523677E-6</v>
          </cell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F12">
            <v>4.2599512513044092E-5</v>
          </cell>
          <cell r="G12">
            <v>3.1234666980353448E-5</v>
          </cell>
          <cell r="H12">
            <v>1.3200573986610526E-5</v>
          </cell>
          <cell r="I12">
            <v>2.4563380733607814E-6</v>
          </cell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  <cell r="F13">
            <v>3.2909926416531702E-6</v>
          </cell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F14">
            <v>3.2909926416531702E-6</v>
          </cell>
          <cell r="G14">
            <v>3.2909926416531702E-6</v>
          </cell>
          <cell r="H14">
            <v>1.4298765764927684E-6</v>
          </cell>
          <cell r="I14">
            <v>3.6325433133351903E-7</v>
          </cell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F15">
            <v>1.7163557076256102E-2</v>
          </cell>
          <cell r="G15">
            <v>1.66494610072534E-2</v>
          </cell>
          <cell r="H15">
            <v>3.4320201997877802</v>
          </cell>
          <cell r="I15">
            <v>3.4925147228200299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F16">
            <v>6.0863677575376046E-4</v>
          </cell>
          <cell r="G16">
            <v>6.1402267544480543E-4</v>
          </cell>
          <cell r="H16">
            <v>0.1350901568001574</v>
          </cell>
          <cell r="I16">
            <v>0.14490220658508643</v>
          </cell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F17">
            <v>3.0431838787688023E-4</v>
          </cell>
          <cell r="G17">
            <v>2.9520320934846409E-4</v>
          </cell>
          <cell r="H17">
            <v>6.0851421982052865E-2</v>
          </cell>
          <cell r="I17">
            <v>6.1924019908156512E-2</v>
          </cell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F18">
            <v>6.0863677575376046E-4</v>
          </cell>
          <cell r="G18">
            <v>6.1402267544480543E-4</v>
          </cell>
          <cell r="H18">
            <v>0.1350901568001574</v>
          </cell>
          <cell r="I18">
            <v>0.14490220658508643</v>
          </cell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F19">
            <v>4.4886077370297699E-5</v>
          </cell>
          <cell r="G19">
            <v>1.2290622624879301E-7</v>
          </cell>
          <cell r="H19">
            <v>9.3380660200280006E-8</v>
          </cell>
          <cell r="I19">
            <v>6.4166129287887199E-3</v>
          </cell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F20">
            <v>4.4886077370297699E-5</v>
          </cell>
          <cell r="G20">
            <v>4.5008983596546503E-5</v>
          </cell>
          <cell r="H20">
            <v>9.8693208115635794E-3</v>
          </cell>
          <cell r="I20">
            <v>1.05879126689645E-2</v>
          </cell>
        </row>
        <row r="21">
          <cell r="A21" t="str">
            <v>ITOT-SWHPLTBR</v>
          </cell>
          <cell r="B21" t="str">
            <v>VAR_fout</v>
          </cell>
          <cell r="C21" t="str">
            <v>ITOT-SWH</v>
          </cell>
          <cell r="D21">
            <v>0.46151736409547767</v>
          </cell>
          <cell r="E21">
            <v>0.5445747876522874</v>
          </cell>
          <cell r="F21">
            <v>0.54457495251012589</v>
          </cell>
          <cell r="G21">
            <v>0.54457501226742933</v>
          </cell>
          <cell r="H21">
            <v>0.54457518913732006</v>
          </cell>
          <cell r="I21">
            <v>0.5445753398665415</v>
          </cell>
        </row>
        <row r="22">
          <cell r="A22" t="str">
            <v>ITOT-SWHPLTBR</v>
          </cell>
          <cell r="B22" t="str">
            <v>VAR_fin</v>
          </cell>
          <cell r="C22" t="str">
            <v>ITOTPLTBRC</v>
          </cell>
          <cell r="D22">
            <v>0.46151736409547767</v>
          </cell>
          <cell r="E22">
            <v>0.5445747876522874</v>
          </cell>
          <cell r="F22">
            <v>0.54457495251012589</v>
          </cell>
          <cell r="G22">
            <v>0.54457501226742933</v>
          </cell>
          <cell r="H22">
            <v>0.54457518913732006</v>
          </cell>
          <cell r="I22">
            <v>0.5445753398665415</v>
          </cell>
        </row>
        <row r="23">
          <cell r="A23" t="str">
            <v>ITOT-SWHPLTBR</v>
          </cell>
          <cell r="B23" t="str">
            <v>VAR_fin</v>
          </cell>
          <cell r="C23" t="str">
            <v>IPLT</v>
          </cell>
          <cell r="D23">
            <v>0.62578625640064789</v>
          </cell>
          <cell r="E23">
            <v>0.73757307582702647</v>
          </cell>
          <cell r="F23">
            <v>0.7363266963517191</v>
          </cell>
          <cell r="G23">
            <v>0.73425844350664682</v>
          </cell>
          <cell r="H23">
            <v>0.73015667817294327</v>
          </cell>
          <cell r="I23">
            <v>0.7261004531553894</v>
          </cell>
        </row>
        <row r="24">
          <cell r="A24" t="str">
            <v>ITOT-SWHPLTBR</v>
          </cell>
          <cell r="B24" t="str">
            <v>VAR_ncap</v>
          </cell>
          <cell r="C24" t="str">
            <v>-</v>
          </cell>
          <cell r="E24">
            <v>5.1311884275596796E-3</v>
          </cell>
          <cell r="F24">
            <v>7.8387295487288096E-7</v>
          </cell>
          <cell r="G24">
            <v>1.4211622541617801E-3</v>
          </cell>
          <cell r="H24">
            <v>1.3225547793922999E-2</v>
          </cell>
          <cell r="I24">
            <v>2.3020085970180099E-2</v>
          </cell>
        </row>
        <row r="25">
          <cell r="A25" t="str">
            <v>ITOT-SWHPLTBR</v>
          </cell>
          <cell r="B25" t="str">
            <v>VAR_cap</v>
          </cell>
          <cell r="C25" t="str">
            <v>-</v>
          </cell>
          <cell r="D25">
            <v>2.9860759506449799E-2</v>
          </cell>
          <cell r="E25">
            <v>3.4991925207567845E-2</v>
          </cell>
          <cell r="F25">
            <v>3.4992644211730178E-2</v>
          </cell>
          <cell r="G25">
            <v>3.6413741514346183E-2</v>
          </cell>
          <cell r="H25">
            <v>4.0540033069752603E-2</v>
          </cell>
          <cell r="I25">
            <v>4.3761552802287738E-2</v>
          </cell>
        </row>
        <row r="26">
          <cell r="A26" t="str">
            <v>D-RHNS_KEV_WOD_ELC_CHP</v>
          </cell>
          <cell r="B26" t="str">
            <v>VAR_fout</v>
          </cell>
          <cell r="C26" t="str">
            <v>RHNS_ELC</v>
          </cell>
          <cell r="G26">
            <v>7.8474625734615901E-6</v>
          </cell>
          <cell r="H26">
            <v>1.4237260659656327E-5</v>
          </cell>
          <cell r="I26">
            <v>6.572268315492648E-6</v>
          </cell>
        </row>
        <row r="27">
          <cell r="A27" t="str">
            <v>D-RHNS_KEV_WOD_ELC_CHP</v>
          </cell>
          <cell r="B27" t="str">
            <v>VAR_fout</v>
          </cell>
          <cell r="C27" t="str">
            <v>ELC5</v>
          </cell>
          <cell r="G27">
            <v>7.8494451687601521E-6</v>
          </cell>
          <cell r="H27">
            <v>1.4239560535046022E-5</v>
          </cell>
          <cell r="I27">
            <v>6.5736943329790384E-6</v>
          </cell>
        </row>
        <row r="28">
          <cell r="A28" t="str">
            <v>D-RHNS_KEV_WOD_ELC_CHP</v>
          </cell>
          <cell r="B28" t="str">
            <v>VAR_fin</v>
          </cell>
          <cell r="C28" t="str">
            <v>RHNS_KEV_WOD_ELC_CHP</v>
          </cell>
          <cell r="G28">
            <v>1.58072871355628E-5</v>
          </cell>
          <cell r="H28">
            <v>2.8725162485393142E-5</v>
          </cell>
          <cell r="I28">
            <v>1.3060599078986024E-5</v>
          </cell>
        </row>
        <row r="29">
          <cell r="A29" t="str">
            <v>RHSA-WHWODBR</v>
          </cell>
          <cell r="B29" t="str">
            <v>VAR_fout</v>
          </cell>
          <cell r="C29" t="str">
            <v>RHSA-WHWOD</v>
          </cell>
          <cell r="D29">
            <v>0.52046945369871622</v>
          </cell>
          <cell r="E29">
            <v>0.59724017464104362</v>
          </cell>
          <cell r="F29">
            <v>0.34085431464173871</v>
          </cell>
          <cell r="G29">
            <v>0.33608809944732476</v>
          </cell>
          <cell r="H29">
            <v>0.33877964060664473</v>
          </cell>
          <cell r="I29">
            <v>0.18632742768744054</v>
          </cell>
        </row>
        <row r="30">
          <cell r="A30" t="str">
            <v>RHSA-WHWODBR</v>
          </cell>
          <cell r="B30" t="str">
            <v>VAR_fin</v>
          </cell>
          <cell r="C30" t="str">
            <v>RWOD</v>
          </cell>
          <cell r="D30">
            <v>1.0409389073974327</v>
          </cell>
          <cell r="E30">
            <v>1.1944803492820872</v>
          </cell>
          <cell r="F30">
            <v>0.68170862928347753</v>
          </cell>
          <cell r="G30">
            <v>0.67217619889464975</v>
          </cell>
          <cell r="H30">
            <v>0.67755928121328968</v>
          </cell>
          <cell r="I30">
            <v>0.37265485537488119</v>
          </cell>
        </row>
        <row r="31">
          <cell r="A31" t="str">
            <v>RHSA-WHWODBR</v>
          </cell>
          <cell r="B31" t="str">
            <v>VAR_ncap</v>
          </cell>
          <cell r="C31" t="str">
            <v>-</v>
          </cell>
          <cell r="E31">
            <v>5.1112997094631E-3</v>
          </cell>
          <cell r="H31">
            <v>1.0033138121916901E-2</v>
          </cell>
          <cell r="I31">
            <v>1.8586425640291801E-8</v>
          </cell>
        </row>
        <row r="32">
          <cell r="A32" t="str">
            <v>RHSA-WHWODBR</v>
          </cell>
          <cell r="B32" t="str">
            <v>VAR_cap</v>
          </cell>
          <cell r="C32" t="str">
            <v>-</v>
          </cell>
          <cell r="D32">
            <v>3.5322010722483803E-2</v>
          </cell>
          <cell r="E32">
            <v>4.0433310431946902E-2</v>
          </cell>
          <cell r="F32">
            <v>4.0433157661850974E-2</v>
          </cell>
          <cell r="G32">
            <v>4.0433115051764341E-2</v>
          </cell>
          <cell r="H32">
            <v>2.3155623705449799E-2</v>
          </cell>
          <cell r="I32">
            <v>1.28321444853415E-2</v>
          </cell>
        </row>
        <row r="33">
          <cell r="A33" t="str">
            <v>RHES-SHWODBR</v>
          </cell>
          <cell r="B33" t="str">
            <v>VAR_fout</v>
          </cell>
          <cell r="C33" t="str">
            <v>RHES-SHWOD</v>
          </cell>
          <cell r="D33">
            <v>4.387153651442909</v>
          </cell>
          <cell r="E33">
            <v>4.3871505467116885</v>
          </cell>
          <cell r="F33">
            <v>4.2728635607763463</v>
          </cell>
          <cell r="G33">
            <v>4.1840574753182844</v>
          </cell>
          <cell r="H33">
            <v>4.3250633824085991</v>
          </cell>
          <cell r="I33">
            <v>1.9950840807952144</v>
          </cell>
        </row>
        <row r="34">
          <cell r="A34" t="str">
            <v>RHES-SHWODBR</v>
          </cell>
          <cell r="B34" t="str">
            <v>VAR_fin</v>
          </cell>
          <cell r="C34" t="str">
            <v>RWOD</v>
          </cell>
          <cell r="D34">
            <v>6.0932689603373742</v>
          </cell>
          <cell r="E34">
            <v>6.0932646482106758</v>
          </cell>
          <cell r="F34">
            <v>5.9345327233004843</v>
          </cell>
          <cell r="G34">
            <v>5.8111909379420599</v>
          </cell>
          <cell r="H34">
            <v>6.0070324755674989</v>
          </cell>
          <cell r="I34">
            <v>2.7709501122155755</v>
          </cell>
        </row>
        <row r="35">
          <cell r="A35" t="str">
            <v>RHES-SHWODBR</v>
          </cell>
          <cell r="B35" t="str">
            <v>VAR_ncap</v>
          </cell>
          <cell r="C35" t="str">
            <v>-</v>
          </cell>
          <cell r="H35">
            <v>4.4273600346266699E-2</v>
          </cell>
        </row>
        <row r="36">
          <cell r="A36" t="str">
            <v>RHES-SHWODBR</v>
          </cell>
          <cell r="B36" t="str">
            <v>VAR_cap</v>
          </cell>
          <cell r="C36" t="str">
            <v>-</v>
          </cell>
          <cell r="D36">
            <v>0.354428052062076</v>
          </cell>
          <cell r="E36">
            <v>0.354428052062076</v>
          </cell>
          <cell r="F36">
            <v>0.3544279983477564</v>
          </cell>
          <cell r="G36">
            <v>0.35442796589606274</v>
          </cell>
          <cell r="H36">
            <v>0.35002460885932402</v>
          </cell>
          <cell r="I36">
            <v>0.16146187723783201</v>
          </cell>
        </row>
        <row r="37">
          <cell r="A37" t="str">
            <v>D-EH2</v>
          </cell>
          <cell r="B37" t="str">
            <v>VAR_fout</v>
          </cell>
          <cell r="C37" t="str">
            <v>EH2</v>
          </cell>
          <cell r="H37">
            <v>2.0201240221470423E-5</v>
          </cell>
          <cell r="I37">
            <v>0.1135343487566533</v>
          </cell>
        </row>
        <row r="38">
          <cell r="A38" t="str">
            <v>D-EH2</v>
          </cell>
          <cell r="B38" t="str">
            <v>VAR_fin</v>
          </cell>
          <cell r="C38" t="str">
            <v>H2</v>
          </cell>
          <cell r="H38">
            <v>2.0405293153000456E-5</v>
          </cell>
          <cell r="I38">
            <v>0.11468116036025582</v>
          </cell>
        </row>
        <row r="39">
          <cell r="A39" t="str">
            <v>D-EH2</v>
          </cell>
          <cell r="B39" t="str">
            <v>VAR_ncap</v>
          </cell>
          <cell r="C39" t="str">
            <v>-</v>
          </cell>
          <cell r="G39">
            <v>1.1297089155883901E-8</v>
          </cell>
          <cell r="H39">
            <v>8.6730400689891997E-6</v>
          </cell>
          <cell r="I39">
            <v>8.8668164235984406E-3</v>
          </cell>
        </row>
        <row r="40">
          <cell r="A40" t="str">
            <v>D-EH2</v>
          </cell>
          <cell r="B40" t="str">
            <v>VAR_cap</v>
          </cell>
          <cell r="C40" t="str">
            <v>-</v>
          </cell>
          <cell r="G40">
            <v>1.1297089155883901E-8</v>
          </cell>
          <cell r="H40">
            <v>8.7188581528845195E-6</v>
          </cell>
          <cell r="I40">
            <v>8.8755352817513292E-3</v>
          </cell>
        </row>
        <row r="41">
          <cell r="A41" t="str">
            <v>SCOM-SHWODBR</v>
          </cell>
          <cell r="B41" t="str">
            <v>VAR_fout</v>
          </cell>
          <cell r="C41" t="str">
            <v>SCOM-SHWOD</v>
          </cell>
          <cell r="D41">
            <v>6.173544318174911</v>
          </cell>
          <cell r="E41">
            <v>7.1868581344523381</v>
          </cell>
          <cell r="F41">
            <v>6.1647641641691804</v>
          </cell>
          <cell r="G41">
            <v>5.8298699719475051</v>
          </cell>
          <cell r="H41">
            <v>1.7809255335345777</v>
          </cell>
          <cell r="I41">
            <v>0.38459903416038477</v>
          </cell>
        </row>
        <row r="42">
          <cell r="A42" t="str">
            <v>SCOM-SHWODBR</v>
          </cell>
          <cell r="B42" t="str">
            <v>VAR_fin</v>
          </cell>
          <cell r="C42" t="str">
            <v>SWOD</v>
          </cell>
          <cell r="D42">
            <v>8.5743671085762596</v>
          </cell>
          <cell r="E42">
            <v>9.9817474089615832</v>
          </cell>
          <cell r="F42">
            <v>8.562172450234975</v>
          </cell>
          <cell r="G42">
            <v>8.0970416277048631</v>
          </cell>
          <cell r="H42">
            <v>2.47350768546469</v>
          </cell>
          <cell r="I42">
            <v>0.53416532522275662</v>
          </cell>
        </row>
        <row r="43">
          <cell r="A43" t="str">
            <v>SCOM-SHWODBR</v>
          </cell>
          <cell r="B43" t="str">
            <v>VAR_ncap</v>
          </cell>
          <cell r="C43" t="str">
            <v>-</v>
          </cell>
          <cell r="D43">
            <v>5.8229154390774099E-5</v>
          </cell>
          <cell r="E43">
            <v>7.7053698035021295E-2</v>
          </cell>
          <cell r="H43">
            <v>1.60243823957372E-2</v>
          </cell>
        </row>
        <row r="44">
          <cell r="A44" t="str">
            <v>SCOM-SHWODBR</v>
          </cell>
          <cell r="B44" t="str">
            <v>VAR_cap</v>
          </cell>
          <cell r="C44" t="str">
            <v>-</v>
          </cell>
          <cell r="D44">
            <v>0.47847850697150279</v>
          </cell>
          <cell r="E44">
            <v>0.555532205006524</v>
          </cell>
          <cell r="F44">
            <v>0.55553163740981415</v>
          </cell>
          <cell r="G44">
            <v>0.5555315189352914</v>
          </cell>
          <cell r="H44">
            <v>0.13828359462852505</v>
          </cell>
          <cell r="I44">
            <v>4.7552994148819999E-2</v>
          </cell>
        </row>
        <row r="45">
          <cell r="A45" t="str">
            <v>ITOT-SWHLTHCHP</v>
          </cell>
          <cell r="B45" t="str">
            <v>VAR_fout</v>
          </cell>
          <cell r="C45" t="str">
            <v>ITOT-SWH</v>
          </cell>
          <cell r="D45">
            <v>5.1850537025303405</v>
          </cell>
          <cell r="E45">
            <v>5.5675574103865353</v>
          </cell>
          <cell r="F45">
            <v>5.6343058016119141</v>
          </cell>
          <cell r="G45">
            <v>7.1822389097893709</v>
          </cell>
          <cell r="H45">
            <v>10.344565170207691</v>
          </cell>
          <cell r="I45">
            <v>12.758246590982733</v>
          </cell>
        </row>
        <row r="46">
          <cell r="A46" t="str">
            <v>ITOT-SWHLTHCHP</v>
          </cell>
          <cell r="B46" t="str">
            <v>VAR_fin</v>
          </cell>
          <cell r="C46" t="str">
            <v>ITOTLTHCHPC</v>
          </cell>
          <cell r="D46">
            <v>5.1850537025303405</v>
          </cell>
          <cell r="E46">
            <v>5.5675574103865353</v>
          </cell>
          <cell r="F46">
            <v>5.6343058016119141</v>
          </cell>
          <cell r="G46">
            <v>7.1822389097893709</v>
          </cell>
          <cell r="H46">
            <v>10.344565170207691</v>
          </cell>
          <cell r="I46">
            <v>12.758246590982733</v>
          </cell>
        </row>
        <row r="47">
          <cell r="A47" t="str">
            <v>ITOT-SWHLTHCHP</v>
          </cell>
          <cell r="B47" t="str">
            <v>VAR_fin</v>
          </cell>
          <cell r="C47" t="str">
            <v>ITOT_LTH_CHP_ON</v>
          </cell>
          <cell r="D47">
            <v>5.6086390896199898</v>
          </cell>
          <cell r="E47">
            <v>6.0095193103079314</v>
          </cell>
          <cell r="F47">
            <v>6.0621315401890481</v>
          </cell>
          <cell r="G47">
            <v>7.6866625234398072</v>
          </cell>
          <cell r="H47">
            <v>10.955008014496187</v>
          </cell>
          <cell r="I47">
            <v>13.42973325366602</v>
          </cell>
        </row>
        <row r="48">
          <cell r="A48" t="str">
            <v>ITOT-SWHLTHCHP</v>
          </cell>
          <cell r="B48" t="str">
            <v>VAR_ncap</v>
          </cell>
          <cell r="C48" t="str">
            <v>-</v>
          </cell>
          <cell r="E48">
            <v>7.8740222728513503E-4</v>
          </cell>
          <cell r="F48">
            <v>1.86072200740236E-2</v>
          </cell>
          <cell r="G48">
            <v>8.7271485488674305E-2</v>
          </cell>
          <cell r="H48">
            <v>0.42235946273057901</v>
          </cell>
          <cell r="I48">
            <v>0.66646004330367103</v>
          </cell>
        </row>
        <row r="49">
          <cell r="A49" t="str">
            <v>ITOT-SWHLTHCHP</v>
          </cell>
          <cell r="B49" t="str">
            <v>VAR_cap</v>
          </cell>
          <cell r="C49" t="str">
            <v>-</v>
          </cell>
          <cell r="D49">
            <v>0.62661755442165901</v>
          </cell>
          <cell r="E49">
            <v>0.32095834749893914</v>
          </cell>
          <cell r="F49">
            <v>0.33906305252154584</v>
          </cell>
          <cell r="G49">
            <v>0.42561681417902397</v>
          </cell>
          <cell r="H49">
            <v>0.66690749999991583</v>
          </cell>
          <cell r="I49">
            <v>1.0498059756651275</v>
          </cell>
        </row>
        <row r="50">
          <cell r="A50" t="str">
            <v>RHSA-WHSTG-NGAHP</v>
          </cell>
          <cell r="B50" t="str">
            <v>VAR_fout</v>
          </cell>
          <cell r="C50" t="str">
            <v>RHSA-WHANGAH</v>
          </cell>
          <cell r="F50">
            <v>1.7959661502224083E-5</v>
          </cell>
          <cell r="G50">
            <v>3.1185288415736295E-5</v>
          </cell>
          <cell r="H50">
            <v>1.5457353076525147E-3</v>
          </cell>
          <cell r="I50">
            <v>4.8360632817260009E-3</v>
          </cell>
        </row>
        <row r="51">
          <cell r="A51" t="str">
            <v>RHSA-WHSTG-NGAHP</v>
          </cell>
          <cell r="B51" t="str">
            <v>VAR_fin</v>
          </cell>
          <cell r="C51" t="str">
            <v>RHSA-WHANGAH</v>
          </cell>
          <cell r="F51">
            <v>1.7884845063450982E-5</v>
          </cell>
          <cell r="G51">
            <v>3.111556020785572E-5</v>
          </cell>
          <cell r="H51">
            <v>1.5459067361806829E-3</v>
          </cell>
          <cell r="I51">
            <v>4.8362613140766654E-3</v>
          </cell>
        </row>
        <row r="52">
          <cell r="A52" t="str">
            <v>RHSA-WHSTG-NGAHP</v>
          </cell>
          <cell r="B52" t="str">
            <v>VAR_ncap</v>
          </cell>
          <cell r="C52" t="str">
            <v>-</v>
          </cell>
          <cell r="D52">
            <v>1.55678443626948E-7</v>
          </cell>
          <cell r="E52">
            <v>2.0423089624945E-7</v>
          </cell>
          <cell r="F52">
            <v>4.9742400891351803E-6</v>
          </cell>
          <cell r="G52">
            <v>1.26874095474633E-6</v>
          </cell>
          <cell r="H52">
            <v>9.6206152590067591E-7</v>
          </cell>
          <cell r="I52">
            <v>2.8354402720120098E-4</v>
          </cell>
        </row>
        <row r="53">
          <cell r="A53" t="str">
            <v>RHSA-WHSTG-NGAHP</v>
          </cell>
          <cell r="B53" t="str">
            <v>VAR_cap</v>
          </cell>
          <cell r="C53" t="str">
            <v>-</v>
          </cell>
          <cell r="D53">
            <v>1.6001828368745212E-7</v>
          </cell>
          <cell r="E53">
            <v>2.9386457319848097E-8</v>
          </cell>
          <cell r="F53">
            <v>4.9181841454371911E-6</v>
          </cell>
          <cell r="G53">
            <v>5.9596356862933941E-6</v>
          </cell>
          <cell r="H53">
            <v>4.3825804771617787E-4</v>
          </cell>
          <cell r="I53">
            <v>4.6820882657056396E-4</v>
          </cell>
        </row>
        <row r="54">
          <cell r="A54" t="str">
            <v>D-RES_LTH</v>
          </cell>
          <cell r="B54" t="str">
            <v>VAR_fout</v>
          </cell>
          <cell r="C54" t="str">
            <v>RHNS_LTH_DH</v>
          </cell>
          <cell r="E54">
            <v>5.4452431674786958E-2</v>
          </cell>
          <cell r="F54">
            <v>7.2475852573072444E-2</v>
          </cell>
          <cell r="G54">
            <v>0.11672227069129953</v>
          </cell>
          <cell r="H54">
            <v>0.30274686497260678</v>
          </cell>
          <cell r="I54">
            <v>0.45465005977903472</v>
          </cell>
        </row>
        <row r="55">
          <cell r="A55" t="str">
            <v>D-RES_LTH</v>
          </cell>
          <cell r="B55" t="str">
            <v>VAR_fout</v>
          </cell>
          <cell r="C55" t="str">
            <v>RHEM_LTH_DH</v>
          </cell>
          <cell r="D55">
            <v>2.0317104497054577</v>
          </cell>
          <cell r="E55">
            <v>3.758803920195593</v>
          </cell>
          <cell r="F55">
            <v>3.4445302629688599</v>
          </cell>
          <cell r="G55">
            <v>4.1143688879703024</v>
          </cell>
          <cell r="H55">
            <v>3.4661341151390714</v>
          </cell>
          <cell r="I55">
            <v>2.9862494262670771</v>
          </cell>
        </row>
        <row r="56">
          <cell r="A56" t="str">
            <v>D-RES_LTH</v>
          </cell>
          <cell r="B56" t="str">
            <v>VAR_fout</v>
          </cell>
          <cell r="C56" t="str">
            <v>RHES_LTH_DH</v>
          </cell>
          <cell r="D56">
            <v>1.7872784362023391</v>
          </cell>
          <cell r="E56">
            <v>3.53918580296765</v>
          </cell>
          <cell r="F56">
            <v>3.5859182410632009</v>
          </cell>
          <cell r="G56">
            <v>3.3432990634520845</v>
          </cell>
          <cell r="H56">
            <v>2.7127779519420772</v>
          </cell>
          <cell r="I56">
            <v>2.4109018505851898</v>
          </cell>
        </row>
        <row r="57">
          <cell r="A57" t="str">
            <v>D-RES_LTH</v>
          </cell>
          <cell r="B57" t="str">
            <v>VAR_fout</v>
          </cell>
          <cell r="C57" t="str">
            <v>RHSA_LTH</v>
          </cell>
          <cell r="D57">
            <v>4.5210113064189494</v>
          </cell>
          <cell r="E57">
            <v>1.8955477777799188</v>
          </cell>
          <cell r="F57">
            <v>1.8955477834799455</v>
          </cell>
          <cell r="G57">
            <v>1.895547789753294</v>
          </cell>
          <cell r="H57">
            <v>1.8955478073633201</v>
          </cell>
          <cell r="I57">
            <v>1.8955482178943408</v>
          </cell>
        </row>
        <row r="58">
          <cell r="A58" t="str">
            <v>D-RES_LTH</v>
          </cell>
          <cell r="B58" t="str">
            <v>VAR_fout</v>
          </cell>
          <cell r="C58" t="str">
            <v>RHNM_LTH_DH</v>
          </cell>
          <cell r="E58">
            <v>0.35008111119988011</v>
          </cell>
          <cell r="F58">
            <v>0.38254308378153756</v>
          </cell>
          <cell r="G58">
            <v>0.44347226689890451</v>
          </cell>
          <cell r="H58">
            <v>0.59598974396547755</v>
          </cell>
          <cell r="I58">
            <v>1.5391308031588455</v>
          </cell>
        </row>
        <row r="59">
          <cell r="A59" t="str">
            <v>D-RES_LTH</v>
          </cell>
          <cell r="B59" t="str">
            <v>VAR_fin</v>
          </cell>
          <cell r="C59" t="str">
            <v>LTH</v>
          </cell>
          <cell r="D59">
            <v>9.2187282619501634</v>
          </cell>
          <cell r="E59">
            <v>10.609353327504381</v>
          </cell>
          <cell r="F59">
            <v>10.346386750280898</v>
          </cell>
          <cell r="G59">
            <v>10.893227311848005</v>
          </cell>
          <cell r="H59">
            <v>9.787856509519985</v>
          </cell>
          <cell r="I59">
            <v>10.055919722620079</v>
          </cell>
        </row>
        <row r="60">
          <cell r="A60" t="str">
            <v>D-RES_LTH</v>
          </cell>
          <cell r="B60" t="str">
            <v>VAR_ncap</v>
          </cell>
          <cell r="C60" t="str">
            <v>-</v>
          </cell>
          <cell r="D60">
            <v>0.627671746916031</v>
          </cell>
          <cell r="E60">
            <v>3.1465886654025402E-2</v>
          </cell>
          <cell r="F60">
            <v>4.9042463090370704E-3</v>
          </cell>
          <cell r="G60">
            <v>8.6974278260947106E-3</v>
          </cell>
          <cell r="H60">
            <v>1.48142438128234E-2</v>
          </cell>
          <cell r="I60">
            <v>8.3260188503465005E-2</v>
          </cell>
        </row>
        <row r="61">
          <cell r="A61" t="str">
            <v>D-RES_LTH</v>
          </cell>
          <cell r="B61" t="str">
            <v>VAR_cap</v>
          </cell>
          <cell r="C61" t="str">
            <v>-</v>
          </cell>
          <cell r="D61">
            <v>0.627671746916031</v>
          </cell>
          <cell r="E61">
            <v>0.65913763357005695</v>
          </cell>
          <cell r="F61">
            <v>0.66404187987909402</v>
          </cell>
          <cell r="G61">
            <v>0.67273930770518897</v>
          </cell>
          <cell r="H61">
            <v>0.69828301318184804</v>
          </cell>
          <cell r="I61">
            <v>0.78154320168531299</v>
          </cell>
        </row>
        <row r="62">
          <cell r="A62" t="str">
            <v>D-RHEM_NKEV_GAS_ELC_CHP</v>
          </cell>
          <cell r="B62" t="str">
            <v>VAR_fout</v>
          </cell>
          <cell r="C62" t="str">
            <v>ELC5</v>
          </cell>
          <cell r="D62">
            <v>1.0008310137849693E-2</v>
          </cell>
          <cell r="F62">
            <v>1.0418303003838071E-4</v>
          </cell>
          <cell r="G62">
            <v>0.1235726541835812</v>
          </cell>
          <cell r="H62">
            <v>0.19394343549046661</v>
          </cell>
          <cell r="I62">
            <v>0.19907618014666498</v>
          </cell>
        </row>
        <row r="63">
          <cell r="A63" t="str">
            <v>D-RHEM_NKEV_GAS_ELC_CHP</v>
          </cell>
          <cell r="B63" t="str">
            <v>VAR_fout</v>
          </cell>
          <cell r="C63" t="str">
            <v>RHEM_ELC</v>
          </cell>
          <cell r="D63">
            <v>1.7613502124084544E-2</v>
          </cell>
          <cell r="F63">
            <v>1.0415409149584575E-4</v>
          </cell>
          <cell r="G63">
            <v>0.12274536393778157</v>
          </cell>
          <cell r="H63">
            <v>0.19231602055730576</v>
          </cell>
          <cell r="I63">
            <v>0.19767142163484458</v>
          </cell>
        </row>
        <row r="64">
          <cell r="A64" t="str">
            <v>D-RHEM_NKEV_GAS_ELC_CHP</v>
          </cell>
          <cell r="B64" t="str">
            <v>VAR_fin</v>
          </cell>
          <cell r="C64" t="str">
            <v>RHEM_NKEV_GAS_ELC_CHP</v>
          </cell>
          <cell r="D64">
            <v>2.7621812261934216E-2</v>
          </cell>
          <cell r="E64">
            <v>2.6850626569024039E-7</v>
          </cell>
          <cell r="F64">
            <v>2.0819529607247889E-4</v>
          </cell>
          <cell r="G64">
            <v>0.24631801812136275</v>
          </cell>
          <cell r="H64">
            <v>0.38625945604777251</v>
          </cell>
          <cell r="I64">
            <v>0.39674760178150936</v>
          </cell>
        </row>
        <row r="65">
          <cell r="A65" t="str">
            <v>SCOM-SHDEM</v>
          </cell>
          <cell r="B65" t="str">
            <v>VAR_fout</v>
          </cell>
          <cell r="C65" t="str">
            <v>SCOM-SHD</v>
          </cell>
          <cell r="D65">
            <v>73.238308647325297</v>
          </cell>
          <cell r="E65">
            <v>78.632905268904963</v>
          </cell>
          <cell r="F65">
            <v>79.048158815681035</v>
          </cell>
          <cell r="G65">
            <v>77.813610585441779</v>
          </cell>
          <cell r="H65">
            <v>73.989581252979519</v>
          </cell>
          <cell r="I65">
            <v>70.003377177574947</v>
          </cell>
        </row>
        <row r="66">
          <cell r="A66" t="str">
            <v>SCOM-SHDEM</v>
          </cell>
          <cell r="B66" t="str">
            <v>VAR_fin</v>
          </cell>
          <cell r="C66" t="str">
            <v>SCOM-SHCON</v>
          </cell>
          <cell r="E66">
            <v>6.9642354908665434</v>
          </cell>
          <cell r="F66">
            <v>6.9641642167257887</v>
          </cell>
          <cell r="G66">
            <v>9.7725057969188907</v>
          </cell>
          <cell r="H66">
            <v>17.709477792080019</v>
          </cell>
          <cell r="I66">
            <v>21.428159517478758</v>
          </cell>
        </row>
        <row r="67">
          <cell r="A67" t="str">
            <v>SCOM-SHDEM</v>
          </cell>
          <cell r="B67" t="str">
            <v>VAR_fin</v>
          </cell>
          <cell r="C67" t="str">
            <v>SCOM-SHWOD</v>
          </cell>
          <cell r="D67">
            <v>6.173544318174911</v>
          </cell>
          <cell r="E67">
            <v>7.1868581344523381</v>
          </cell>
          <cell r="F67">
            <v>6.1647641641691804</v>
          </cell>
          <cell r="G67">
            <v>5.8298699719475051</v>
          </cell>
          <cell r="H67">
            <v>1.7809255335345777</v>
          </cell>
          <cell r="I67">
            <v>0.38459903416038477</v>
          </cell>
        </row>
        <row r="68">
          <cell r="A68" t="str">
            <v>SCOM-SHDEM</v>
          </cell>
          <cell r="B68" t="str">
            <v>VAR_fin</v>
          </cell>
          <cell r="C68" t="str">
            <v>SCOM-SHH2B</v>
          </cell>
          <cell r="G68">
            <v>1.7454205641267286E-5</v>
          </cell>
          <cell r="H68">
            <v>1.8341465004206045E-5</v>
          </cell>
          <cell r="I68">
            <v>4.72107999668007E-4</v>
          </cell>
        </row>
        <row r="69">
          <cell r="A69" t="str">
            <v>SCOM-SHDEM</v>
          </cell>
          <cell r="B69" t="str">
            <v>VAR_fin</v>
          </cell>
          <cell r="C69" t="str">
            <v>SCOM-SHLTHD</v>
          </cell>
          <cell r="D69">
            <v>5.553900124339834</v>
          </cell>
          <cell r="E69">
            <v>6.0159354028263472</v>
          </cell>
          <cell r="F69">
            <v>6.0159358266379614</v>
          </cell>
          <cell r="G69">
            <v>8.2638786785438523</v>
          </cell>
          <cell r="H69">
            <v>8.4057501887726502</v>
          </cell>
          <cell r="I69">
            <v>8.4057502136333557</v>
          </cell>
        </row>
        <row r="70">
          <cell r="A70" t="str">
            <v>SCOM-SHDEM</v>
          </cell>
          <cell r="B70" t="str">
            <v>VAR_fin</v>
          </cell>
          <cell r="C70" t="str">
            <v>SCOM-SHELCB</v>
          </cell>
          <cell r="D70">
            <v>2.3940342355801221</v>
          </cell>
          <cell r="E70">
            <v>2.1212026523795862</v>
          </cell>
          <cell r="F70">
            <v>2.265083656303561</v>
          </cell>
          <cell r="G70">
            <v>1.9153800411324462</v>
          </cell>
          <cell r="H70">
            <v>1.1580591952871526</v>
          </cell>
          <cell r="I70">
            <v>0.66530041342593504</v>
          </cell>
        </row>
        <row r="71">
          <cell r="A71" t="str">
            <v>SCOM-SHDEM</v>
          </cell>
          <cell r="B71" t="str">
            <v>VAR_fin</v>
          </cell>
          <cell r="C71" t="str">
            <v>SCOM-SHBIO</v>
          </cell>
          <cell r="D71">
            <v>1.2230654916144612</v>
          </cell>
          <cell r="E71">
            <v>1.3407655884015368</v>
          </cell>
          <cell r="F71">
            <v>1.2570336247100018</v>
          </cell>
          <cell r="G71">
            <v>1.3788328891838599</v>
          </cell>
          <cell r="H71">
            <v>4.270168853514078</v>
          </cell>
          <cell r="I71">
            <v>5.9059423246837026</v>
          </cell>
        </row>
        <row r="72">
          <cell r="A72" t="str">
            <v>SCOM-SHDEM</v>
          </cell>
          <cell r="B72" t="str">
            <v>VAR_fin</v>
          </cell>
          <cell r="C72" t="str">
            <v>SCOM-SHELCH</v>
          </cell>
          <cell r="D72">
            <v>4.2612046550994025</v>
          </cell>
          <cell r="E72">
            <v>4.6176479411328799</v>
          </cell>
          <cell r="F72">
            <v>4.8272477851039381</v>
          </cell>
          <cell r="G72">
            <v>5.2017086169054032</v>
          </cell>
          <cell r="H72">
            <v>5.8711704080454643</v>
          </cell>
          <cell r="I72">
            <v>14.887402306900889</v>
          </cell>
        </row>
        <row r="73">
          <cell r="A73" t="str">
            <v>SCOM-SHDEM</v>
          </cell>
          <cell r="B73" t="str">
            <v>VAR_fin</v>
          </cell>
          <cell r="C73" t="str">
            <v>SCOM-SHPLT</v>
          </cell>
          <cell r="D73">
            <v>1.877069786533383</v>
          </cell>
          <cell r="E73">
            <v>2.1600816666130362</v>
          </cell>
          <cell r="F73">
            <v>2.1602907413224881</v>
          </cell>
          <cell r="G73">
            <v>2.2260572305988631</v>
          </cell>
          <cell r="H73">
            <v>2.7653017782032632</v>
          </cell>
          <cell r="I73">
            <v>2.2269858045376161</v>
          </cell>
        </row>
        <row r="74">
          <cell r="A74" t="str">
            <v>SCOM-SHDEM</v>
          </cell>
          <cell r="B74" t="str">
            <v>VAR_fin</v>
          </cell>
          <cell r="C74" t="str">
            <v>SCOM-SHLTHC-NGA</v>
          </cell>
          <cell r="D74">
            <v>0.68564851900115598</v>
          </cell>
          <cell r="E74">
            <v>0.74268839304854684</v>
          </cell>
          <cell r="F74">
            <v>0.64601947560948236</v>
          </cell>
          <cell r="G74">
            <v>0.65888888330074713</v>
          </cell>
          <cell r="H74">
            <v>0.27349807533373055</v>
          </cell>
          <cell r="I74">
            <v>1.0720761839856068E-4</v>
          </cell>
        </row>
        <row r="75">
          <cell r="A75" t="str">
            <v>SCOM-SHDEM</v>
          </cell>
          <cell r="B75" t="str">
            <v>VAR_fin</v>
          </cell>
          <cell r="C75" t="str">
            <v>SCOM-SHSOL</v>
          </cell>
          <cell r="D75">
            <v>0.62699284754878826</v>
          </cell>
          <cell r="E75">
            <v>0.68733129950067029</v>
          </cell>
          <cell r="F75">
            <v>0.68726585908600002</v>
          </cell>
          <cell r="G75">
            <v>0.69716995857449082</v>
          </cell>
          <cell r="H75">
            <v>4.2204774631481401</v>
          </cell>
          <cell r="I75">
            <v>4.3319549866169824</v>
          </cell>
        </row>
        <row r="76">
          <cell r="A76" t="str">
            <v>SCOM-SHDEM</v>
          </cell>
          <cell r="B76" t="str">
            <v>VAR_fin</v>
          </cell>
          <cell r="C76" t="str">
            <v>SCOM-SHLTHC-WOD</v>
          </cell>
          <cell r="G76">
            <v>5.4148211543238578E-5</v>
          </cell>
          <cell r="H76">
            <v>1.233108848003169E-4</v>
          </cell>
          <cell r="I76">
            <v>5.9143738490717288E-5</v>
          </cell>
        </row>
        <row r="77">
          <cell r="A77" t="str">
            <v>SCOM-SHDEM</v>
          </cell>
          <cell r="B77" t="str">
            <v>VAR_fin</v>
          </cell>
          <cell r="C77" t="str">
            <v>SCOM-SHNGA</v>
          </cell>
          <cell r="D77">
            <v>24.189714037441973</v>
          </cell>
          <cell r="E77">
            <v>25.326919685241769</v>
          </cell>
          <cell r="F77">
            <v>24.563069891189492</v>
          </cell>
          <cell r="G77">
            <v>24.452462250192987</v>
          </cell>
          <cell r="H77">
            <v>19.367572978661716</v>
          </cell>
          <cell r="I77">
            <v>9.7597642645279183</v>
          </cell>
        </row>
        <row r="78">
          <cell r="A78" t="str">
            <v>SCOM-SHDEM</v>
          </cell>
          <cell r="B78" t="str">
            <v>VAR_fin</v>
          </cell>
          <cell r="C78" t="str">
            <v>SCOM-SHNGAH</v>
          </cell>
          <cell r="F78">
            <v>3.2661117758076684E-5</v>
          </cell>
          <cell r="G78">
            <v>2.7880964789464015E-5</v>
          </cell>
          <cell r="H78">
            <v>6.5073639052848028E-4</v>
          </cell>
          <cell r="I78">
            <v>2.6235253742437457E-4</v>
          </cell>
        </row>
        <row r="79">
          <cell r="A79" t="str">
            <v>SCOM-SHDEM</v>
          </cell>
          <cell r="B79" t="str">
            <v>VAR_fin</v>
          </cell>
          <cell r="C79" t="str">
            <v>SCOM-SHLTHC-BIO</v>
          </cell>
          <cell r="D79">
            <v>1.4100645039926922</v>
          </cell>
          <cell r="E79">
            <v>1.527369349303155</v>
          </cell>
          <cell r="F79">
            <v>1.4607855481899965</v>
          </cell>
          <cell r="G79">
            <v>1.232932151994689</v>
          </cell>
          <cell r="H79">
            <v>1.0500833073122982</v>
          </cell>
          <cell r="I79">
            <v>1.2762744247114151</v>
          </cell>
        </row>
        <row r="80">
          <cell r="A80" t="str">
            <v>SCOM-SHDEM</v>
          </cell>
          <cell r="B80" t="str">
            <v>VAR_fin</v>
          </cell>
          <cell r="C80" t="str">
            <v>SCOM-SHLTHC-HFC</v>
          </cell>
          <cell r="G80">
            <v>1.5073726620245865E-5</v>
          </cell>
          <cell r="H80">
            <v>2.0421901425223148E-5</v>
          </cell>
          <cell r="I80">
            <v>2.965441101961139E-5</v>
          </cell>
        </row>
        <row r="81">
          <cell r="A81" t="str">
            <v>SCOM-SHDEM</v>
          </cell>
          <cell r="B81" t="str">
            <v>VAR_fin</v>
          </cell>
          <cell r="C81" t="str">
            <v>SCOM-SHLFO</v>
          </cell>
          <cell r="D81">
            <v>24.843069384565862</v>
          </cell>
          <cell r="E81">
            <v>19.941872511711868</v>
          </cell>
          <cell r="F81">
            <v>22.036469793225752</v>
          </cell>
          <cell r="G81">
            <v>16.183813507337163</v>
          </cell>
          <cell r="H81">
            <v>7.1162880755066844</v>
          </cell>
          <cell r="I81">
            <v>0.73031778497090816</v>
          </cell>
        </row>
        <row r="82">
          <cell r="A82" t="str">
            <v>ITOT-SWHSTG-NGAHP</v>
          </cell>
          <cell r="B82" t="str">
            <v>VAR_fout</v>
          </cell>
          <cell r="C82" t="str">
            <v>ITOT-SWHANGAH</v>
          </cell>
          <cell r="D82">
            <v>1.7026431693413602E-6</v>
          </cell>
          <cell r="E82">
            <v>5.1913015606613755E-6</v>
          </cell>
          <cell r="F82">
            <v>2.0532710715209462E-5</v>
          </cell>
          <cell r="G82">
            <v>1.0495261104582256E-5</v>
          </cell>
          <cell r="H82">
            <v>1.8077401630817542E-5</v>
          </cell>
          <cell r="I82">
            <v>1.3366806871725954E-5</v>
          </cell>
        </row>
        <row r="83">
          <cell r="A83" t="str">
            <v>ITOT-SWHSTG-NGAHP</v>
          </cell>
          <cell r="B83" t="str">
            <v>VAR_fin</v>
          </cell>
          <cell r="C83" t="str">
            <v>ITOT-SWHANGAH</v>
          </cell>
          <cell r="D83">
            <v>1.7026431693413602E-6</v>
          </cell>
          <cell r="E83">
            <v>3.4608566264013934E-6</v>
          </cell>
          <cell r="F83">
            <v>2.6495595586309644E-5</v>
          </cell>
          <cell r="G83">
            <v>1.3120800620122668E-5</v>
          </cell>
          <cell r="H83">
            <v>2.1264489025600554E-5</v>
          </cell>
          <cell r="I83">
            <v>1.4752297054827937E-5</v>
          </cell>
        </row>
        <row r="84">
          <cell r="A84" t="str">
            <v>ITOT-SWHSTG-NGAHP</v>
          </cell>
          <cell r="B84" t="str">
            <v>VAR_ncap</v>
          </cell>
          <cell r="C84" t="str">
            <v>-</v>
          </cell>
          <cell r="D84">
            <v>3.66483332761807E-5</v>
          </cell>
          <cell r="E84">
            <v>7.49707565416805E-8</v>
          </cell>
          <cell r="F84">
            <v>1.9888533065211399E-6</v>
          </cell>
          <cell r="G84">
            <v>3.1173292503006E-7</v>
          </cell>
          <cell r="H84">
            <v>1.5134515041769501E-6</v>
          </cell>
          <cell r="I84">
            <v>1.3525540729765801E-6</v>
          </cell>
        </row>
        <row r="85">
          <cell r="A85" t="str">
            <v>ITOT-SWHSTG-NGAHP</v>
          </cell>
          <cell r="B85" t="str">
            <v>VAR_cap</v>
          </cell>
          <cell r="C85" t="str">
            <v>-</v>
          </cell>
          <cell r="D85">
            <v>3.66483332761807E-5</v>
          </cell>
          <cell r="E85">
            <v>1.2705188774687012E-6</v>
          </cell>
          <cell r="F85">
            <v>3.7226460659413012E-6</v>
          </cell>
          <cell r="G85">
            <v>3.7193980031775982E-6</v>
          </cell>
          <cell r="H85">
            <v>3.0462359836748878E-6</v>
          </cell>
          <cell r="I85">
            <v>2.351595150333186E-6</v>
          </cell>
        </row>
        <row r="86">
          <cell r="A86" t="str">
            <v>ITOT-STG-ELCSPEC</v>
          </cell>
          <cell r="B86" t="str">
            <v>VAR_fout</v>
          </cell>
          <cell r="C86" t="str">
            <v>ITOT-ELS</v>
          </cell>
          <cell r="E86">
            <v>7.0392301985257072E-4</v>
          </cell>
          <cell r="F86">
            <v>8.6294897847702151E-4</v>
          </cell>
          <cell r="G86">
            <v>0.13472655492418242</v>
          </cell>
          <cell r="H86">
            <v>0.67115967575338331</v>
          </cell>
          <cell r="I86">
            <v>0.68407125102781008</v>
          </cell>
        </row>
        <row r="87">
          <cell r="A87" t="str">
            <v>ITOT-STG-ELCSPEC</v>
          </cell>
          <cell r="B87" t="str">
            <v>VAR_fin</v>
          </cell>
          <cell r="C87" t="str">
            <v>ITOT-ELS</v>
          </cell>
          <cell r="E87">
            <v>7.0397638721160819E-4</v>
          </cell>
          <cell r="F87">
            <v>8.6300586659935447E-4</v>
          </cell>
          <cell r="G87">
            <v>0.13472659313570692</v>
          </cell>
          <cell r="H87">
            <v>0.67115971690178278</v>
          </cell>
          <cell r="I87">
            <v>0.68407127965717895</v>
          </cell>
        </row>
        <row r="88">
          <cell r="A88" t="str">
            <v>ITOT-STG-ELCSPEC</v>
          </cell>
          <cell r="B88" t="str">
            <v>VAR_ncap</v>
          </cell>
          <cell r="C88" t="str">
            <v>-</v>
          </cell>
          <cell r="E88">
            <v>2.6106783624822899E-5</v>
          </cell>
          <cell r="F88">
            <v>5.7020571279530002E-6</v>
          </cell>
          <cell r="G88">
            <v>4.7638691912960498E-3</v>
          </cell>
          <cell r="H88">
            <v>3.0870955035434398E-3</v>
          </cell>
          <cell r="I88">
            <v>7.7430654477855998E-3</v>
          </cell>
        </row>
        <row r="89">
          <cell r="A89" t="str">
            <v>ITOT-STG-ELCSPEC</v>
          </cell>
          <cell r="B89" t="str">
            <v>VAR_cap</v>
          </cell>
          <cell r="C89" t="str">
            <v>-</v>
          </cell>
          <cell r="E89">
            <v>2.6106783624822899E-5</v>
          </cell>
          <cell r="F89">
            <v>3.1808840752775902E-5</v>
          </cell>
          <cell r="G89">
            <v>4.7956641283003146E-3</v>
          </cell>
          <cell r="H89">
            <v>2.8539090691892161E-2</v>
          </cell>
          <cell r="I89">
            <v>2.8539191342371165E-2</v>
          </cell>
        </row>
        <row r="90">
          <cell r="A90" t="str">
            <v>D-RHES_LTH_CHPNGA</v>
          </cell>
          <cell r="B90" t="str">
            <v>VAR_fout</v>
          </cell>
          <cell r="C90" t="str">
            <v>RHSA_LTH</v>
          </cell>
          <cell r="D90">
            <v>2.1536187120412245E-5</v>
          </cell>
          <cell r="E90">
            <v>5.5885898011975756E-7</v>
          </cell>
          <cell r="F90">
            <v>7.3866576729040261E-6</v>
          </cell>
          <cell r="G90">
            <v>3.9805466530652215E-6</v>
          </cell>
          <cell r="H90">
            <v>1.871772482195481E-6</v>
          </cell>
          <cell r="I90">
            <v>4.617545837659167E-7</v>
          </cell>
        </row>
        <row r="91">
          <cell r="A91" t="str">
            <v>D-RHES_LTH_CHPNGA</v>
          </cell>
          <cell r="B91" t="str">
            <v>VAR_fout</v>
          </cell>
          <cell r="C91" t="str">
            <v>LTH</v>
          </cell>
          <cell r="H91">
            <v>3.3753766419758562E-7</v>
          </cell>
        </row>
        <row r="92">
          <cell r="A92" t="str">
            <v>D-RHES_LTH_CHPNGA</v>
          </cell>
          <cell r="B92" t="str">
            <v>VAR_fout</v>
          </cell>
          <cell r="C92" t="str">
            <v>RHES_LTH_CHPNGA_ON</v>
          </cell>
          <cell r="D92">
            <v>3.0251806835491984E-2</v>
          </cell>
          <cell r="E92">
            <v>1.0293796957617082E-5</v>
          </cell>
          <cell r="F92">
            <v>7.9960962572630883E-5</v>
          </cell>
          <cell r="G92">
            <v>8.7677952805400599E-5</v>
          </cell>
          <cell r="H92">
            <v>1.4210619318141338E-3</v>
          </cell>
          <cell r="I92">
            <v>1.3168682603812336E-3</v>
          </cell>
        </row>
        <row r="93">
          <cell r="A93" t="str">
            <v>D-RHES_LTH_CHPNGA</v>
          </cell>
          <cell r="B93" t="str">
            <v>VAR_fin</v>
          </cell>
          <cell r="C93" t="str">
            <v>RHES_LTH_CHPNGA</v>
          </cell>
          <cell r="D93">
            <v>3.0273343022612399E-2</v>
          </cell>
          <cell r="E93">
            <v>1.0894303317228633E-5</v>
          </cell>
          <cell r="F93">
            <v>8.7382157419035419E-5</v>
          </cell>
          <cell r="G93">
            <v>9.2193351012191267E-5</v>
          </cell>
          <cell r="H93">
            <v>1.4255036973217731E-3</v>
          </cell>
          <cell r="I93">
            <v>1.3185644699025779E-3</v>
          </cell>
        </row>
        <row r="94">
          <cell r="A94" t="str">
            <v>D-ICOA</v>
          </cell>
          <cell r="B94" t="str">
            <v>VAR_fout</v>
          </cell>
          <cell r="C94" t="str">
            <v>ICOA</v>
          </cell>
          <cell r="D94">
            <v>3.5600000800603699</v>
          </cell>
          <cell r="E94">
            <v>3.4647164345082166</v>
          </cell>
          <cell r="F94">
            <v>5.2137436667387303E-4</v>
          </cell>
          <cell r="G94">
            <v>9.4964022489929411E-6</v>
          </cell>
          <cell r="H94">
            <v>8.7158069587001419E-6</v>
          </cell>
          <cell r="I94">
            <v>2.0932756778315616E-6</v>
          </cell>
        </row>
        <row r="95">
          <cell r="A95" t="str">
            <v>D-ICOA</v>
          </cell>
          <cell r="B95" t="str">
            <v>VAR_fout</v>
          </cell>
          <cell r="C95" t="str">
            <v>CO2</v>
          </cell>
          <cell r="D95">
            <v>330.01200742159602</v>
          </cell>
          <cell r="E95">
            <v>321.179213478912</v>
          </cell>
          <cell r="F95">
            <v>4.8331403790667998E-2</v>
          </cell>
          <cell r="G95">
            <v>8.8031648848164502E-4</v>
          </cell>
          <cell r="H95">
            <v>8.0795530507150296E-4</v>
          </cell>
          <cell r="I95">
            <v>1.94046655334986E-4</v>
          </cell>
        </row>
        <row r="96">
          <cell r="A96" t="str">
            <v>D-ICOA</v>
          </cell>
          <cell r="B96" t="str">
            <v>VAR_fin</v>
          </cell>
          <cell r="C96" t="str">
            <v>COA</v>
          </cell>
          <cell r="D96">
            <v>3.5600000800603699</v>
          </cell>
          <cell r="E96">
            <v>3.4647164345082166</v>
          </cell>
          <cell r="F96">
            <v>5.2137436667387303E-4</v>
          </cell>
          <cell r="G96">
            <v>9.4964022489929411E-6</v>
          </cell>
          <cell r="H96">
            <v>8.7158069587001419E-6</v>
          </cell>
          <cell r="I96">
            <v>2.0932756778315616E-6</v>
          </cell>
        </row>
        <row r="97">
          <cell r="A97" t="str">
            <v>RHEM-SHCONBR1</v>
          </cell>
          <cell r="B97" t="str">
            <v>VAR_fout</v>
          </cell>
          <cell r="C97" t="str">
            <v>RHEM-SHCON</v>
          </cell>
          <cell r="D97">
            <v>0.38978354177048791</v>
          </cell>
          <cell r="E97">
            <v>0.78034515660303716</v>
          </cell>
          <cell r="F97">
            <v>0.78033757840191953</v>
          </cell>
          <cell r="G97">
            <v>0.7803572664043168</v>
          </cell>
          <cell r="H97">
            <v>3.3605651110975696</v>
          </cell>
          <cell r="I97">
            <v>4.2470133069228648</v>
          </cell>
        </row>
        <row r="98">
          <cell r="A98" t="str">
            <v>RHEM-SHCONBR1</v>
          </cell>
          <cell r="B98" t="str">
            <v>VAR_fin</v>
          </cell>
          <cell r="C98" t="str">
            <v>CON</v>
          </cell>
          <cell r="D98">
            <v>0.38978354177048791</v>
          </cell>
          <cell r="E98">
            <v>0.78034515660303716</v>
          </cell>
          <cell r="F98">
            <v>0.78033757840191953</v>
          </cell>
          <cell r="G98">
            <v>0.7803572664043168</v>
          </cell>
          <cell r="H98">
            <v>3.3605651110975696</v>
          </cell>
          <cell r="I98">
            <v>4.2470133069228648</v>
          </cell>
        </row>
        <row r="99">
          <cell r="A99" t="str">
            <v>RHEM-SHCONBR1</v>
          </cell>
          <cell r="B99" t="str">
            <v>VAR_ncap</v>
          </cell>
          <cell r="C99" t="str">
            <v>-</v>
          </cell>
          <cell r="D99">
            <v>2.7551445786811801E-2</v>
          </cell>
          <cell r="E99">
            <v>2.7551445786811801E-2</v>
          </cell>
          <cell r="G99">
            <v>9.8283153423695702E-7</v>
          </cell>
          <cell r="H99">
            <v>0.100706557361395</v>
          </cell>
          <cell r="I99">
            <v>8.7957408514593896E-2</v>
          </cell>
        </row>
        <row r="100">
          <cell r="A100" t="str">
            <v>RHEM-SHCONBR1</v>
          </cell>
          <cell r="B100" t="str">
            <v>VAR_cap</v>
          </cell>
          <cell r="C100" t="str">
            <v>-</v>
          </cell>
          <cell r="D100">
            <v>2.7551445786811801E-2</v>
          </cell>
          <cell r="E100">
            <v>5.5102891573623601E-2</v>
          </cell>
          <cell r="F100">
            <v>5.5102891573623601E-2</v>
          </cell>
          <cell r="G100">
            <v>5.51038744051578E-2</v>
          </cell>
          <cell r="H100">
            <v>0.23731591386935899</v>
          </cell>
          <cell r="I100">
            <v>0.29991514594359697</v>
          </cell>
        </row>
        <row r="101">
          <cell r="A101" t="str">
            <v>RHEM-SHELCBR</v>
          </cell>
          <cell r="B101" t="str">
            <v>VAR_fout</v>
          </cell>
          <cell r="C101" t="str">
            <v>RHEM-SHAELCB</v>
          </cell>
          <cell r="D101">
            <v>4.628023839120126</v>
          </cell>
          <cell r="E101">
            <v>3.6473117346322526</v>
          </cell>
          <cell r="F101">
            <v>3.0937331461044719</v>
          </cell>
          <cell r="G101">
            <v>2.1255394112727028</v>
          </cell>
          <cell r="H101">
            <v>0.91758681161413369</v>
          </cell>
          <cell r="I101">
            <v>0.29206268308852679</v>
          </cell>
        </row>
        <row r="102">
          <cell r="A102" t="str">
            <v>RHEM-SHELCBR</v>
          </cell>
          <cell r="B102" t="str">
            <v>VAR_fin</v>
          </cell>
          <cell r="C102" t="str">
            <v>RHEM_ELC</v>
          </cell>
          <cell r="D102">
            <v>4.8716040411790731</v>
          </cell>
          <cell r="E102">
            <v>3.8392755101392133</v>
          </cell>
          <cell r="F102">
            <v>3.2565612064257592</v>
          </cell>
          <cell r="G102">
            <v>2.2374099066028439</v>
          </cell>
          <cell r="H102">
            <v>0.96588085433066739</v>
          </cell>
          <cell r="I102">
            <v>0.30743440325108079</v>
          </cell>
        </row>
        <row r="103">
          <cell r="A103" t="str">
            <v>RHEM-SHELCBR</v>
          </cell>
          <cell r="B103" t="str">
            <v>VAR_ncap</v>
          </cell>
          <cell r="C103" t="str">
            <v>-</v>
          </cell>
          <cell r="D103">
            <v>3.7742817686351301E-8</v>
          </cell>
          <cell r="G103">
            <v>1.20311634061639E-8</v>
          </cell>
          <cell r="H103">
            <v>6.2892684698218097E-3</v>
          </cell>
          <cell r="I103">
            <v>1.01216493190663E-8</v>
          </cell>
        </row>
        <row r="104">
          <cell r="A104" t="str">
            <v>RHEM-SHELCBR</v>
          </cell>
          <cell r="B104" t="str">
            <v>VAR_cap</v>
          </cell>
          <cell r="C104" t="str">
            <v>-</v>
          </cell>
          <cell r="D104">
            <v>0.32680118169115668</v>
          </cell>
          <cell r="E104">
            <v>0.32680114574700581</v>
          </cell>
          <cell r="F104">
            <v>0.32680096151266075</v>
          </cell>
          <cell r="G104">
            <v>0.25662760971647808</v>
          </cell>
          <cell r="H104">
            <v>6.5472876160470303E-2</v>
          </cell>
          <cell r="I104">
            <v>2.9598638591704352E-2</v>
          </cell>
        </row>
        <row r="105">
          <cell r="A105" t="str">
            <v>RHNM-SHLTHCHPNGA</v>
          </cell>
          <cell r="B105" t="str">
            <v>VAR_fout</v>
          </cell>
          <cell r="C105" t="str">
            <v>RHNM-SHLTHC-NGA</v>
          </cell>
          <cell r="E105">
            <v>2.552319461663398E-3</v>
          </cell>
          <cell r="F105">
            <v>3.0601075617465302E-3</v>
          </cell>
          <cell r="G105">
            <v>2.979426128719083E-3</v>
          </cell>
          <cell r="H105">
            <v>3.3904179256843254E-4</v>
          </cell>
          <cell r="I105">
            <v>5.164082554374943E-5</v>
          </cell>
        </row>
        <row r="106">
          <cell r="A106" t="str">
            <v>RHNM-SHLTHCHPNGA</v>
          </cell>
          <cell r="B106" t="str">
            <v>VAR_fin</v>
          </cell>
          <cell r="C106" t="str">
            <v>RHNMLTHCHPC</v>
          </cell>
          <cell r="E106">
            <v>2.552319461663398E-3</v>
          </cell>
          <cell r="F106">
            <v>3.0601075617465302E-3</v>
          </cell>
          <cell r="G106">
            <v>2.979426128719083E-3</v>
          </cell>
          <cell r="H106">
            <v>3.3904179256843254E-4</v>
          </cell>
          <cell r="I106">
            <v>5.164082554374943E-5</v>
          </cell>
        </row>
        <row r="107">
          <cell r="A107" t="str">
            <v>RHNM-SHLTHCHPNGA</v>
          </cell>
          <cell r="B107" t="str">
            <v>VAR_fin</v>
          </cell>
          <cell r="C107" t="str">
            <v>RHNM_LTH_CHPNGA_ON</v>
          </cell>
          <cell r="E107">
            <v>2.5781004663266642E-3</v>
          </cell>
          <cell r="F107">
            <v>3.0910177391379086E-3</v>
          </cell>
          <cell r="G107">
            <v>3.0095213421404868E-3</v>
          </cell>
          <cell r="H107">
            <v>3.4246645713983096E-4</v>
          </cell>
          <cell r="I107">
            <v>5.2162450044191346E-5</v>
          </cell>
        </row>
        <row r="108">
          <cell r="A108" t="str">
            <v>RHNM-SHLTHCHPNGA</v>
          </cell>
          <cell r="B108" t="str">
            <v>VAR_ncap</v>
          </cell>
          <cell r="C108" t="str">
            <v>-</v>
          </cell>
          <cell r="E108">
            <v>2.3442526536573901E-4</v>
          </cell>
          <cell r="F108">
            <v>1.7299333128030801E-4</v>
          </cell>
          <cell r="G108">
            <v>1.3296284262172801E-4</v>
          </cell>
          <cell r="H108">
            <v>1.9163311897853501E-5</v>
          </cell>
          <cell r="I108">
            <v>2.5146116752756001E-6</v>
          </cell>
        </row>
        <row r="109">
          <cell r="A109" t="str">
            <v>RHNM-SHLTHCHPNGA</v>
          </cell>
          <cell r="B109" t="str">
            <v>VAR_cap</v>
          </cell>
          <cell r="C109" t="str">
            <v>-</v>
          </cell>
          <cell r="E109">
            <v>2.3442526536573901E-4</v>
          </cell>
          <cell r="F109">
            <v>2.3902949721455702E-4</v>
          </cell>
          <cell r="G109">
            <v>2.3407408309329995E-4</v>
          </cell>
          <cell r="H109">
            <v>3.558967373429203E-5</v>
          </cell>
          <cell r="I109">
            <v>5.7688298071589025E-6</v>
          </cell>
        </row>
        <row r="110">
          <cell r="A110" t="str">
            <v>RHEM-SHCONBR2</v>
          </cell>
          <cell r="B110" t="str">
            <v>VAR_fout</v>
          </cell>
          <cell r="C110" t="str">
            <v>RHEM-SHCON</v>
          </cell>
          <cell r="D110">
            <v>0.60709569196134894</v>
          </cell>
          <cell r="E110">
            <v>1.2154044549478602</v>
          </cell>
          <cell r="F110">
            <v>1.215396445459658</v>
          </cell>
          <cell r="G110">
            <v>1.2154030861380034</v>
          </cell>
          <cell r="H110">
            <v>5.2341326542331146</v>
          </cell>
          <cell r="I110">
            <v>6.6148170386306564</v>
          </cell>
        </row>
        <row r="111">
          <cell r="A111" t="str">
            <v>RHEM-SHCONBR2</v>
          </cell>
          <cell r="B111" t="str">
            <v>VAR_fin</v>
          </cell>
          <cell r="C111" t="str">
            <v>CON</v>
          </cell>
          <cell r="D111">
            <v>0.60709569196134894</v>
          </cell>
          <cell r="E111">
            <v>1.2154044549478602</v>
          </cell>
          <cell r="F111">
            <v>1.215396445459658</v>
          </cell>
          <cell r="G111">
            <v>1.2154030861380034</v>
          </cell>
          <cell r="H111">
            <v>5.2341326542331146</v>
          </cell>
          <cell r="I111">
            <v>6.6148170386306564</v>
          </cell>
        </row>
        <row r="112">
          <cell r="A112" t="str">
            <v>RHEM-SHCONBR2</v>
          </cell>
          <cell r="B112" t="str">
            <v>VAR_ncap</v>
          </cell>
          <cell r="C112" t="str">
            <v>-</v>
          </cell>
          <cell r="D112">
            <v>4.2911986648700599E-2</v>
          </cell>
          <cell r="E112">
            <v>4.2911986648700599E-2</v>
          </cell>
          <cell r="G112">
            <v>3.4325901730858802E-8</v>
          </cell>
          <cell r="H112">
            <v>0.15685269217332301</v>
          </cell>
          <cell r="I112">
            <v>0.136997073837545</v>
          </cell>
        </row>
        <row r="113">
          <cell r="A113" t="str">
            <v>RHEM-SHCONBR2</v>
          </cell>
          <cell r="B113" t="str">
            <v>VAR_cap</v>
          </cell>
          <cell r="C113" t="str">
            <v>-</v>
          </cell>
          <cell r="D113">
            <v>4.2911986648700599E-2</v>
          </cell>
          <cell r="E113">
            <v>8.5823973297401199E-2</v>
          </cell>
          <cell r="F113">
            <v>8.5823973297401199E-2</v>
          </cell>
          <cell r="G113">
            <v>8.5824007623302903E-2</v>
          </cell>
          <cell r="H113">
            <v>0.36962329224970503</v>
          </cell>
          <cell r="I113">
            <v>0.46712444499243799</v>
          </cell>
        </row>
        <row r="114">
          <cell r="A114" t="str">
            <v>D-RHSA_LTH</v>
          </cell>
          <cell r="B114" t="str">
            <v>VAR_fout</v>
          </cell>
          <cell r="C114" t="str">
            <v>RHSA_LTH</v>
          </cell>
          <cell r="D114">
            <v>4.5216569787973152E-4</v>
          </cell>
          <cell r="E114">
            <v>1.3431787046624263E-5</v>
          </cell>
          <cell r="F114">
            <v>3.0855279815345592E-5</v>
          </cell>
          <cell r="G114">
            <v>1.3370378151036615E-5</v>
          </cell>
          <cell r="H114">
            <v>1.8345904857098176E-4</v>
          </cell>
          <cell r="I114">
            <v>5.4006301217288887E-6</v>
          </cell>
        </row>
        <row r="115">
          <cell r="A115" t="str">
            <v>D-RHSA_LTH</v>
          </cell>
          <cell r="B115" t="str">
            <v>VAR_fin</v>
          </cell>
          <cell r="C115" t="str">
            <v>RHES_LTH_CHPWOD_ON</v>
          </cell>
          <cell r="H115">
            <v>1.7439076484278799E-6</v>
          </cell>
          <cell r="I115">
            <v>1.031033084632339E-7</v>
          </cell>
        </row>
        <row r="116">
          <cell r="A116" t="str">
            <v>D-RHSA_LTH</v>
          </cell>
          <cell r="B116" t="str">
            <v>VAR_fin</v>
          </cell>
          <cell r="C116" t="str">
            <v>RHNS_LTH_CHPWOD_ON</v>
          </cell>
          <cell r="G116">
            <v>1.6306271988392564E-6</v>
          </cell>
          <cell r="I116">
            <v>3.3476299389165805E-7</v>
          </cell>
        </row>
        <row r="117">
          <cell r="A117" t="str">
            <v>D-RHSA_LTH</v>
          </cell>
          <cell r="B117" t="str">
            <v>VAR_fin</v>
          </cell>
          <cell r="C117" t="str">
            <v>RHEM_LTH_CHPNGA_ON</v>
          </cell>
          <cell r="D117">
            <v>4.4870655910538384E-4</v>
          </cell>
          <cell r="E117">
            <v>1.0858711989292599E-8</v>
          </cell>
          <cell r="F117">
            <v>8.3935408300524062E-6</v>
          </cell>
          <cell r="G117">
            <v>3.50029976519687E-6</v>
          </cell>
          <cell r="H117">
            <v>1.8063793659502358E-4</v>
          </cell>
          <cell r="I117">
            <v>3.1020524069568699E-8</v>
          </cell>
        </row>
        <row r="118">
          <cell r="A118" t="str">
            <v>D-RHSA_LTH</v>
          </cell>
          <cell r="B118" t="str">
            <v>VAR_fin</v>
          </cell>
          <cell r="C118" t="str">
            <v>RHNM_LTH_CHPNGA_ON</v>
          </cell>
          <cell r="E118">
            <v>4.5225670369800323E-6</v>
          </cell>
          <cell r="F118">
            <v>5.129038310910002E-6</v>
          </cell>
          <cell r="G118">
            <v>4.436336579466888E-6</v>
          </cell>
          <cell r="I118">
            <v>1.5602964762145449E-7</v>
          </cell>
        </row>
        <row r="119">
          <cell r="A119" t="str">
            <v>D-RHSA_LTH</v>
          </cell>
          <cell r="B119" t="str">
            <v>VAR_fin</v>
          </cell>
          <cell r="C119" t="str">
            <v>RHES_LTH_CHPNGA_ON</v>
          </cell>
          <cell r="D119">
            <v>1.8942127498840406E-6</v>
          </cell>
          <cell r="E119">
            <v>5.7951556429716051E-6</v>
          </cell>
          <cell r="F119">
            <v>9.730210785119973E-6</v>
          </cell>
          <cell r="H119">
            <v>4.0236204031145386E-7</v>
          </cell>
        </row>
        <row r="120">
          <cell r="A120" t="str">
            <v>D-RHSA_LTH</v>
          </cell>
          <cell r="B120" t="str">
            <v>VAR_fin</v>
          </cell>
          <cell r="C120" t="str">
            <v>RHNS_LTH_CHPNGA_ON</v>
          </cell>
          <cell r="E120">
            <v>2.3455345010622279E-7</v>
          </cell>
          <cell r="F120">
            <v>7.1229512418017742E-6</v>
          </cell>
          <cell r="G120">
            <v>2.5126185165670717E-6</v>
          </cell>
          <cell r="I120">
            <v>9.8063672450102189E-8</v>
          </cell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G121">
            <v>1.6697617535861301E-8</v>
          </cell>
          <cell r="H121">
            <v>3.5720990208129001E-8</v>
          </cell>
          <cell r="I121">
            <v>2.2615215316118499E-8</v>
          </cell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G122">
            <v>1.6697617535861301E-8</v>
          </cell>
          <cell r="H122">
            <v>2.5196120284798902E-8</v>
          </cell>
          <cell r="I122">
            <v>2.6898138393929505E-8</v>
          </cell>
        </row>
        <row r="123">
          <cell r="A123" t="str">
            <v>RHES-SHLTHDH</v>
          </cell>
          <cell r="B123" t="str">
            <v>VAR_fout</v>
          </cell>
          <cell r="C123" t="str">
            <v>RHES-SHLTHD</v>
          </cell>
          <cell r="D123">
            <v>1.7694056518403143</v>
          </cell>
          <cell r="E123">
            <v>3.5037939449379714</v>
          </cell>
          <cell r="F123">
            <v>3.5500590586525687</v>
          </cell>
          <cell r="G123">
            <v>3.3098660728175617</v>
          </cell>
          <cell r="H123">
            <v>2.6856501724226578</v>
          </cell>
          <cell r="I123">
            <v>2.3867928320793355</v>
          </cell>
        </row>
        <row r="124">
          <cell r="A124" t="str">
            <v>RHES-SHLTHDH</v>
          </cell>
          <cell r="B124" t="str">
            <v>VAR_fin</v>
          </cell>
          <cell r="C124" t="str">
            <v>RHESLTHDHC</v>
          </cell>
          <cell r="D124">
            <v>1.7694056518403143</v>
          </cell>
          <cell r="E124">
            <v>3.5037939449379714</v>
          </cell>
          <cell r="F124">
            <v>3.5500590586525687</v>
          </cell>
          <cell r="G124">
            <v>3.3098660728175617</v>
          </cell>
          <cell r="H124">
            <v>2.6856501724226578</v>
          </cell>
          <cell r="I124">
            <v>2.3867928320793355</v>
          </cell>
        </row>
        <row r="125">
          <cell r="A125" t="str">
            <v>RHES-SHLTHDH</v>
          </cell>
          <cell r="B125" t="str">
            <v>VAR_fin</v>
          </cell>
          <cell r="C125" t="str">
            <v>RHES_LTH_DH</v>
          </cell>
          <cell r="D125">
            <v>1.7872784362023391</v>
          </cell>
          <cell r="E125">
            <v>3.53918580296765</v>
          </cell>
          <cell r="F125">
            <v>3.5859182410632009</v>
          </cell>
          <cell r="G125">
            <v>3.3432990634520845</v>
          </cell>
          <cell r="H125">
            <v>2.7127779519420772</v>
          </cell>
          <cell r="I125">
            <v>2.4109018505851898</v>
          </cell>
        </row>
        <row r="126">
          <cell r="A126" t="str">
            <v>RHES-SHLTHDH</v>
          </cell>
          <cell r="B126" t="str">
            <v>VAR_cap</v>
          </cell>
          <cell r="C126" t="str">
            <v>-</v>
          </cell>
          <cell r="D126">
            <v>0.31204626794151202</v>
          </cell>
          <cell r="E126">
            <v>0.31204626794151202</v>
          </cell>
          <cell r="F126">
            <v>0.31204626794151202</v>
          </cell>
          <cell r="G126">
            <v>0.31204626794151202</v>
          </cell>
          <cell r="H126">
            <v>0.31204626794151202</v>
          </cell>
          <cell r="I126">
            <v>0.31204626794151202</v>
          </cell>
        </row>
        <row r="127">
          <cell r="A127" t="str">
            <v>RHEM-SHCONBR3</v>
          </cell>
          <cell r="B127" t="str">
            <v>VAR_fout</v>
          </cell>
          <cell r="C127" t="str">
            <v>RHEM-SHCON</v>
          </cell>
          <cell r="D127">
            <v>0.48782377855288178</v>
          </cell>
          <cell r="E127">
            <v>0.97662187590099292</v>
          </cell>
          <cell r="F127">
            <v>0.97661406338608026</v>
          </cell>
          <cell r="G127">
            <v>0.97662004443312189</v>
          </cell>
          <cell r="H127">
            <v>2.9274553110387846</v>
          </cell>
          <cell r="I127">
            <v>5.0086499235673836</v>
          </cell>
        </row>
        <row r="128">
          <cell r="A128" t="str">
            <v>RHEM-SHCONBR3</v>
          </cell>
          <cell r="B128" t="str">
            <v>VAR_fin</v>
          </cell>
          <cell r="C128" t="str">
            <v>CON</v>
          </cell>
          <cell r="D128">
            <v>0.48782377855288178</v>
          </cell>
          <cell r="E128">
            <v>0.97662187590099292</v>
          </cell>
          <cell r="F128">
            <v>0.97661406338608026</v>
          </cell>
          <cell r="G128">
            <v>0.97662004443312189</v>
          </cell>
          <cell r="H128">
            <v>2.9274553110387846</v>
          </cell>
          <cell r="I128">
            <v>5.0086499235673836</v>
          </cell>
        </row>
        <row r="129">
          <cell r="A129" t="str">
            <v>RHEM-SHCONBR3</v>
          </cell>
          <cell r="B129" t="str">
            <v>VAR_ncap</v>
          </cell>
          <cell r="C129" t="str">
            <v>-</v>
          </cell>
          <cell r="D129">
            <v>3.44813439133239E-2</v>
          </cell>
          <cell r="E129">
            <v>3.44813439133239E-2</v>
          </cell>
          <cell r="H129">
            <v>0.12603684995606801</v>
          </cell>
          <cell r="I129">
            <v>0.17870602260260501</v>
          </cell>
        </row>
        <row r="130">
          <cell r="A130" t="str">
            <v>RHEM-SHCONBR3</v>
          </cell>
          <cell r="B130" t="str">
            <v>VAR_cap</v>
          </cell>
          <cell r="C130" t="str">
            <v>-</v>
          </cell>
          <cell r="D130">
            <v>3.44813439133239E-2</v>
          </cell>
          <cell r="E130">
            <v>6.8962687826647801E-2</v>
          </cell>
          <cell r="F130">
            <v>6.8962687826647801E-2</v>
          </cell>
          <cell r="G130">
            <v>6.8962687826647801E-2</v>
          </cell>
          <cell r="H130">
            <v>0.20673061003641999</v>
          </cell>
          <cell r="I130">
            <v>0.353700221794365</v>
          </cell>
        </row>
        <row r="131">
          <cell r="A131" t="str">
            <v>D-RHSA_ELC</v>
          </cell>
          <cell r="B131" t="str">
            <v>VAR_fout</v>
          </cell>
          <cell r="C131" t="str">
            <v>RHSA_ELC</v>
          </cell>
          <cell r="D131">
            <v>54.416712604189769</v>
          </cell>
          <cell r="E131">
            <v>54.976220701482625</v>
          </cell>
          <cell r="F131">
            <v>53.864446144413414</v>
          </cell>
          <cell r="G131">
            <v>56.721854048559877</v>
          </cell>
          <cell r="H131">
            <v>69.545327523517244</v>
          </cell>
          <cell r="I131">
            <v>69.177105790278929</v>
          </cell>
        </row>
        <row r="132">
          <cell r="A132" t="str">
            <v>D-RHSA_ELC</v>
          </cell>
          <cell r="B132" t="str">
            <v>VAR_fin</v>
          </cell>
          <cell r="C132" t="str">
            <v>RHNS_ELC</v>
          </cell>
          <cell r="D132">
            <v>12.536867987819981</v>
          </cell>
          <cell r="E132">
            <v>14.753596464402547</v>
          </cell>
          <cell r="F132">
            <v>14.386701268703273</v>
          </cell>
          <cell r="G132">
            <v>14.927325980022877</v>
          </cell>
          <cell r="H132">
            <v>17.770455564050138</v>
          </cell>
          <cell r="I132">
            <v>17.852156525141638</v>
          </cell>
        </row>
        <row r="133">
          <cell r="A133" t="str">
            <v>D-RHSA_ELC</v>
          </cell>
          <cell r="B133" t="str">
            <v>VAR_fin</v>
          </cell>
          <cell r="C133" t="str">
            <v>RHES_ELC</v>
          </cell>
          <cell r="D133">
            <v>15.772396457315242</v>
          </cell>
          <cell r="E133">
            <v>12.881586471498881</v>
          </cell>
          <cell r="F133">
            <v>12.774430764570464</v>
          </cell>
          <cell r="G133">
            <v>13.695321513384094</v>
          </cell>
          <cell r="H133">
            <v>17.23344075815351</v>
          </cell>
          <cell r="I133">
            <v>17.119927830624249</v>
          </cell>
        </row>
        <row r="134">
          <cell r="A134" t="str">
            <v>D-RHSA_ELC</v>
          </cell>
          <cell r="B134" t="str">
            <v>VAR_fin</v>
          </cell>
          <cell r="C134" t="str">
            <v>RHNM_ELC</v>
          </cell>
          <cell r="D134">
            <v>11.047495279005425</v>
          </cell>
          <cell r="E134">
            <v>14.804479230353602</v>
          </cell>
          <cell r="F134">
            <v>14.325641963725657</v>
          </cell>
          <cell r="G134">
            <v>14.756079703882136</v>
          </cell>
          <cell r="H134">
            <v>17.977577267181545</v>
          </cell>
          <cell r="I134">
            <v>17.620822636873569</v>
          </cell>
        </row>
        <row r="135">
          <cell r="A135" t="str">
            <v>D-RHSA_ELC</v>
          </cell>
          <cell r="B135" t="str">
            <v>VAR_fin</v>
          </cell>
          <cell r="C135" t="str">
            <v>RHEM_ELC</v>
          </cell>
          <cell r="D135">
            <v>15.05995362929289</v>
          </cell>
          <cell r="E135">
            <v>12.536558956738652</v>
          </cell>
          <cell r="F135">
            <v>12.377672785611978</v>
          </cell>
          <cell r="G135">
            <v>13.343127517576185</v>
          </cell>
          <cell r="H135">
            <v>16.56385441429995</v>
          </cell>
          <cell r="I135">
            <v>16.58419907446708</v>
          </cell>
        </row>
        <row r="136">
          <cell r="A136" t="str">
            <v>SCOM-SHLTHDH</v>
          </cell>
          <cell r="B136" t="str">
            <v>VAR_fout</v>
          </cell>
          <cell r="C136" t="str">
            <v>SCOM-SHLTHD</v>
          </cell>
          <cell r="D136">
            <v>5.553900124339834</v>
          </cell>
          <cell r="E136">
            <v>6.0159354028263472</v>
          </cell>
          <cell r="F136">
            <v>6.0159358266379614</v>
          </cell>
          <cell r="G136">
            <v>8.2638786785438523</v>
          </cell>
          <cell r="H136">
            <v>8.4057501887726502</v>
          </cell>
          <cell r="I136">
            <v>8.4057502136333557</v>
          </cell>
        </row>
        <row r="137">
          <cell r="A137" t="str">
            <v>SCOM-SHLTHDH</v>
          </cell>
          <cell r="B137" t="str">
            <v>VAR_fin</v>
          </cell>
          <cell r="C137" t="str">
            <v>SCOMLTHDHC</v>
          </cell>
          <cell r="D137">
            <v>5.553900124339834</v>
          </cell>
          <cell r="E137">
            <v>6.0159354028263472</v>
          </cell>
          <cell r="F137">
            <v>6.0159358266379614</v>
          </cell>
          <cell r="G137">
            <v>8.2638786785438523</v>
          </cell>
          <cell r="H137">
            <v>8.4057501887726502</v>
          </cell>
          <cell r="I137">
            <v>8.4057502136333557</v>
          </cell>
        </row>
        <row r="138">
          <cell r="A138" t="str">
            <v>SCOM-SHLTHDH</v>
          </cell>
          <cell r="B138" t="str">
            <v>VAR_fin</v>
          </cell>
          <cell r="C138" t="str">
            <v>SCOM_LTH_DH</v>
          </cell>
          <cell r="D138">
            <v>5.6100001255957936</v>
          </cell>
          <cell r="E138">
            <v>6.0767024270973193</v>
          </cell>
          <cell r="F138">
            <v>6.0767028551898621</v>
          </cell>
          <cell r="G138">
            <v>8.347352200549345</v>
          </cell>
          <cell r="H138">
            <v>8.490656756336012</v>
          </cell>
          <cell r="I138">
            <v>8.4906567814478411</v>
          </cell>
        </row>
        <row r="139">
          <cell r="A139" t="str">
            <v>SCOM-SHLTHDH</v>
          </cell>
          <cell r="B139" t="str">
            <v>VAR_ncap</v>
          </cell>
          <cell r="C139" t="str">
            <v>-</v>
          </cell>
          <cell r="H139">
            <v>0.22035661614243399</v>
          </cell>
          <cell r="I139">
            <v>0.42357109349663502</v>
          </cell>
        </row>
        <row r="140">
          <cell r="A140" t="str">
            <v>SCOM-SHLTHDH</v>
          </cell>
          <cell r="B140" t="str">
            <v>VAR_cap</v>
          </cell>
          <cell r="C140" t="str">
            <v>-</v>
          </cell>
          <cell r="D140">
            <v>0.84970025293020501</v>
          </cell>
          <cell r="E140">
            <v>0.84970025293020501</v>
          </cell>
          <cell r="F140">
            <v>0.84970025293020501</v>
          </cell>
          <cell r="G140">
            <v>0.84970025293020501</v>
          </cell>
          <cell r="H140">
            <v>0.84970026332654602</v>
          </cell>
          <cell r="I140">
            <v>0.84970027365483602</v>
          </cell>
        </row>
        <row r="141">
          <cell r="A141" t="str">
            <v>ITOT-SWHSTG-ELC</v>
          </cell>
          <cell r="B141" t="str">
            <v>VAR_fout</v>
          </cell>
          <cell r="C141" t="str">
            <v>ITOT-SWHAELC</v>
          </cell>
          <cell r="F141">
            <v>6.215743933261351E-5</v>
          </cell>
          <cell r="G141">
            <v>1.5818334968727665E-5</v>
          </cell>
          <cell r="H141">
            <v>0.22030682221487555</v>
          </cell>
          <cell r="I141">
            <v>1.0435093082543332</v>
          </cell>
        </row>
        <row r="142">
          <cell r="A142" t="str">
            <v>ITOT-SWHSTG-ELC</v>
          </cell>
          <cell r="B142" t="str">
            <v>VAR_fin</v>
          </cell>
          <cell r="C142" t="str">
            <v>ITOT-SWHAELC</v>
          </cell>
          <cell r="F142">
            <v>8.473634875433468E-5</v>
          </cell>
          <cell r="G142">
            <v>2.1285319685997459E-5</v>
          </cell>
          <cell r="H142">
            <v>0.25920234198331943</v>
          </cell>
          <cell r="I142">
            <v>1.1595075213684469</v>
          </cell>
        </row>
        <row r="143">
          <cell r="A143" t="str">
            <v>ITOT-SWHSTG-ELC</v>
          </cell>
          <cell r="B143" t="str">
            <v>VAR_ncap</v>
          </cell>
          <cell r="C143" t="str">
            <v>-</v>
          </cell>
          <cell r="D143">
            <v>3.31335971785384E-5</v>
          </cell>
          <cell r="E143">
            <v>0.184839916424728</v>
          </cell>
          <cell r="F143">
            <v>9.8830413240077203E-7</v>
          </cell>
          <cell r="G143">
            <v>1.5742674510154701E-2</v>
          </cell>
          <cell r="H143">
            <v>9.2774960671679396E-2</v>
          </cell>
          <cell r="I143">
            <v>0.12900453548905499</v>
          </cell>
        </row>
        <row r="144">
          <cell r="A144" t="str">
            <v>ITOT-SWHSTG-ELC</v>
          </cell>
          <cell r="B144" t="str">
            <v>VAR_cap</v>
          </cell>
          <cell r="C144" t="str">
            <v>-</v>
          </cell>
          <cell r="D144">
            <v>3.31335971785384E-5</v>
          </cell>
          <cell r="E144">
            <v>0.18487303130002988</v>
          </cell>
          <cell r="F144">
            <v>0.18487399412976227</v>
          </cell>
          <cell r="G144">
            <v>0.20061667065980202</v>
          </cell>
          <cell r="H144">
            <v>0.19991480687073054</v>
          </cell>
          <cell r="I144">
            <v>0.23710585715760038</v>
          </cell>
        </row>
        <row r="145">
          <cell r="A145" t="str">
            <v>D-SCOM_SOLELC</v>
          </cell>
          <cell r="B145" t="str">
            <v>VAR_fout</v>
          </cell>
          <cell r="C145" t="str">
            <v>ELC5</v>
          </cell>
          <cell r="D145">
            <v>0.19498677635654757</v>
          </cell>
          <cell r="E145">
            <v>1.8767721506674024</v>
          </cell>
          <cell r="F145">
            <v>1.8307450356716926</v>
          </cell>
          <cell r="G145">
            <v>2.3557952142489267</v>
          </cell>
          <cell r="H145">
            <v>3.1965254683147055</v>
          </cell>
          <cell r="I145">
            <v>4.1414698424544287</v>
          </cell>
        </row>
        <row r="146">
          <cell r="A146" t="str">
            <v>D-SCOM_SOLELC</v>
          </cell>
          <cell r="B146" t="str">
            <v>VAR_fout</v>
          </cell>
          <cell r="C146" t="str">
            <v>SCOM_ELC</v>
          </cell>
          <cell r="D146">
            <v>2.6446369094154187</v>
          </cell>
          <cell r="E146">
            <v>1.88382337772602</v>
          </cell>
          <cell r="F146">
            <v>2.0437531958043156</v>
          </cell>
          <cell r="G146">
            <v>2.3558808381712066</v>
          </cell>
          <cell r="H146">
            <v>3.1355641970174779</v>
          </cell>
          <cell r="I146">
            <v>4.3683301776433945</v>
          </cell>
        </row>
        <row r="147">
          <cell r="A147" t="str">
            <v>D-SCOM_SOLELC</v>
          </cell>
          <cell r="B147" t="str">
            <v>VAR_fin</v>
          </cell>
          <cell r="C147" t="str">
            <v>SCOM_SOL_ELC</v>
          </cell>
          <cell r="D147">
            <v>2.8396236857719668</v>
          </cell>
          <cell r="E147">
            <v>3.760595499530115</v>
          </cell>
          <cell r="F147">
            <v>3.8744981301561947</v>
          </cell>
          <cell r="G147">
            <v>4.7116758894640949</v>
          </cell>
          <cell r="H147">
            <v>6.3320894779210102</v>
          </cell>
          <cell r="I147">
            <v>8.5097998701767015</v>
          </cell>
        </row>
        <row r="148">
          <cell r="A148" t="str">
            <v>D-ILFO</v>
          </cell>
          <cell r="B148" t="str">
            <v>VAR_fout</v>
          </cell>
          <cell r="C148" t="str">
            <v>CO2</v>
          </cell>
          <cell r="D148">
            <v>688.71827594085198</v>
          </cell>
          <cell r="E148">
            <v>664.67889695091503</v>
          </cell>
          <cell r="F148">
            <v>593.94754651345295</v>
          </cell>
          <cell r="G148">
            <v>507.08297784456101</v>
          </cell>
          <cell r="H148">
            <v>219.807407313564</v>
          </cell>
          <cell r="I148">
            <v>5.9165691871987901E-4</v>
          </cell>
        </row>
        <row r="149">
          <cell r="A149" t="str">
            <v>D-ILFO</v>
          </cell>
          <cell r="B149" t="str">
            <v>VAR_fout</v>
          </cell>
          <cell r="C149" t="str">
            <v>ILFO</v>
          </cell>
          <cell r="D149">
            <v>9.1888178847153466</v>
          </cell>
          <cell r="E149">
            <v>8.8680866317245339</v>
          </cell>
          <cell r="F149">
            <v>7.9243973889516308</v>
          </cell>
          <cell r="G149">
            <v>7.0042822853548596</v>
          </cell>
          <cell r="H149">
            <v>3.1714773006048742</v>
          </cell>
          <cell r="I149">
            <v>0.23883447896582807</v>
          </cell>
        </row>
        <row r="150">
          <cell r="A150" t="str">
            <v>D-ILFO</v>
          </cell>
          <cell r="B150" t="str">
            <v>VAR_fin</v>
          </cell>
          <cell r="C150" t="str">
            <v>LFO</v>
          </cell>
          <cell r="D150">
            <v>9.3448884116804916</v>
          </cell>
          <cell r="E150">
            <v>9.0187095922783609</v>
          </cell>
          <cell r="F150">
            <v>8.058989776301944</v>
          </cell>
          <cell r="G150">
            <v>6.880366049451295</v>
          </cell>
          <cell r="H150">
            <v>2.9824614289493097</v>
          </cell>
          <cell r="I150">
            <v>8.0279093449101706E-6</v>
          </cell>
        </row>
        <row r="151">
          <cell r="A151" t="str">
            <v>D-ILFO</v>
          </cell>
          <cell r="B151" t="str">
            <v>VAR_fin</v>
          </cell>
          <cell r="C151" t="str">
            <v>BDS</v>
          </cell>
          <cell r="F151">
            <v>6.8125482862429507E-6</v>
          </cell>
          <cell r="G151">
            <v>0.24288692183418681</v>
          </cell>
          <cell r="H151">
            <v>0.24288669368494625</v>
          </cell>
          <cell r="I151">
            <v>0.2428860744829226</v>
          </cell>
        </row>
        <row r="152">
          <cell r="A152" t="str">
            <v>RHEM-SHSTG-NGAHP</v>
          </cell>
          <cell r="B152" t="str">
            <v>VAR_fout</v>
          </cell>
          <cell r="C152" t="str">
            <v>RHEM-SHANGAH</v>
          </cell>
          <cell r="F152">
            <v>3.0890019548920895E-7</v>
          </cell>
          <cell r="G152">
            <v>7.3915285606504264E-7</v>
          </cell>
          <cell r="H152">
            <v>7.6998932687933473E-7</v>
          </cell>
          <cell r="I152">
            <v>1.5383530991747488E-6</v>
          </cell>
        </row>
        <row r="153">
          <cell r="A153" t="str">
            <v>RHEM-SHSTG-NGAHP</v>
          </cell>
          <cell r="B153" t="str">
            <v>VAR_fin</v>
          </cell>
          <cell r="C153" t="str">
            <v>RHEM-SHANGAH</v>
          </cell>
          <cell r="F153">
            <v>3.9684824768037387E-7</v>
          </cell>
          <cell r="G153">
            <v>7.9689641206954983E-7</v>
          </cell>
          <cell r="H153">
            <v>7.2122621737814123E-7</v>
          </cell>
          <cell r="I153">
            <v>1.4307390265327988E-6</v>
          </cell>
        </row>
        <row r="154">
          <cell r="A154" t="str">
            <v>RHEM-SHSTG-NGAHP</v>
          </cell>
          <cell r="B154" t="str">
            <v>VAR_ncap</v>
          </cell>
          <cell r="C154" t="str">
            <v>-</v>
          </cell>
          <cell r="D154">
            <v>2.01346556052271E-7</v>
          </cell>
          <cell r="E154">
            <v>1.4351413274779301E-7</v>
          </cell>
          <cell r="F154">
            <v>4.8217242426374598E-7</v>
          </cell>
          <cell r="G154">
            <v>3.41685858369752E-7</v>
          </cell>
          <cell r="H154">
            <v>3.9212172331981502E-7</v>
          </cell>
          <cell r="I154">
            <v>3.7876191914094698E-7</v>
          </cell>
        </row>
        <row r="155">
          <cell r="A155" t="str">
            <v>RHEM-SHSTG-NGAHP</v>
          </cell>
          <cell r="B155" t="str">
            <v>VAR_cap</v>
          </cell>
          <cell r="C155" t="str">
            <v>-</v>
          </cell>
          <cell r="D155">
            <v>2.01346556052271E-7</v>
          </cell>
          <cell r="E155">
            <v>4.6805895210320205E-9</v>
          </cell>
          <cell r="F155">
            <v>3.6577293494163703E-7</v>
          </cell>
          <cell r="G155">
            <v>3.8143150774177397E-7</v>
          </cell>
          <cell r="H155">
            <v>5.2059161380432111E-7</v>
          </cell>
          <cell r="I155">
            <v>5.1477877526054597E-7</v>
          </cell>
        </row>
        <row r="156">
          <cell r="A156" t="str">
            <v>RHEM-SHCONBR4</v>
          </cell>
          <cell r="B156" t="str">
            <v>VAR_fout</v>
          </cell>
          <cell r="C156" t="str">
            <v>RHEM-SHCON</v>
          </cell>
          <cell r="D156">
            <v>0.53641348891857354</v>
          </cell>
          <cell r="E156">
            <v>1.0738985938276824</v>
          </cell>
          <cell r="F156">
            <v>1.07389068714973</v>
          </cell>
          <cell r="G156">
            <v>1.0738967421473042</v>
          </cell>
          <cell r="H156">
            <v>1.0738332024086203</v>
          </cell>
          <cell r="I156">
            <v>3.3623259495261153</v>
          </cell>
        </row>
        <row r="157">
          <cell r="A157" t="str">
            <v>RHEM-SHCONBR4</v>
          </cell>
          <cell r="B157" t="str">
            <v>VAR_fin</v>
          </cell>
          <cell r="C157" t="str">
            <v>CON</v>
          </cell>
          <cell r="D157">
            <v>0.53641348891857354</v>
          </cell>
          <cell r="E157">
            <v>1.0738985938276824</v>
          </cell>
          <cell r="F157">
            <v>1.07389068714973</v>
          </cell>
          <cell r="G157">
            <v>1.0738967421473042</v>
          </cell>
          <cell r="H157">
            <v>1.0738332024086203</v>
          </cell>
          <cell r="I157">
            <v>3.3623259495261153</v>
          </cell>
        </row>
        <row r="158">
          <cell r="A158" t="str">
            <v>RHEM-SHCONBR4</v>
          </cell>
          <cell r="B158" t="str">
            <v>VAR_ncap</v>
          </cell>
          <cell r="C158" t="str">
            <v>-</v>
          </cell>
          <cell r="D158">
            <v>3.7915872872457901E-2</v>
          </cell>
          <cell r="E158">
            <v>3.7915872872457901E-2</v>
          </cell>
          <cell r="I158">
            <v>0.19650608226734501</v>
          </cell>
        </row>
        <row r="159">
          <cell r="A159" t="str">
            <v>RHEM-SHCONBR4</v>
          </cell>
          <cell r="B159" t="str">
            <v>VAR_cap</v>
          </cell>
          <cell r="C159" t="str">
            <v>-</v>
          </cell>
          <cell r="D159">
            <v>3.7915872872457901E-2</v>
          </cell>
          <cell r="E159">
            <v>7.5831745744915802E-2</v>
          </cell>
          <cell r="F159">
            <v>7.5831745744915802E-2</v>
          </cell>
          <cell r="G159">
            <v>7.5831745744915802E-2</v>
          </cell>
          <cell r="H159">
            <v>7.5831745744915802E-2</v>
          </cell>
          <cell r="I159">
            <v>0.237440298436876</v>
          </cell>
        </row>
        <row r="160">
          <cell r="A160" t="str">
            <v>RHNM-SHCONBR</v>
          </cell>
          <cell r="B160" t="str">
            <v>VAR_fout</v>
          </cell>
          <cell r="C160" t="str">
            <v>RHNM-SHCON</v>
          </cell>
          <cell r="F160">
            <v>1.6776778082691327E-6</v>
          </cell>
          <cell r="G160">
            <v>1.640176481170067E-6</v>
          </cell>
          <cell r="H160">
            <v>2.3378147291066565E-6</v>
          </cell>
          <cell r="I160">
            <v>2.1305689128007005E-6</v>
          </cell>
        </row>
        <row r="161">
          <cell r="A161" t="str">
            <v>RHNM-SHCONBR</v>
          </cell>
          <cell r="B161" t="str">
            <v>VAR_fin</v>
          </cell>
          <cell r="C161" t="str">
            <v>CON</v>
          </cell>
          <cell r="F161">
            <v>1.6776778082691327E-6</v>
          </cell>
          <cell r="G161">
            <v>1.640176481170067E-6</v>
          </cell>
          <cell r="H161">
            <v>2.3378147291066565E-6</v>
          </cell>
          <cell r="I161">
            <v>2.1305689128007005E-6</v>
          </cell>
        </row>
        <row r="162">
          <cell r="A162" t="str">
            <v>RHNM-SHCONBR</v>
          </cell>
          <cell r="B162" t="str">
            <v>VAR_ncap</v>
          </cell>
          <cell r="C162" t="str">
            <v>-</v>
          </cell>
          <cell r="F162">
            <v>1.8906877526636501E-7</v>
          </cell>
        </row>
        <row r="163">
          <cell r="A163" t="str">
            <v>RHNM-SHCONBR</v>
          </cell>
          <cell r="B163" t="str">
            <v>VAR_cap</v>
          </cell>
          <cell r="C163" t="str">
            <v>-</v>
          </cell>
          <cell r="F163">
            <v>1.8906877526636501E-7</v>
          </cell>
          <cell r="G163">
            <v>1.8906877526636501E-7</v>
          </cell>
          <cell r="H163">
            <v>2.2157851122688201E-7</v>
          </cell>
          <cell r="I163">
            <v>2.2157851122688201E-7</v>
          </cell>
        </row>
        <row r="164">
          <cell r="A164" t="str">
            <v>RHEM-SHCONBR5</v>
          </cell>
          <cell r="B164" t="str">
            <v>VAR_fout</v>
          </cell>
          <cell r="C164" t="str">
            <v>RHEM-SHCON</v>
          </cell>
          <cell r="D164">
            <v>9.325818792702298E-6</v>
          </cell>
          <cell r="E164">
            <v>0.59571847920348908</v>
          </cell>
          <cell r="F164">
            <v>0.59571116844864413</v>
          </cell>
          <cell r="G164">
            <v>0.59571669423780838</v>
          </cell>
          <cell r="H164">
            <v>0.59568231998483012</v>
          </cell>
          <cell r="I164">
            <v>0.34436412748406192</v>
          </cell>
        </row>
        <row r="165">
          <cell r="A165" t="str">
            <v>RHEM-SHCONBR5</v>
          </cell>
          <cell r="B165" t="str">
            <v>VAR_fin</v>
          </cell>
          <cell r="C165" t="str">
            <v>CON</v>
          </cell>
          <cell r="D165">
            <v>9.325818792702298E-6</v>
          </cell>
          <cell r="E165">
            <v>0.59571847920348908</v>
          </cell>
          <cell r="F165">
            <v>0.59571116844864413</v>
          </cell>
          <cell r="G165">
            <v>0.59571669423780838</v>
          </cell>
          <cell r="H165">
            <v>0.59568231998483012</v>
          </cell>
          <cell r="I165">
            <v>0.34436412748406192</v>
          </cell>
        </row>
        <row r="166">
          <cell r="A166" t="str">
            <v>RHEM-SHCONBR5</v>
          </cell>
          <cell r="B166" t="str">
            <v>VAR_ncap</v>
          </cell>
          <cell r="C166" t="str">
            <v>-</v>
          </cell>
          <cell r="D166">
            <v>6.3248244124597701E-7</v>
          </cell>
          <cell r="E166">
            <v>4.20651181109808E-2</v>
          </cell>
          <cell r="I166">
            <v>1.3509631214931799E-8</v>
          </cell>
        </row>
        <row r="167">
          <cell r="A167" t="str">
            <v>RHEM-SHCONBR5</v>
          </cell>
          <cell r="B167" t="str">
            <v>VAR_cap</v>
          </cell>
          <cell r="C167" t="str">
            <v>-</v>
          </cell>
          <cell r="D167">
            <v>6.3248244124597701E-7</v>
          </cell>
          <cell r="E167">
            <v>4.2065750593421998E-2</v>
          </cell>
          <cell r="F167">
            <v>4.2065750593421998E-2</v>
          </cell>
          <cell r="G167">
            <v>4.2065750593421998E-2</v>
          </cell>
          <cell r="H167">
            <v>4.2065750593421998E-2</v>
          </cell>
          <cell r="I167">
            <v>2.4318219019629501E-2</v>
          </cell>
        </row>
        <row r="168">
          <cell r="A168" t="str">
            <v>ITOT-SWHNGABR</v>
          </cell>
          <cell r="B168" t="str">
            <v>VAR_fout</v>
          </cell>
          <cell r="C168" t="str">
            <v>ITOT-SWH</v>
          </cell>
          <cell r="D168">
            <v>28.619768361419222</v>
          </cell>
          <cell r="E168">
            <v>25.458313018553728</v>
          </cell>
          <cell r="F168">
            <v>28.688954575796608</v>
          </cell>
          <cell r="G168">
            <v>20.146014324323925</v>
          </cell>
          <cell r="H168">
            <v>10.940665648303554</v>
          </cell>
          <cell r="I168">
            <v>4.8173167152281531</v>
          </cell>
        </row>
        <row r="169">
          <cell r="A169" t="str">
            <v>ITOT-SWHNGABR</v>
          </cell>
          <cell r="B169" t="str">
            <v>VAR_fout</v>
          </cell>
          <cell r="C169" t="str">
            <v>CO2_I</v>
          </cell>
          <cell r="D169">
            <v>2005.1531133281201</v>
          </cell>
          <cell r="E169">
            <v>1782.09591395335</v>
          </cell>
          <cell r="F169">
            <v>2005.61161866315</v>
          </cell>
          <cell r="G169">
            <v>1405.3160633182199</v>
          </cell>
          <cell r="H169">
            <v>759.87176903458999</v>
          </cell>
          <cell r="I169">
            <v>333.136048737473</v>
          </cell>
        </row>
        <row r="170">
          <cell r="A170" t="str">
            <v>ITOT-SWHNGABR</v>
          </cell>
          <cell r="B170" t="str">
            <v>VAR_fin</v>
          </cell>
          <cell r="C170" t="str">
            <v>INGA</v>
          </cell>
          <cell r="D170">
            <v>35.552360165392116</v>
          </cell>
          <cell r="E170">
            <v>31.597445282860857</v>
          </cell>
          <cell r="F170">
            <v>35.560489692609003</v>
          </cell>
          <cell r="G170">
            <v>24.91695147727345</v>
          </cell>
          <cell r="H170">
            <v>13.472903706287045</v>
          </cell>
          <cell r="I170">
            <v>5.9066675308062724</v>
          </cell>
        </row>
        <row r="171">
          <cell r="A171" t="str">
            <v>ITOT-SWHNGABR</v>
          </cell>
          <cell r="B171" t="str">
            <v>VAR_ncap</v>
          </cell>
          <cell r="C171" t="str">
            <v>-</v>
          </cell>
          <cell r="E171">
            <v>8.8648823424395395E-7</v>
          </cell>
          <cell r="F171">
            <v>3.1458169022641397E-2</v>
          </cell>
          <cell r="G171">
            <v>2.4160311566429699E-7</v>
          </cell>
          <cell r="H171">
            <v>0.30201911502621898</v>
          </cell>
          <cell r="I171">
            <v>1.39120139199161E-7</v>
          </cell>
        </row>
        <row r="172">
          <cell r="A172" t="str">
            <v>ITOT-SWHNGABR</v>
          </cell>
          <cell r="B172" t="str">
            <v>VAR_cap</v>
          </cell>
          <cell r="C172" t="str">
            <v>-</v>
          </cell>
          <cell r="D172">
            <v>1.556581895256</v>
          </cell>
          <cell r="E172">
            <v>1.5565827121494653</v>
          </cell>
          <cell r="F172">
            <v>1.5880407935579552</v>
          </cell>
          <cell r="G172">
            <v>1.2564125859391133</v>
          </cell>
          <cell r="H172">
            <v>0.649380577053561</v>
          </cell>
          <cell r="I172">
            <v>0.32905073900658827</v>
          </cell>
        </row>
        <row r="173">
          <cell r="A173" t="str">
            <v>RHNM-SHSOLBR</v>
          </cell>
          <cell r="B173" t="str">
            <v>VAR_fout</v>
          </cell>
          <cell r="C173" t="str">
            <v>RHNM-SHASOL</v>
          </cell>
          <cell r="E173">
            <v>2.1536948242102002E-2</v>
          </cell>
          <cell r="F173">
            <v>2.1537663919238646E-2</v>
          </cell>
          <cell r="G173">
            <v>2.1537711187081966E-2</v>
          </cell>
          <cell r="H173">
            <v>2.7953051924658188E-5</v>
          </cell>
          <cell r="I173">
            <v>2.0322885577213658E-5</v>
          </cell>
        </row>
        <row r="174">
          <cell r="A174" t="str">
            <v>RHNM-SHSOLBR</v>
          </cell>
          <cell r="B174" t="str">
            <v>VAR_fin</v>
          </cell>
          <cell r="C174" t="str">
            <v>SOL</v>
          </cell>
          <cell r="E174">
            <v>2.1536948242102002E-2</v>
          </cell>
          <cell r="F174">
            <v>2.1537663919238646E-2</v>
          </cell>
          <cell r="G174">
            <v>2.1537711187081966E-2</v>
          </cell>
          <cell r="H174">
            <v>2.7953051924658188E-5</v>
          </cell>
          <cell r="I174">
            <v>2.0322885577213658E-5</v>
          </cell>
        </row>
        <row r="175">
          <cell r="A175" t="str">
            <v>RHNM-SHSOLBR</v>
          </cell>
          <cell r="B175" t="str">
            <v>VAR_ncap</v>
          </cell>
          <cell r="C175" t="str">
            <v>-</v>
          </cell>
          <cell r="E175">
            <v>3.1277886195947399E-3</v>
          </cell>
          <cell r="F175">
            <v>1.03937047077902E-7</v>
          </cell>
          <cell r="H175">
            <v>4.02243064057094E-6</v>
          </cell>
          <cell r="I175">
            <v>3.2665417164487299E-8</v>
          </cell>
        </row>
        <row r="176">
          <cell r="A176" t="str">
            <v>RHNM-SHSOLBR</v>
          </cell>
          <cell r="B176" t="str">
            <v>VAR_cap</v>
          </cell>
          <cell r="C176" t="str">
            <v>-</v>
          </cell>
          <cell r="E176">
            <v>3.1277886195947399E-3</v>
          </cell>
          <cell r="F176">
            <v>3.12789255664182E-3</v>
          </cell>
          <cell r="G176">
            <v>3.12789255664182E-3</v>
          </cell>
          <cell r="H176">
            <v>4.0782963212351601E-6</v>
          </cell>
          <cell r="I176">
            <v>2.9677219320194698E-6</v>
          </cell>
        </row>
        <row r="177">
          <cell r="A177" t="str">
            <v>RHEM-SHPLTBR</v>
          </cell>
          <cell r="B177" t="str">
            <v>VAR_fout</v>
          </cell>
          <cell r="C177" t="str">
            <v>RHEM-SHPLT</v>
          </cell>
          <cell r="D177">
            <v>1.401127070180282</v>
          </cell>
          <cell r="E177">
            <v>1.6077973496267715</v>
          </cell>
          <cell r="F177">
            <v>1.6077974407090274</v>
          </cell>
          <cell r="G177">
            <v>1.6077974195855922</v>
          </cell>
          <cell r="H177">
            <v>1.6077979244968497</v>
          </cell>
          <cell r="I177">
            <v>1.6077979619236293</v>
          </cell>
        </row>
        <row r="178">
          <cell r="A178" t="str">
            <v>RHEM-SHPLTBR</v>
          </cell>
          <cell r="B178" t="str">
            <v>VAR_fin</v>
          </cell>
          <cell r="C178" t="str">
            <v>RHEMPLTBRC</v>
          </cell>
          <cell r="D178">
            <v>1.401127070180282</v>
          </cell>
          <cell r="E178">
            <v>1.6077973496267715</v>
          </cell>
          <cell r="F178">
            <v>1.6077974407090274</v>
          </cell>
          <cell r="G178">
            <v>1.6077974195855922</v>
          </cell>
          <cell r="H178">
            <v>1.6077979244968497</v>
          </cell>
          <cell r="I178">
            <v>1.6077979619236293</v>
          </cell>
        </row>
        <row r="179">
          <cell r="A179" t="str">
            <v>RHEM-SHPLTBR</v>
          </cell>
          <cell r="B179" t="str">
            <v>VAR_fin</v>
          </cell>
          <cell r="C179" t="str">
            <v>RPLT</v>
          </cell>
          <cell r="D179">
            <v>1.5568078557558669</v>
          </cell>
          <cell r="E179">
            <v>1.786441499585302</v>
          </cell>
          <cell r="F179">
            <v>1.7864416007878086</v>
          </cell>
          <cell r="G179">
            <v>1.7864415773173243</v>
          </cell>
          <cell r="H179">
            <v>1.7864421383298328</v>
          </cell>
          <cell r="I179">
            <v>1.7864421799151438</v>
          </cell>
        </row>
        <row r="180">
          <cell r="A180" t="str">
            <v>RHEM-SHPLTBR</v>
          </cell>
          <cell r="B180" t="str">
            <v>VAR_ncap</v>
          </cell>
          <cell r="C180" t="str">
            <v>-</v>
          </cell>
          <cell r="D180">
            <v>1.1195065270228101E-6</v>
          </cell>
          <cell r="E180">
            <v>1.47050815994302E-2</v>
          </cell>
          <cell r="G180">
            <v>3.3821081248941499E-8</v>
          </cell>
          <cell r="H180">
            <v>3.3405417175719397E-2</v>
          </cell>
          <cell r="I180">
            <v>5.5611660285915597E-2</v>
          </cell>
        </row>
        <row r="181">
          <cell r="A181" t="str">
            <v>RHEM-SHPLTBR</v>
          </cell>
          <cell r="B181" t="str">
            <v>VAR_cap</v>
          </cell>
          <cell r="C181" t="str">
            <v>-</v>
          </cell>
          <cell r="D181">
            <v>9.9700175626807622E-2</v>
          </cell>
          <cell r="E181">
            <v>0.1144052572262378</v>
          </cell>
          <cell r="F181">
            <v>0.1144052572262378</v>
          </cell>
          <cell r="G181">
            <v>0.114405291047319</v>
          </cell>
          <cell r="H181">
            <v>0.113758171407117</v>
          </cell>
          <cell r="I181">
            <v>0.113843866899085</v>
          </cell>
        </row>
        <row r="182">
          <cell r="A182" t="str">
            <v>RHEM-SHCONBR6</v>
          </cell>
          <cell r="B182" t="str">
            <v>VAR_fout</v>
          </cell>
          <cell r="C182" t="str">
            <v>RHEM-SHCON</v>
          </cell>
          <cell r="E182">
            <v>0.14970111523777185</v>
          </cell>
          <cell r="F182">
            <v>0.14969550034194287</v>
          </cell>
          <cell r="G182">
            <v>0.14969959099778243</v>
          </cell>
          <cell r="H182">
            <v>0.14969202697363243</v>
          </cell>
          <cell r="I182">
            <v>8.6537224779049376E-2</v>
          </cell>
        </row>
        <row r="183">
          <cell r="A183" t="str">
            <v>RHEM-SHCONBR6</v>
          </cell>
          <cell r="B183" t="str">
            <v>VAR_fin</v>
          </cell>
          <cell r="C183" t="str">
            <v>CON</v>
          </cell>
          <cell r="E183">
            <v>0.14970111523777185</v>
          </cell>
          <cell r="F183">
            <v>0.14969550034194287</v>
          </cell>
          <cell r="G183">
            <v>0.14969959099778243</v>
          </cell>
          <cell r="H183">
            <v>0.14969202697363243</v>
          </cell>
          <cell r="I183">
            <v>8.6537224779049376E-2</v>
          </cell>
        </row>
        <row r="184">
          <cell r="A184" t="str">
            <v>RHEM-SHCONBR6</v>
          </cell>
          <cell r="B184" t="str">
            <v>VAR_ncap</v>
          </cell>
          <cell r="C184" t="str">
            <v>-</v>
          </cell>
          <cell r="E184">
            <v>1.05708833010702E-2</v>
          </cell>
        </row>
        <row r="185">
          <cell r="A185" t="str">
            <v>RHEM-SHCONBR6</v>
          </cell>
          <cell r="B185" t="str">
            <v>VAR_cap</v>
          </cell>
          <cell r="C185" t="str">
            <v>-</v>
          </cell>
          <cell r="E185">
            <v>1.05708833010702E-2</v>
          </cell>
          <cell r="F185">
            <v>1.05708833010702E-2</v>
          </cell>
          <cell r="G185">
            <v>1.05708833010702E-2</v>
          </cell>
          <cell r="H185">
            <v>1.05708833010702E-2</v>
          </cell>
          <cell r="I185">
            <v>6.1110385770503104E-3</v>
          </cell>
        </row>
        <row r="186">
          <cell r="A186" t="str">
            <v>RHEM-SHCONBR7</v>
          </cell>
          <cell r="B186" t="str">
            <v>VAR_fout</v>
          </cell>
          <cell r="C186" t="str">
            <v>RHEM-SHCON</v>
          </cell>
          <cell r="E186">
            <v>4.0775234428367428E-6</v>
          </cell>
          <cell r="F186">
            <v>4.0501216464492531E-6</v>
          </cell>
          <cell r="G186">
            <v>3.8257966265057584E-6</v>
          </cell>
          <cell r="H186">
            <v>3.8214856191640459E-6</v>
          </cell>
          <cell r="I186">
            <v>1.8029284551116465E-6</v>
          </cell>
        </row>
        <row r="187">
          <cell r="A187" t="str">
            <v>RHEM-SHCONBR7</v>
          </cell>
          <cell r="B187" t="str">
            <v>VAR_fin</v>
          </cell>
          <cell r="C187" t="str">
            <v>CON</v>
          </cell>
          <cell r="E187">
            <v>4.0775234428367428E-6</v>
          </cell>
          <cell r="F187">
            <v>4.0501216464492531E-6</v>
          </cell>
          <cell r="G187">
            <v>3.8257966265057584E-6</v>
          </cell>
          <cell r="H187">
            <v>3.8214856191640459E-6</v>
          </cell>
          <cell r="I187">
            <v>1.8029284551116465E-6</v>
          </cell>
        </row>
        <row r="188">
          <cell r="A188" t="str">
            <v>RHEM-SHCONBR7</v>
          </cell>
          <cell r="B188" t="str">
            <v>VAR_ncap</v>
          </cell>
          <cell r="C188" t="str">
            <v>-</v>
          </cell>
          <cell r="E188">
            <v>3.0348053017843398E-7</v>
          </cell>
        </row>
        <row r="189">
          <cell r="A189" t="str">
            <v>RHEM-SHCONBR7</v>
          </cell>
          <cell r="B189" t="str">
            <v>VAR_cap</v>
          </cell>
          <cell r="C189" t="str">
            <v>-</v>
          </cell>
          <cell r="E189">
            <v>3.0348053017843398E-7</v>
          </cell>
          <cell r="F189">
            <v>3.0348053017843398E-7</v>
          </cell>
          <cell r="G189">
            <v>3.0348053017843398E-7</v>
          </cell>
          <cell r="H189">
            <v>3.0348053017843398E-7</v>
          </cell>
          <cell r="I189">
            <v>1.75442408593833E-7</v>
          </cell>
        </row>
        <row r="190">
          <cell r="A190" t="str">
            <v>RHEM-SHCONBR8</v>
          </cell>
          <cell r="B190" t="str">
            <v>VAR_ncap</v>
          </cell>
          <cell r="C190" t="str">
            <v>-</v>
          </cell>
          <cell r="E190">
            <v>2.06370168921059E-8</v>
          </cell>
        </row>
        <row r="191">
          <cell r="A191" t="str">
            <v>RHEM-SHCONBR8</v>
          </cell>
          <cell r="B191" t="str">
            <v>VAR_cap</v>
          </cell>
          <cell r="C191" t="str">
            <v>-</v>
          </cell>
          <cell r="E191">
            <v>2.06370168921059E-8</v>
          </cell>
          <cell r="F191">
            <v>2.06370168921059E-8</v>
          </cell>
          <cell r="G191">
            <v>2.06370168921059E-8</v>
          </cell>
          <cell r="H191">
            <v>2.06370168921059E-8</v>
          </cell>
          <cell r="I191">
            <v>1.19302808243214E-8</v>
          </cell>
        </row>
        <row r="192">
          <cell r="A192" t="str">
            <v>RHES-SHELCHP</v>
          </cell>
          <cell r="B192" t="str">
            <v>VAR_fout</v>
          </cell>
          <cell r="C192" t="str">
            <v>RHES-SHAELCH</v>
          </cell>
          <cell r="D192">
            <v>9.1578055689576736</v>
          </cell>
          <cell r="E192">
            <v>10.275892597132117</v>
          </cell>
          <cell r="F192">
            <v>10.275892677286693</v>
          </cell>
          <cell r="G192">
            <v>10.275892678271298</v>
          </cell>
          <cell r="H192">
            <v>13.588806639195186</v>
          </cell>
          <cell r="I192">
            <v>28.461705173291055</v>
          </cell>
        </row>
        <row r="193">
          <cell r="A193" t="str">
            <v>RHES-SHELCHP</v>
          </cell>
          <cell r="B193" t="str">
            <v>VAR_fin</v>
          </cell>
          <cell r="C193" t="str">
            <v>RHES_ELC</v>
          </cell>
          <cell r="D193">
            <v>2.8618142239411068</v>
          </cell>
          <cell r="E193">
            <v>3.1585735258027681</v>
          </cell>
          <cell r="F193">
            <v>3.0827678031860075</v>
          </cell>
          <cell r="G193">
            <v>2.9641998110397951</v>
          </cell>
          <cell r="H193">
            <v>3.6726504430257232</v>
          </cell>
          <cell r="I193">
            <v>7.2978731213566759</v>
          </cell>
        </row>
        <row r="194">
          <cell r="A194" t="str">
            <v>RHES-SHELCHP</v>
          </cell>
          <cell r="B194" t="str">
            <v>VAR_fin</v>
          </cell>
          <cell r="C194" t="str">
            <v>RHESELCHPC</v>
          </cell>
          <cell r="D194">
            <v>9.1578055689576736</v>
          </cell>
          <cell r="E194">
            <v>10.275892597132117</v>
          </cell>
          <cell r="F194">
            <v>10.275892677286693</v>
          </cell>
          <cell r="G194">
            <v>10.275892678271298</v>
          </cell>
          <cell r="H194">
            <v>13.588806639195186</v>
          </cell>
          <cell r="I194">
            <v>28.461705173291055</v>
          </cell>
        </row>
        <row r="195">
          <cell r="A195" t="str">
            <v>RHES-SHELCHP</v>
          </cell>
          <cell r="B195" t="str">
            <v>VAR_ncap</v>
          </cell>
          <cell r="C195" t="str">
            <v>-</v>
          </cell>
          <cell r="D195">
            <v>8.0710960727798794E-8</v>
          </cell>
          <cell r="E195">
            <v>9.0327692376092103E-2</v>
          </cell>
          <cell r="F195">
            <v>3.2414965859285803E-8</v>
          </cell>
          <cell r="H195">
            <v>0.50770408139068701</v>
          </cell>
          <cell r="I195">
            <v>1.6844622696263001</v>
          </cell>
        </row>
        <row r="196">
          <cell r="A196" t="str">
            <v>RHES-SHELCHP</v>
          </cell>
          <cell r="B196" t="str">
            <v>VAR_cap</v>
          </cell>
          <cell r="C196" t="str">
            <v>-</v>
          </cell>
          <cell r="D196">
            <v>0.73983800863632565</v>
          </cell>
          <cell r="E196">
            <v>0.83016570101241782</v>
          </cell>
          <cell r="F196">
            <v>0.83016573342738365</v>
          </cell>
          <cell r="G196">
            <v>0.83016573342738365</v>
          </cell>
          <cell r="H196">
            <v>1.0997255185739401</v>
          </cell>
          <cell r="I196">
            <v>2.3033420406806102</v>
          </cell>
        </row>
        <row r="197">
          <cell r="A197" t="str">
            <v>RHSA-WHELCHP</v>
          </cell>
          <cell r="B197" t="str">
            <v>VAR_fout</v>
          </cell>
          <cell r="C197" t="str">
            <v>RHSA-WHAELCH</v>
          </cell>
          <cell r="D197">
            <v>3.2398896926382301</v>
          </cell>
          <cell r="E197">
            <v>3.635456056533561</v>
          </cell>
          <cell r="F197">
            <v>4.7711174629333417</v>
          </cell>
          <cell r="G197">
            <v>13.32783787835216</v>
          </cell>
          <cell r="H197">
            <v>16.190507310255544</v>
          </cell>
          <cell r="I197">
            <v>18.238698585921803</v>
          </cell>
        </row>
        <row r="198">
          <cell r="A198" t="str">
            <v>RHSA-WHELCHP</v>
          </cell>
          <cell r="B198" t="str">
            <v>VAR_fin</v>
          </cell>
          <cell r="C198" t="str">
            <v>RHSA_ELC</v>
          </cell>
          <cell r="D198">
            <v>1.1488970541270322</v>
          </cell>
          <cell r="E198">
            <v>1.2864317255957392</v>
          </cell>
          <cell r="F198">
            <v>1.6829338493592032</v>
          </cell>
          <cell r="G198">
            <v>4.6764343432814597</v>
          </cell>
          <cell r="H198">
            <v>5.3789060831413789</v>
          </cell>
          <cell r="I198">
            <v>5.8457367262569901</v>
          </cell>
        </row>
        <row r="199">
          <cell r="A199" t="str">
            <v>RHSA-WHELCHP</v>
          </cell>
          <cell r="B199" t="str">
            <v>VAR_ncap</v>
          </cell>
          <cell r="C199" t="str">
            <v>-</v>
          </cell>
          <cell r="D199">
            <v>1.64288531541012E-6</v>
          </cell>
          <cell r="E199">
            <v>3.2766681010376802E-2</v>
          </cell>
          <cell r="F199">
            <v>7.9980930571385694E-2</v>
          </cell>
          <cell r="G199">
            <v>0.58484115032766504</v>
          </cell>
          <cell r="H199">
            <v>0.42316880926196299</v>
          </cell>
          <cell r="I199">
            <v>0.82534849373154595</v>
          </cell>
        </row>
        <row r="200">
          <cell r="A200" t="str">
            <v>RHSA-WHELCHP</v>
          </cell>
          <cell r="B200" t="str">
            <v>VAR_cap</v>
          </cell>
          <cell r="C200" t="str">
            <v>-</v>
          </cell>
          <cell r="D200">
            <v>0.2133543053045564</v>
          </cell>
          <cell r="E200">
            <v>0.2461209863149332</v>
          </cell>
          <cell r="F200">
            <v>0.32610191688631901</v>
          </cell>
          <cell r="G200">
            <v>0.91094306721398399</v>
          </cell>
          <cell r="H200">
            <v>1.1066090599823393</v>
          </cell>
          <cell r="I200">
            <v>1.2465952063336301</v>
          </cell>
        </row>
        <row r="201">
          <cell r="A201" t="str">
            <v>D-ITOT_LTH_CHP</v>
          </cell>
          <cell r="B201" t="str">
            <v>VAR_fout</v>
          </cell>
          <cell r="C201" t="str">
            <v>ITOT_LTH_CHP_ON</v>
          </cell>
          <cell r="D201">
            <v>5.6086390896199898</v>
          </cell>
          <cell r="E201">
            <v>6.0095193103079314</v>
          </cell>
          <cell r="F201">
            <v>6.0621315401890481</v>
          </cell>
          <cell r="G201">
            <v>7.6866625234398072</v>
          </cell>
          <cell r="H201">
            <v>10.955008014496187</v>
          </cell>
          <cell r="I201">
            <v>13.42973325366602</v>
          </cell>
        </row>
        <row r="202">
          <cell r="A202" t="str">
            <v>D-ITOT_LTH_CHP</v>
          </cell>
          <cell r="B202" t="str">
            <v>VAR_fout</v>
          </cell>
          <cell r="C202" t="str">
            <v>LTH</v>
          </cell>
          <cell r="E202">
            <v>1.5020878407266604E-3</v>
          </cell>
          <cell r="F202">
            <v>3.7836483947950189E-3</v>
          </cell>
          <cell r="G202">
            <v>5.1101304406918242E-5</v>
          </cell>
          <cell r="H202">
            <v>2.0399164095812922E-3</v>
          </cell>
          <cell r="I202">
            <v>3.3185514922257385E-4</v>
          </cell>
        </row>
        <row r="203">
          <cell r="A203" t="str">
            <v>D-ITOT_LTH_CHP</v>
          </cell>
          <cell r="B203" t="str">
            <v>VAR_fin</v>
          </cell>
          <cell r="C203" t="str">
            <v>ITOT_LTH_CHP</v>
          </cell>
          <cell r="D203">
            <v>5.6086390896199898</v>
          </cell>
          <cell r="E203">
            <v>6.0110213981486593</v>
          </cell>
          <cell r="F203">
            <v>6.0659151885838405</v>
          </cell>
          <cell r="G203">
            <v>7.6867136247442156</v>
          </cell>
          <cell r="H203">
            <v>10.957047930905771</v>
          </cell>
          <cell r="I203">
            <v>13.430066257320368</v>
          </cell>
        </row>
        <row r="204">
          <cell r="A204" t="str">
            <v>SCOM-SHELCHP</v>
          </cell>
          <cell r="B204" t="str">
            <v>VAR_fout</v>
          </cell>
          <cell r="C204" t="str">
            <v>SCOM-SHAELCH</v>
          </cell>
          <cell r="D204">
            <v>4.2612050687649576</v>
          </cell>
          <cell r="E204">
            <v>4.6176480601682384</v>
          </cell>
          <cell r="F204">
            <v>4.8285278344911928</v>
          </cell>
          <cell r="G204">
            <v>5.2017150400056611</v>
          </cell>
          <cell r="H204">
            <v>6.036161065539436</v>
          </cell>
          <cell r="I204">
            <v>15.261177840844912</v>
          </cell>
        </row>
        <row r="205">
          <cell r="A205" t="str">
            <v>SCOM-SHELCHP</v>
          </cell>
          <cell r="B205" t="str">
            <v>VAR_fin</v>
          </cell>
          <cell r="C205" t="str">
            <v>SCOMELCHPC</v>
          </cell>
          <cell r="D205">
            <v>4.2612050687649576</v>
          </cell>
          <cell r="E205">
            <v>4.6176480601682384</v>
          </cell>
          <cell r="F205">
            <v>4.8285278344911928</v>
          </cell>
          <cell r="G205">
            <v>5.2017150400056611</v>
          </cell>
          <cell r="H205">
            <v>6.036161065539436</v>
          </cell>
          <cell r="I205">
            <v>15.261177840844912</v>
          </cell>
        </row>
        <row r="206">
          <cell r="A206" t="str">
            <v>SCOM-SHELCHP</v>
          </cell>
          <cell r="B206" t="str">
            <v>VAR_fin</v>
          </cell>
          <cell r="C206" t="str">
            <v>SCOM_ELC</v>
          </cell>
          <cell r="D206">
            <v>1.3316265839890495</v>
          </cell>
          <cell r="E206">
            <v>1.425200018570445</v>
          </cell>
          <cell r="F206">
            <v>1.4631902528761191</v>
          </cell>
          <cell r="G206">
            <v>1.5299161882369603</v>
          </cell>
          <cell r="H206">
            <v>1.6767114070942855</v>
          </cell>
          <cell r="I206">
            <v>4.0160994318012948</v>
          </cell>
        </row>
        <row r="207">
          <cell r="A207" t="str">
            <v>SCOM-SHELCHP</v>
          </cell>
          <cell r="B207" t="str">
            <v>VAR_ncap</v>
          </cell>
          <cell r="C207" t="str">
            <v>-</v>
          </cell>
          <cell r="H207">
            <v>0.14529925937864199</v>
          </cell>
          <cell r="I207">
            <v>0.94252924172771702</v>
          </cell>
        </row>
        <row r="208">
          <cell r="A208" t="str">
            <v>SCOM-SHELCHP</v>
          </cell>
          <cell r="B208" t="str">
            <v>VAR_cap</v>
          </cell>
          <cell r="C208" t="str">
            <v>-</v>
          </cell>
          <cell r="D208">
            <v>0.43061731345378801</v>
          </cell>
          <cell r="E208">
            <v>0.43061728444764746</v>
          </cell>
          <cell r="F208">
            <v>0.43061724797383322</v>
          </cell>
          <cell r="G208">
            <v>0.43061723657309336</v>
          </cell>
          <cell r="H208">
            <v>0.46858837659651964</v>
          </cell>
          <cell r="I208">
            <v>1.18472735353168</v>
          </cell>
        </row>
        <row r="209">
          <cell r="A209" t="str">
            <v>D-ITOT_NKEV_OIL_ELC_CHP</v>
          </cell>
          <cell r="B209" t="str">
            <v>VAR_fout</v>
          </cell>
          <cell r="C209" t="str">
            <v>ITOT_ELC</v>
          </cell>
          <cell r="D209">
            <v>7.0427689546178091E-2</v>
          </cell>
          <cell r="E209">
            <v>0.17147939282476499</v>
          </cell>
          <cell r="F209">
            <v>2.9097682574366897E-3</v>
          </cell>
          <cell r="G209">
            <v>0.17001333716993045</v>
          </cell>
          <cell r="H209">
            <v>6.6054450862275569E-3</v>
          </cell>
          <cell r="I209">
            <v>1.4553937199656595E-3</v>
          </cell>
        </row>
        <row r="210">
          <cell r="A210" t="str">
            <v>D-ITOT_NKEV_OIL_ELC_CHP</v>
          </cell>
          <cell r="B210" t="str">
            <v>VAR_fout</v>
          </cell>
          <cell r="C210" t="str">
            <v>ELC5</v>
          </cell>
          <cell r="D210">
            <v>7.2364974088990445E-5</v>
          </cell>
          <cell r="E210">
            <v>4.8174789238661807E-5</v>
          </cell>
          <cell r="F210">
            <v>2.5920193997520633E-5</v>
          </cell>
          <cell r="G210">
            <v>1.4930757945465418E-3</v>
          </cell>
          <cell r="H210">
            <v>2.103473611138927E-5</v>
          </cell>
          <cell r="I210">
            <v>5.4643041903961507E-5</v>
          </cell>
        </row>
        <row r="211">
          <cell r="A211" t="str">
            <v>D-ITOT_NKEV_OIL_ELC_CHP</v>
          </cell>
          <cell r="B211" t="str">
            <v>VAR_fin</v>
          </cell>
          <cell r="C211" t="str">
            <v>ITOT_NKEV_OIL_ELC_CHP</v>
          </cell>
          <cell r="D211">
            <v>7.0500054520267086E-2</v>
          </cell>
          <cell r="E211">
            <v>0.17152756761400367</v>
          </cell>
          <cell r="F211">
            <v>2.9355451539644114E-3</v>
          </cell>
          <cell r="G211">
            <v>0.17150614835132336</v>
          </cell>
          <cell r="H211">
            <v>6.6262915770496028E-3</v>
          </cell>
          <cell r="I211">
            <v>1.5100444926624385E-3</v>
          </cell>
        </row>
        <row r="212">
          <cell r="A212" t="str">
            <v>RHNS-SHELCBR</v>
          </cell>
          <cell r="B212" t="str">
            <v>VAR_fout</v>
          </cell>
          <cell r="C212" t="str">
            <v>RHNS-SHAELCB</v>
          </cell>
          <cell r="E212">
            <v>6.9060879984503873E-2</v>
          </cell>
          <cell r="F212">
            <v>6.8382370842407142E-2</v>
          </cell>
          <cell r="G212">
            <v>8.3749064675876756E-5</v>
          </cell>
          <cell r="H212">
            <v>1.2986197638002839E-5</v>
          </cell>
          <cell r="I212">
            <v>5.2396965489232547E-6</v>
          </cell>
        </row>
        <row r="213">
          <cell r="A213" t="str">
            <v>RHNS-SHELCBR</v>
          </cell>
          <cell r="B213" t="str">
            <v>VAR_fin</v>
          </cell>
          <cell r="C213" t="str">
            <v>RHNS_ELC</v>
          </cell>
          <cell r="E213">
            <v>7.2695663141583003E-2</v>
          </cell>
          <cell r="F213">
            <v>7.1981442992007386E-2</v>
          </cell>
          <cell r="G213">
            <v>8.81569101851334E-5</v>
          </cell>
          <cell r="H213">
            <v>1.3669681724213519E-5</v>
          </cell>
          <cell r="I213">
            <v>5.5154700514981653E-6</v>
          </cell>
        </row>
        <row r="214">
          <cell r="A214" t="str">
            <v>RHNS-SHELCBR</v>
          </cell>
          <cell r="B214" t="str">
            <v>VAR_ncap</v>
          </cell>
          <cell r="C214" t="str">
            <v>-</v>
          </cell>
          <cell r="E214">
            <v>5.07083425265823E-3</v>
          </cell>
        </row>
        <row r="215">
          <cell r="A215" t="str">
            <v>RHNS-SHELCBR</v>
          </cell>
          <cell r="B215" t="str">
            <v>VAR_cap</v>
          </cell>
          <cell r="C215" t="str">
            <v>-</v>
          </cell>
          <cell r="E215">
            <v>5.07083425265823E-3</v>
          </cell>
          <cell r="F215">
            <v>5.0708136899444995E-3</v>
          </cell>
          <cell r="G215">
            <v>1.0676712419820447E-5</v>
          </cell>
          <cell r="H215">
            <v>1.80315117402407E-6</v>
          </cell>
          <cell r="I215">
            <v>7.6272330217573197E-7</v>
          </cell>
        </row>
        <row r="216">
          <cell r="A216" t="str">
            <v>ITOT-SWHSTG-SOL</v>
          </cell>
          <cell r="B216" t="str">
            <v>VAR_fout</v>
          </cell>
          <cell r="C216" t="str">
            <v>ITOT-SWHASOL</v>
          </cell>
          <cell r="D216">
            <v>5.4300513545036283E-6</v>
          </cell>
          <cell r="F216">
            <v>7.0479460825063499E-4</v>
          </cell>
          <cell r="G216">
            <v>1.2993000295423619E-5</v>
          </cell>
          <cell r="H216">
            <v>1.1990450812355288E-6</v>
          </cell>
          <cell r="I216">
            <v>2.9696357082535986E-5</v>
          </cell>
        </row>
        <row r="217">
          <cell r="A217" t="str">
            <v>ITOT-SWHSTG-SOL</v>
          </cell>
          <cell r="B217" t="str">
            <v>VAR_fin</v>
          </cell>
          <cell r="C217" t="str">
            <v>ITOT-SWHASOL</v>
          </cell>
          <cell r="D217">
            <v>3.8493151434880715E-6</v>
          </cell>
          <cell r="F217">
            <v>9.0976434430796362E-4</v>
          </cell>
          <cell r="G217">
            <v>1.6256956242226751E-5</v>
          </cell>
          <cell r="H217">
            <v>9.5400286870894256E-7</v>
          </cell>
          <cell r="I217">
            <v>3.2964329487534592E-5</v>
          </cell>
        </row>
        <row r="218">
          <cell r="A218" t="str">
            <v>ITOT-SWHSTG-SOL</v>
          </cell>
          <cell r="B218" t="str">
            <v>VAR_ncap</v>
          </cell>
          <cell r="C218" t="str">
            <v>-</v>
          </cell>
          <cell r="D218">
            <v>7.3388013630929104E-5</v>
          </cell>
          <cell r="E218">
            <v>2.84787875738966E-3</v>
          </cell>
          <cell r="H218">
            <v>2.54112153318517E-8</v>
          </cell>
          <cell r="I218">
            <v>3.1147446652222701E-3</v>
          </cell>
        </row>
        <row r="219">
          <cell r="A219" t="str">
            <v>ITOT-SWHSTG-SOL</v>
          </cell>
          <cell r="B219" t="str">
            <v>VAR_cap</v>
          </cell>
          <cell r="C219" t="str">
            <v>-</v>
          </cell>
          <cell r="D219">
            <v>7.3388013630929104E-5</v>
          </cell>
          <cell r="E219">
            <v>2.9212667710205899E-3</v>
          </cell>
          <cell r="F219">
            <v>2.9212667710205899E-3</v>
          </cell>
          <cell r="G219">
            <v>2.9212667710205899E-3</v>
          </cell>
          <cell r="H219">
            <v>1.87573698407748E-7</v>
          </cell>
          <cell r="I219">
            <v>3.1148317008561099E-3</v>
          </cell>
        </row>
        <row r="220">
          <cell r="A220" t="str">
            <v>RHES-SHLTHCHPNGA</v>
          </cell>
          <cell r="B220" t="str">
            <v>VAR_fout</v>
          </cell>
          <cell r="C220" t="str">
            <v>RHES-SHLTHC-NGA</v>
          </cell>
          <cell r="D220">
            <v>2.994741349651469E-2</v>
          </cell>
          <cell r="E220">
            <v>3.7645627008572932E-6</v>
          </cell>
          <cell r="F220">
            <v>6.9528444269635812E-5</v>
          </cell>
          <cell r="G220">
            <v>8.6801173277346544E-5</v>
          </cell>
          <cell r="H220">
            <v>1.4063383785949376E-3</v>
          </cell>
          <cell r="I220">
            <v>1.3036807631424477E-3</v>
          </cell>
        </row>
        <row r="221">
          <cell r="A221" t="str">
            <v>RHES-SHLTHCHPNGA</v>
          </cell>
          <cell r="B221" t="str">
            <v>VAR_fin</v>
          </cell>
          <cell r="C221" t="str">
            <v>RHESLTHCHPC</v>
          </cell>
          <cell r="D221">
            <v>2.994741349651469E-2</v>
          </cell>
          <cell r="E221">
            <v>3.7645627008572932E-6</v>
          </cell>
          <cell r="F221">
            <v>6.9528444269635812E-5</v>
          </cell>
          <cell r="G221">
            <v>8.6801173277346544E-5</v>
          </cell>
          <cell r="H221">
            <v>1.4063383785949376E-3</v>
          </cell>
          <cell r="I221">
            <v>1.3036807631424477E-3</v>
          </cell>
        </row>
        <row r="222">
          <cell r="A222" t="str">
            <v>RHES-SHLTHCHPNGA</v>
          </cell>
          <cell r="B222" t="str">
            <v>VAR_fin</v>
          </cell>
          <cell r="C222" t="str">
            <v>RHES_LTH_CHPNGA_ON</v>
          </cell>
          <cell r="D222">
            <v>3.0249912622742101E-2</v>
          </cell>
          <cell r="E222">
            <v>3.8025885867245428E-6</v>
          </cell>
          <cell r="F222">
            <v>7.0230751787510903E-5</v>
          </cell>
          <cell r="G222">
            <v>8.7677952805400599E-5</v>
          </cell>
          <cell r="H222">
            <v>1.4205438167625632E-3</v>
          </cell>
          <cell r="I222">
            <v>1.3168492556994424E-3</v>
          </cell>
        </row>
        <row r="223">
          <cell r="A223" t="str">
            <v>RHES-SHLTHCHPNGA</v>
          </cell>
          <cell r="B223" t="str">
            <v>VAR_ncap</v>
          </cell>
          <cell r="C223" t="str">
            <v>-</v>
          </cell>
          <cell r="E223">
            <v>3.9064516467417899E-7</v>
          </cell>
          <cell r="F223">
            <v>8.2493379579873807E-6</v>
          </cell>
          <cell r="G223">
            <v>5.8609307928249101E-6</v>
          </cell>
          <cell r="H223">
            <v>8.3556547366410604E-5</v>
          </cell>
          <cell r="I223">
            <v>8.3744164560858297E-5</v>
          </cell>
        </row>
        <row r="224">
          <cell r="A224" t="str">
            <v>RHES-SHLTHCHPNGA</v>
          </cell>
          <cell r="B224" t="str">
            <v>VAR_cap</v>
          </cell>
          <cell r="C224" t="str">
            <v>-</v>
          </cell>
          <cell r="D224">
            <v>5.3757649990155603E-3</v>
          </cell>
          <cell r="E224">
            <v>5.6808336582492985E-7</v>
          </cell>
          <cell r="F224">
            <v>8.6269235407320302E-6</v>
          </cell>
          <cell r="G224">
            <v>8.6335513918966295E-6</v>
          </cell>
          <cell r="H224">
            <v>1.278794027913058E-4</v>
          </cell>
          <cell r="I224">
            <v>1.182079857473482E-4</v>
          </cell>
        </row>
        <row r="225">
          <cell r="A225" t="str">
            <v>RHSA-WHSTG-ELC</v>
          </cell>
          <cell r="B225" t="str">
            <v>VAR_fout</v>
          </cell>
          <cell r="C225" t="str">
            <v>RHSA-WHAELCB</v>
          </cell>
          <cell r="F225">
            <v>1.2959148895785797</v>
          </cell>
          <cell r="G225">
            <v>1.0742346183186571</v>
          </cell>
          <cell r="H225">
            <v>0.19974328275218808</v>
          </cell>
          <cell r="I225">
            <v>0.10021542740422185</v>
          </cell>
        </row>
        <row r="226">
          <cell r="A226" t="str">
            <v>RHSA-WHSTG-ELC</v>
          </cell>
          <cell r="B226" t="str">
            <v>VAR_fin</v>
          </cell>
          <cell r="C226" t="str">
            <v>RHSA-WHAELCB</v>
          </cell>
          <cell r="F226">
            <v>1.2959616442462736</v>
          </cell>
          <cell r="G226">
            <v>1.0742806159137757</v>
          </cell>
          <cell r="H226">
            <v>0.19975376300039621</v>
          </cell>
          <cell r="I226">
            <v>0.10021965350657157</v>
          </cell>
        </row>
        <row r="227">
          <cell r="A227" t="str">
            <v>RHSA-WHSTG-ELC</v>
          </cell>
          <cell r="B227" t="str">
            <v>VAR_ncap</v>
          </cell>
          <cell r="C227" t="str">
            <v>-</v>
          </cell>
          <cell r="D227">
            <v>2.2186816899339199E-4</v>
          </cell>
          <cell r="E227">
            <v>0.110784994565144</v>
          </cell>
          <cell r="F227">
            <v>5.0868842667918304E-7</v>
          </cell>
          <cell r="G227">
            <v>3.6751711140602403E-7</v>
          </cell>
          <cell r="H227">
            <v>2.6788014227953499E-2</v>
          </cell>
          <cell r="I227">
            <v>3.6982013588242699E-7</v>
          </cell>
        </row>
        <row r="228">
          <cell r="A228" t="str">
            <v>RHSA-WHSTG-ELC</v>
          </cell>
          <cell r="B228" t="str">
            <v>VAR_cap</v>
          </cell>
          <cell r="C228" t="str">
            <v>-</v>
          </cell>
          <cell r="D228">
            <v>2.227775378821131E-4</v>
          </cell>
          <cell r="E228">
            <v>0.11100764466140797</v>
          </cell>
          <cell r="F228">
            <v>0.11100764582829881</v>
          </cell>
          <cell r="G228">
            <v>0.10320894367007881</v>
          </cell>
          <cell r="H228">
            <v>2.679187587182447E-2</v>
          </cell>
          <cell r="I228">
            <v>1.1573502105854901E-2</v>
          </cell>
        </row>
        <row r="229">
          <cell r="A229" t="str">
            <v>ITOT-SWHLFOBR</v>
          </cell>
          <cell r="B229" t="str">
            <v>VAR_fout</v>
          </cell>
          <cell r="C229" t="str">
            <v>ITOT-SWH</v>
          </cell>
          <cell r="D229">
            <v>6.9177026649268329</v>
          </cell>
          <cell r="E229">
            <v>6.3642872070642609</v>
          </cell>
          <cell r="F229">
            <v>6.1767540656085247</v>
          </cell>
          <cell r="G229">
            <v>4.9793093382490801</v>
          </cell>
          <cell r="H229">
            <v>2.485713688078671</v>
          </cell>
          <cell r="I229">
            <v>0.18562407337658771</v>
          </cell>
        </row>
        <row r="230">
          <cell r="A230" t="str">
            <v>ITOT-SWHLFOBR</v>
          </cell>
          <cell r="B230" t="str">
            <v>VAR_fout</v>
          </cell>
          <cell r="C230" t="str">
            <v>CO2_I</v>
          </cell>
          <cell r="D230">
            <v>655.767869920306</v>
          </cell>
          <cell r="E230">
            <v>602.332078330743</v>
          </cell>
          <cell r="F230">
            <v>583.17060573519404</v>
          </cell>
          <cell r="G230">
            <v>468.22925315912499</v>
          </cell>
          <cell r="H230">
            <v>231.88341880255999</v>
          </cell>
          <cell r="I230">
            <v>17.179462185802901</v>
          </cell>
        </row>
        <row r="231">
          <cell r="A231" t="str">
            <v>ITOT-SWHLFOBR</v>
          </cell>
          <cell r="B231" t="str">
            <v>VAR_fin</v>
          </cell>
          <cell r="C231" t="str">
            <v>ILFO</v>
          </cell>
          <cell r="D231">
            <v>8.8978001346038784</v>
          </cell>
          <cell r="E231">
            <v>8.1727554726016738</v>
          </cell>
          <cell r="F231">
            <v>7.9127626287000616</v>
          </cell>
          <cell r="G231">
            <v>6.3531784689162123</v>
          </cell>
          <cell r="H231">
            <v>3.1463150448108554</v>
          </cell>
          <cell r="I231">
            <v>0.23309989397290184</v>
          </cell>
        </row>
        <row r="232">
          <cell r="A232" t="str">
            <v>ITOT-SWHLFOBR</v>
          </cell>
          <cell r="B232" t="str">
            <v>VAR_ncap</v>
          </cell>
          <cell r="C232" t="str">
            <v>-</v>
          </cell>
          <cell r="E232">
            <v>1.2200429474436699E-6</v>
          </cell>
          <cell r="F232">
            <v>1.64970323325647E-6</v>
          </cell>
          <cell r="G232">
            <v>3.3299969763054799E-7</v>
          </cell>
          <cell r="H232">
            <v>2.55999825195815E-2</v>
          </cell>
          <cell r="I232">
            <v>1.9515170090141299E-7</v>
          </cell>
        </row>
        <row r="233">
          <cell r="A233" t="str">
            <v>ITOT-SWHLFOBR</v>
          </cell>
          <cell r="B233" t="str">
            <v>VAR_cap</v>
          </cell>
          <cell r="C233" t="str">
            <v>-</v>
          </cell>
          <cell r="D233">
            <v>0.37633543963083199</v>
          </cell>
          <cell r="E233">
            <v>0.37633657157694145</v>
          </cell>
          <cell r="F233">
            <v>0.37633799575790938</v>
          </cell>
          <cell r="G233">
            <v>0.37633143043542966</v>
          </cell>
          <cell r="H233">
            <v>0.18166920267501593</v>
          </cell>
          <cell r="I233">
            <v>1.4960644280482896E-2</v>
          </cell>
        </row>
        <row r="234">
          <cell r="A234" t="str">
            <v>D-SCOM_LTH_CHPNGA</v>
          </cell>
          <cell r="B234" t="str">
            <v>VAR_fout</v>
          </cell>
          <cell r="C234" t="str">
            <v>LTH</v>
          </cell>
          <cell r="F234">
            <v>3.8259532170983353E-4</v>
          </cell>
          <cell r="G234">
            <v>8.2394297335738268E-4</v>
          </cell>
          <cell r="H234">
            <v>2.4059265820401229E-4</v>
          </cell>
        </row>
        <row r="235">
          <cell r="A235" t="str">
            <v>D-SCOM_LTH_CHPNGA</v>
          </cell>
          <cell r="B235" t="str">
            <v>VAR_fout</v>
          </cell>
          <cell r="C235" t="str">
            <v>SCOM_LTH_CHPNGA_ON</v>
          </cell>
          <cell r="D235">
            <v>0.6925742616173296</v>
          </cell>
          <cell r="E235">
            <v>0.75019029600863385</v>
          </cell>
          <cell r="F235">
            <v>0.65254492485806292</v>
          </cell>
          <cell r="G235">
            <v>0.66554432656641127</v>
          </cell>
          <cell r="H235">
            <v>0.27626068215528343</v>
          </cell>
          <cell r="I235">
            <v>1.0829052363490977E-4</v>
          </cell>
        </row>
        <row r="236">
          <cell r="A236" t="str">
            <v>D-SCOM_LTH_CHPNGA</v>
          </cell>
          <cell r="B236" t="str">
            <v>VAR_fin</v>
          </cell>
          <cell r="C236" t="str">
            <v>SCOM_LTH_CHPNGA</v>
          </cell>
          <cell r="D236">
            <v>0.6925742616173296</v>
          </cell>
          <cell r="E236">
            <v>0.75019034926717887</v>
          </cell>
          <cell r="F236">
            <v>0.65292752017977307</v>
          </cell>
          <cell r="G236">
            <v>0.66636826953976869</v>
          </cell>
          <cell r="H236">
            <v>0.27650127481348769</v>
          </cell>
          <cell r="I236">
            <v>1.085025072091696E-4</v>
          </cell>
        </row>
        <row r="237">
          <cell r="A237" t="str">
            <v>D-IWOD</v>
          </cell>
          <cell r="B237" t="str">
            <v>VAR_fout</v>
          </cell>
          <cell r="C237" t="str">
            <v>IWOD</v>
          </cell>
          <cell r="D237">
            <v>9.8744365581458187</v>
          </cell>
          <cell r="E237">
            <v>13.198148408614768</v>
          </cell>
          <cell r="F237">
            <v>15.182563583456734</v>
          </cell>
          <cell r="G237">
            <v>17.366289009209858</v>
          </cell>
          <cell r="H237">
            <v>22.155347025528403</v>
          </cell>
          <cell r="I237">
            <v>23.652305143551608</v>
          </cell>
        </row>
        <row r="238">
          <cell r="A238" t="str">
            <v>D-IWOD</v>
          </cell>
          <cell r="B238" t="str">
            <v>VAR_fin</v>
          </cell>
          <cell r="C238" t="str">
            <v>WOD</v>
          </cell>
          <cell r="D238">
            <v>9.8744365581458187</v>
          </cell>
          <cell r="E238">
            <v>13.198148408614768</v>
          </cell>
          <cell r="F238">
            <v>15.182563583456734</v>
          </cell>
          <cell r="G238">
            <v>17.366289009209858</v>
          </cell>
          <cell r="H238">
            <v>22.155347025528403</v>
          </cell>
          <cell r="I238">
            <v>23.652305143551608</v>
          </cell>
        </row>
        <row r="239">
          <cell r="A239" t="str">
            <v>SCOM-ELCSPEC</v>
          </cell>
          <cell r="B239" t="str">
            <v>VAR_fout</v>
          </cell>
          <cell r="C239" t="str">
            <v>SCOM-ELS</v>
          </cell>
          <cell r="D239">
            <v>56.994774574912441</v>
          </cell>
          <cell r="E239">
            <v>58.701894601492249</v>
          </cell>
          <cell r="F239">
            <v>59.663274087213331</v>
          </cell>
          <cell r="G239">
            <v>60.552444159712174</v>
          </cell>
          <cell r="H239">
            <v>60.838638625494383</v>
          </cell>
          <cell r="I239">
            <v>62.021852728052153</v>
          </cell>
        </row>
        <row r="240">
          <cell r="A240" t="str">
            <v>SCOM-ELCSPEC</v>
          </cell>
          <cell r="B240" t="str">
            <v>VAR_fin</v>
          </cell>
          <cell r="C240" t="str">
            <v>SCOM_ELC</v>
          </cell>
          <cell r="D240">
            <v>56.994774574912441</v>
          </cell>
          <cell r="E240">
            <v>58.701894601492249</v>
          </cell>
          <cell r="F240">
            <v>59.663274087213331</v>
          </cell>
          <cell r="G240">
            <v>60.552444159712174</v>
          </cell>
          <cell r="H240">
            <v>60.838638625494383</v>
          </cell>
          <cell r="I240">
            <v>62.021852728052153</v>
          </cell>
        </row>
        <row r="241">
          <cell r="A241" t="str">
            <v>SCOM-ELCSPEC</v>
          </cell>
          <cell r="B241" t="str">
            <v>VAR_ncap</v>
          </cell>
          <cell r="C241" t="str">
            <v>-</v>
          </cell>
          <cell r="E241">
            <v>1.69056337826658E-8</v>
          </cell>
          <cell r="F241">
            <v>1.9505944233661299E-8</v>
          </cell>
          <cell r="G241">
            <v>2.2627484781408501E-8</v>
          </cell>
          <cell r="H241">
            <v>1.51255215214032E-2</v>
          </cell>
          <cell r="I241">
            <v>5.95688852806623</v>
          </cell>
        </row>
        <row r="242">
          <cell r="A242" t="str">
            <v>SCOM-ELCSPEC</v>
          </cell>
          <cell r="B242" t="str">
            <v>VAR_cap</v>
          </cell>
          <cell r="C242" t="str">
            <v>-</v>
          </cell>
          <cell r="D242">
            <v>6.6055312683538601</v>
          </cell>
          <cell r="E242">
            <v>6.4003514438407425</v>
          </cell>
          <cell r="F242">
            <v>6.4003514289921801</v>
          </cell>
          <cell r="G242">
            <v>6.4003514311026235</v>
          </cell>
          <cell r="H242">
            <v>6.4306019270680075</v>
          </cell>
          <cell r="I242">
            <v>6.5556667875214698</v>
          </cell>
        </row>
        <row r="243">
          <cell r="A243" t="str">
            <v>D-ITOT_KEV_WST_ELC_CHP</v>
          </cell>
          <cell r="B243" t="str">
            <v>VAR_fout</v>
          </cell>
          <cell r="C243" t="str">
            <v>ITOT_ELC</v>
          </cell>
          <cell r="D243">
            <v>2.2764686918931934E-5</v>
          </cell>
          <cell r="E243">
            <v>7.546312179490988E-6</v>
          </cell>
          <cell r="F243">
            <v>1.3797417901350967E-5</v>
          </cell>
          <cell r="G243">
            <v>0.32124567391351139</v>
          </cell>
          <cell r="H243">
            <v>0.27980221257691151</v>
          </cell>
          <cell r="I243">
            <v>0.4832816615712423</v>
          </cell>
        </row>
        <row r="244">
          <cell r="A244" t="str">
            <v>D-ITOT_KEV_WST_ELC_CHP</v>
          </cell>
          <cell r="B244" t="str">
            <v>VAR_fout</v>
          </cell>
          <cell r="C244" t="str">
            <v>ELC5</v>
          </cell>
          <cell r="D244">
            <v>0.23001731518254778</v>
          </cell>
          <cell r="E244">
            <v>0.20753205353598386</v>
          </cell>
          <cell r="F244">
            <v>0.33669176638734855</v>
          </cell>
          <cell r="G244">
            <v>1.1699613664349478E-2</v>
          </cell>
          <cell r="H244">
            <v>3.3966388309955166E-2</v>
          </cell>
          <cell r="I244">
            <v>0.10968323866869557</v>
          </cell>
        </row>
        <row r="245">
          <cell r="A245" t="str">
            <v>D-ITOT_KEV_WST_ELC_CHP</v>
          </cell>
          <cell r="B245" t="str">
            <v>VAR_fin</v>
          </cell>
          <cell r="C245" t="str">
            <v>ITOT_KEV_WST_ELC_CHP</v>
          </cell>
          <cell r="D245">
            <v>0.23004007986946667</v>
          </cell>
          <cell r="E245">
            <v>0.2075395998481632</v>
          </cell>
          <cell r="F245">
            <v>0.33670547578737114</v>
          </cell>
          <cell r="G245">
            <v>0.33294516750130332</v>
          </cell>
          <cell r="H245">
            <v>0.3137686008868667</v>
          </cell>
          <cell r="I245">
            <v>0.59296490023993786</v>
          </cell>
        </row>
        <row r="246">
          <cell r="A246" t="str">
            <v>D-RHNM_SOLELC</v>
          </cell>
          <cell r="B246" t="str">
            <v>VAR_fout</v>
          </cell>
          <cell r="C246" t="str">
            <v>ELC5</v>
          </cell>
          <cell r="E246">
            <v>0.1491076462590421</v>
          </cell>
          <cell r="F246">
            <v>0.23853862873874876</v>
          </cell>
          <cell r="G246">
            <v>0.29266625024529758</v>
          </cell>
          <cell r="H246">
            <v>0.39126726332049883</v>
          </cell>
          <cell r="I246">
            <v>0.51805997711253615</v>
          </cell>
        </row>
        <row r="247">
          <cell r="A247" t="str">
            <v>D-RHNM_SOLELC</v>
          </cell>
          <cell r="B247" t="str">
            <v>VAR_fout</v>
          </cell>
          <cell r="C247" t="str">
            <v>RHNM_ELC</v>
          </cell>
          <cell r="E247">
            <v>0.14652423631828201</v>
          </cell>
          <cell r="F247">
            <v>0.23421000971529046</v>
          </cell>
          <cell r="G247">
            <v>0.2822314504944069</v>
          </cell>
          <cell r="H247">
            <v>0.38134717146165964</v>
          </cell>
          <cell r="I247">
            <v>0.5202691679500957</v>
          </cell>
        </row>
        <row r="248">
          <cell r="A248" t="str">
            <v>D-RHNM_SOLELC</v>
          </cell>
          <cell r="B248" t="str">
            <v>VAR_fin</v>
          </cell>
          <cell r="C248" t="str">
            <v>RHNM_SOL_ELC</v>
          </cell>
          <cell r="E248">
            <v>0.29563184970243983</v>
          </cell>
          <cell r="F248">
            <v>0.47274852499752307</v>
          </cell>
          <cell r="G248">
            <v>0.57489753778804098</v>
          </cell>
          <cell r="H248">
            <v>0.77261421978962219</v>
          </cell>
          <cell r="I248">
            <v>1.0383289765060941</v>
          </cell>
        </row>
        <row r="249">
          <cell r="A249" t="str">
            <v>RHNM-SHSTG-ELCHP</v>
          </cell>
          <cell r="B249" t="str">
            <v>VAR_fout</v>
          </cell>
          <cell r="C249" t="str">
            <v>RHNM-SHAELCH</v>
          </cell>
          <cell r="F249">
            <v>0.22314387764958968</v>
          </cell>
          <cell r="G249">
            <v>0.54406503511158788</v>
          </cell>
          <cell r="H249">
            <v>0.54962924758577536</v>
          </cell>
          <cell r="I249">
            <v>1.0504599880616068</v>
          </cell>
        </row>
        <row r="250">
          <cell r="A250" t="str">
            <v>RHNM-SHSTG-ELCHP</v>
          </cell>
          <cell r="B250" t="str">
            <v>VAR_fin</v>
          </cell>
          <cell r="C250" t="str">
            <v>RHNM-SHAELCH</v>
          </cell>
          <cell r="F250">
            <v>0.22315284133680985</v>
          </cell>
          <cell r="G250">
            <v>0.54408588649905654</v>
          </cell>
          <cell r="H250">
            <v>0.5496482720711291</v>
          </cell>
          <cell r="I250">
            <v>1.0504929844900939</v>
          </cell>
        </row>
        <row r="251">
          <cell r="A251" t="str">
            <v>RHNM-SHSTG-ELCHP</v>
          </cell>
          <cell r="B251" t="str">
            <v>VAR_ncap</v>
          </cell>
          <cell r="C251" t="str">
            <v>-</v>
          </cell>
          <cell r="D251">
            <v>2.15270121408157E-7</v>
          </cell>
          <cell r="E251">
            <v>1.64538379418882E-7</v>
          </cell>
          <cell r="F251">
            <v>2.4790899067744499E-2</v>
          </cell>
          <cell r="G251">
            <v>4.1642653245918503E-2</v>
          </cell>
          <cell r="H251">
            <v>5.7187376152416702E-2</v>
          </cell>
          <cell r="I251">
            <v>7.3402207810613906E-2</v>
          </cell>
        </row>
        <row r="252">
          <cell r="A252" t="str">
            <v>RHNM-SHSTG-ELCHP</v>
          </cell>
          <cell r="B252" t="str">
            <v>VAR_cap</v>
          </cell>
          <cell r="C252" t="str">
            <v>-</v>
          </cell>
          <cell r="D252">
            <v>2.15270121408157E-7</v>
          </cell>
          <cell r="E252">
            <v>5.3323583188083008E-8</v>
          </cell>
          <cell r="F252">
            <v>2.4790841479655039E-2</v>
          </cell>
          <cell r="G252">
            <v>6.6433293606318805E-2</v>
          </cell>
          <cell r="H252">
            <v>0.11278460928677496</v>
          </cell>
          <cell r="I252">
            <v>0.12453409363122077</v>
          </cell>
        </row>
        <row r="253">
          <cell r="A253" t="str">
            <v>D-SCOM_LTH</v>
          </cell>
          <cell r="B253" t="str">
            <v>VAR_fout</v>
          </cell>
          <cell r="C253" t="str">
            <v>SCOM_LTH_DH</v>
          </cell>
          <cell r="D253">
            <v>5.6100001255957936</v>
          </cell>
          <cell r="E253">
            <v>6.0767024270973193</v>
          </cell>
          <cell r="F253">
            <v>6.0767028551898621</v>
          </cell>
          <cell r="G253">
            <v>8.347352200549345</v>
          </cell>
          <cell r="H253">
            <v>8.490656756336012</v>
          </cell>
          <cell r="I253">
            <v>8.4906567814478411</v>
          </cell>
        </row>
        <row r="254">
          <cell r="A254" t="str">
            <v>D-SCOM_LTH</v>
          </cell>
          <cell r="B254" t="str">
            <v>VAR_fin</v>
          </cell>
          <cell r="C254" t="str">
            <v>LTH</v>
          </cell>
          <cell r="D254">
            <v>6.0987758702385548</v>
          </cell>
          <cell r="E254">
            <v>6.60440380931108</v>
          </cell>
          <cell r="F254">
            <v>6.6018017246220673</v>
          </cell>
          <cell r="G254">
            <v>9.0627098533086983</v>
          </cell>
          <cell r="H254">
            <v>9.2062106173562253</v>
          </cell>
          <cell r="I254">
            <v>9.1941574753717639</v>
          </cell>
        </row>
        <row r="255">
          <cell r="A255" t="str">
            <v>D-SCOM_LTH</v>
          </cell>
          <cell r="B255" t="str">
            <v>VAR_ncap</v>
          </cell>
          <cell r="C255" t="str">
            <v>-</v>
          </cell>
          <cell r="D255">
            <v>0.84970025188041198</v>
          </cell>
        </row>
        <row r="256">
          <cell r="A256" t="str">
            <v>D-SCOM_LTH</v>
          </cell>
          <cell r="B256" t="str">
            <v>VAR_cap</v>
          </cell>
          <cell r="C256" t="str">
            <v>-</v>
          </cell>
          <cell r="D256">
            <v>0.84970025188041198</v>
          </cell>
          <cell r="E256">
            <v>0.84970025188041198</v>
          </cell>
          <cell r="F256">
            <v>0.84970025188041198</v>
          </cell>
          <cell r="G256">
            <v>0.84970025188041198</v>
          </cell>
          <cell r="H256">
            <v>0.84970025188041198</v>
          </cell>
          <cell r="I256">
            <v>0.84970025188041198</v>
          </cell>
        </row>
        <row r="257">
          <cell r="A257" t="str">
            <v>ITOT-SWHBIOBR</v>
          </cell>
          <cell r="B257" t="str">
            <v>VAR_fout</v>
          </cell>
          <cell r="C257" t="str">
            <v>ITOT-SWH</v>
          </cell>
          <cell r="D257">
            <v>0.31051061460323287</v>
          </cell>
          <cell r="E257">
            <v>0.39251803742760294</v>
          </cell>
          <cell r="F257">
            <v>1.3497620651779529</v>
          </cell>
          <cell r="G257">
            <v>3.0690270352140141</v>
          </cell>
          <cell r="H257">
            <v>3.069027421476124</v>
          </cell>
          <cell r="I257">
            <v>3.1078758914500195</v>
          </cell>
        </row>
        <row r="258">
          <cell r="A258" t="str">
            <v>ITOT-SWHBIOBR</v>
          </cell>
          <cell r="B258" t="str">
            <v>VAR_fin</v>
          </cell>
          <cell r="C258" t="str">
            <v>IBIO</v>
          </cell>
          <cell r="D258">
            <v>0.43672378987796473</v>
          </cell>
          <cell r="E258">
            <v>0.55206475024979285</v>
          </cell>
          <cell r="F258">
            <v>1.8983995290829139</v>
          </cell>
          <cell r="G258">
            <v>4.3164937204135194</v>
          </cell>
          <cell r="H258">
            <v>4.3164942636794938</v>
          </cell>
          <cell r="I258">
            <v>4.3164942936805852</v>
          </cell>
        </row>
        <row r="259">
          <cell r="A259" t="str">
            <v>ITOT-SWHBIOBR</v>
          </cell>
          <cell r="B259" t="str">
            <v>VAR_ncap</v>
          </cell>
          <cell r="C259" t="str">
            <v>-</v>
          </cell>
          <cell r="E259">
            <v>9.5459379542938306E-3</v>
          </cell>
          <cell r="F259">
            <v>7.7772599853238297E-2</v>
          </cell>
          <cell r="G259">
            <v>6.5498459539027207E-2</v>
          </cell>
          <cell r="H259">
            <v>0.14513130407019301</v>
          </cell>
          <cell r="I259">
            <v>0.118956588266764</v>
          </cell>
        </row>
        <row r="260">
          <cell r="A260" t="str">
            <v>ITOT-SWHBIOBR</v>
          </cell>
          <cell r="B260" t="str">
            <v>VAR_cap</v>
          </cell>
          <cell r="C260" t="str">
            <v>-</v>
          </cell>
          <cell r="D260">
            <v>1.7013611085743299E-2</v>
          </cell>
          <cell r="E260">
            <v>2.6559491533152565E-2</v>
          </cell>
          <cell r="F260">
            <v>0.10433194418349748</v>
          </cell>
          <cell r="G260">
            <v>0.16983017916781359</v>
          </cell>
          <cell r="H260">
            <v>0.22919331917046418</v>
          </cell>
          <cell r="I260">
            <v>0.2350923705780405</v>
          </cell>
        </row>
        <row r="261">
          <cell r="A261" t="str">
            <v>RHNS-SHPLTBR</v>
          </cell>
          <cell r="B261" t="str">
            <v>VAR_fout</v>
          </cell>
          <cell r="C261" t="str">
            <v>RHNS-SHPLT</v>
          </cell>
          <cell r="F261">
            <v>1.6283058381701996E-5</v>
          </cell>
          <cell r="G261">
            <v>6.1318382019483496E-5</v>
          </cell>
          <cell r="H261">
            <v>1.7759958794615925E-4</v>
          </cell>
          <cell r="I261">
            <v>6.5505032888876116E-2</v>
          </cell>
        </row>
        <row r="262">
          <cell r="A262" t="str">
            <v>RHNS-SHPLTBR</v>
          </cell>
          <cell r="B262" t="str">
            <v>VAR_fin</v>
          </cell>
          <cell r="C262" t="str">
            <v>RPLT</v>
          </cell>
          <cell r="F262">
            <v>1.8092287090779998E-5</v>
          </cell>
          <cell r="G262">
            <v>6.8131535577203899E-5</v>
          </cell>
          <cell r="H262">
            <v>1.9733287549573262E-4</v>
          </cell>
          <cell r="I262">
            <v>7.2783369876528947E-2</v>
          </cell>
        </row>
        <row r="263">
          <cell r="A263" t="str">
            <v>RHNS-SHPLTBR</v>
          </cell>
          <cell r="B263" t="str">
            <v>VAR_ncap</v>
          </cell>
          <cell r="C263" t="str">
            <v>-</v>
          </cell>
          <cell r="F263">
            <v>1.49723495192939E-6</v>
          </cell>
          <cell r="G263">
            <v>3.1722328418701302E-6</v>
          </cell>
          <cell r="H263">
            <v>1.07139823846328E-5</v>
          </cell>
          <cell r="I263">
            <v>4.7786931679599104E-3</v>
          </cell>
        </row>
        <row r="264">
          <cell r="A264" t="str">
            <v>RHNS-SHPLTBR</v>
          </cell>
          <cell r="B264" t="str">
            <v>VAR_cap</v>
          </cell>
          <cell r="C264" t="str">
            <v>-</v>
          </cell>
          <cell r="F264">
            <v>1.49723495192939E-6</v>
          </cell>
          <cell r="G264">
            <v>4.66946779379953E-6</v>
          </cell>
          <cell r="H264">
            <v>1.3292705427734502E-5</v>
          </cell>
          <cell r="I264">
            <v>4.7865317053767502E-3</v>
          </cell>
        </row>
        <row r="265">
          <cell r="A265" t="str">
            <v>SCOM-SHLTHCHPNGA</v>
          </cell>
          <cell r="B265" t="str">
            <v>VAR_fout</v>
          </cell>
          <cell r="C265" t="str">
            <v>SCOM-SHLTHC-NGA</v>
          </cell>
          <cell r="D265">
            <v>0.68564851900115598</v>
          </cell>
          <cell r="E265">
            <v>0.74268839304854684</v>
          </cell>
          <cell r="F265">
            <v>0.64601947560948236</v>
          </cell>
          <cell r="G265">
            <v>0.65888888330074713</v>
          </cell>
          <cell r="H265">
            <v>0.27349807533373055</v>
          </cell>
          <cell r="I265">
            <v>1.0720761839856068E-4</v>
          </cell>
        </row>
        <row r="266">
          <cell r="A266" t="str">
            <v>SCOM-SHLTHCHPNGA</v>
          </cell>
          <cell r="B266" t="str">
            <v>VAR_fin</v>
          </cell>
          <cell r="C266" t="str">
            <v>SCOMLTHCHPC</v>
          </cell>
          <cell r="D266">
            <v>0.68564851900115598</v>
          </cell>
          <cell r="E266">
            <v>0.74268839304854684</v>
          </cell>
          <cell r="F266">
            <v>0.64601947560948236</v>
          </cell>
          <cell r="G266">
            <v>0.65888888330074713</v>
          </cell>
          <cell r="H266">
            <v>0.27349807533373055</v>
          </cell>
          <cell r="I266">
            <v>1.0720761839856068E-4</v>
          </cell>
        </row>
        <row r="267">
          <cell r="A267" t="str">
            <v>SCOM-SHLTHCHPNGA</v>
          </cell>
          <cell r="B267" t="str">
            <v>VAR_fin</v>
          </cell>
          <cell r="C267" t="str">
            <v>SCOM_LTH_CHPNGA_ON</v>
          </cell>
          <cell r="D267">
            <v>0.6925742616173296</v>
          </cell>
          <cell r="E267">
            <v>0.75019029600863385</v>
          </cell>
          <cell r="F267">
            <v>0.65254492485806292</v>
          </cell>
          <cell r="G267">
            <v>0.66554432656641127</v>
          </cell>
          <cell r="H267">
            <v>0.27626068215528343</v>
          </cell>
          <cell r="I267">
            <v>1.0829052363490977E-4</v>
          </cell>
        </row>
        <row r="268">
          <cell r="A268" t="str">
            <v>SCOM-SHLTHCHPNGA</v>
          </cell>
          <cell r="B268" t="str">
            <v>VAR_ncap</v>
          </cell>
          <cell r="C268" t="str">
            <v>-</v>
          </cell>
          <cell r="E268">
            <v>8.7007713685648505E-4</v>
          </cell>
          <cell r="F268">
            <v>1.36508476242013E-3</v>
          </cell>
          <cell r="G268">
            <v>2.3148501160500999E-3</v>
          </cell>
          <cell r="H268">
            <v>4.0838035719363699E-4</v>
          </cell>
          <cell r="I268">
            <v>3.1673509242845999E-6</v>
          </cell>
        </row>
        <row r="269">
          <cell r="A269" t="str">
            <v>SCOM-SHLTHCHPNGA</v>
          </cell>
          <cell r="B269" t="str">
            <v>VAR_cap</v>
          </cell>
          <cell r="C269" t="str">
            <v>-</v>
          </cell>
          <cell r="D269">
            <v>7.5969268958526903E-2</v>
          </cell>
          <cell r="E269">
            <v>5.7387842823355684E-2</v>
          </cell>
          <cell r="F269">
            <v>4.991858616609321E-2</v>
          </cell>
          <cell r="G269">
            <v>5.0912620623479309E-2</v>
          </cell>
          <cell r="H269">
            <v>2.113331903878999E-2</v>
          </cell>
          <cell r="I269">
            <v>9.1492936942997455E-6</v>
          </cell>
        </row>
        <row r="270">
          <cell r="A270" t="str">
            <v>ITOT-PROCESSCO2</v>
          </cell>
          <cell r="B270" t="str">
            <v>VAR_fout</v>
          </cell>
          <cell r="C270" t="str">
            <v>CO2</v>
          </cell>
          <cell r="D270">
            <v>2120.5745177745098</v>
          </cell>
          <cell r="E270">
            <v>2195.9990660291501</v>
          </cell>
          <cell r="F270">
            <v>2091.4843946779802</v>
          </cell>
          <cell r="G270">
            <v>1986.9697379126401</v>
          </cell>
          <cell r="H270">
            <v>1907.70572852284</v>
          </cell>
          <cell r="I270">
            <v>1829.39344703185</v>
          </cell>
        </row>
        <row r="271">
          <cell r="A271" t="str">
            <v>ITOT-PROCESSCO2</v>
          </cell>
          <cell r="B271" t="str">
            <v>VAR_fout</v>
          </cell>
          <cell r="C271" t="str">
            <v>CO2P</v>
          </cell>
          <cell r="D271">
            <v>2120.5745177745098</v>
          </cell>
          <cell r="E271">
            <v>2195.9990660291501</v>
          </cell>
          <cell r="F271">
            <v>2091.4843946779802</v>
          </cell>
          <cell r="G271">
            <v>1986.9697379126414</v>
          </cell>
          <cell r="H271">
            <v>1907.7057285228352</v>
          </cell>
          <cell r="I271">
            <v>1829.3934470318479</v>
          </cell>
        </row>
        <row r="272">
          <cell r="A272" t="str">
            <v>RHNM-SHWODBR</v>
          </cell>
          <cell r="B272" t="str">
            <v>VAR_fout</v>
          </cell>
          <cell r="C272" t="str">
            <v>RHNM-SHWOD</v>
          </cell>
          <cell r="E272">
            <v>8.1138378454257434E-2</v>
          </cell>
          <cell r="F272">
            <v>8.1138368988199344E-2</v>
          </cell>
          <cell r="G272">
            <v>8.1138345325607431E-2</v>
          </cell>
          <cell r="H272">
            <v>8.1138280579804253E-2</v>
          </cell>
          <cell r="I272">
            <v>3.4777427151792661E-2</v>
          </cell>
        </row>
        <row r="273">
          <cell r="A273" t="str">
            <v>RHNM-SHWODBR</v>
          </cell>
          <cell r="B273" t="str">
            <v>VAR_fin</v>
          </cell>
          <cell r="C273" t="str">
            <v>RHNMWODBRC</v>
          </cell>
          <cell r="E273">
            <v>8.1138378454257434E-2</v>
          </cell>
          <cell r="F273">
            <v>8.1138368988199344E-2</v>
          </cell>
          <cell r="G273">
            <v>8.1138345325607431E-2</v>
          </cell>
          <cell r="H273">
            <v>8.1138280579804253E-2</v>
          </cell>
          <cell r="I273">
            <v>3.4777427151792661E-2</v>
          </cell>
        </row>
        <row r="274">
          <cell r="A274" t="str">
            <v>RHNM-SHWODBR</v>
          </cell>
          <cell r="B274" t="str">
            <v>VAR_fin</v>
          </cell>
          <cell r="C274" t="str">
            <v>RWOD</v>
          </cell>
          <cell r="E274">
            <v>0.11269219229757978</v>
          </cell>
          <cell r="F274">
            <v>0.11269217915027684</v>
          </cell>
          <cell r="G274">
            <v>0.11269214628556598</v>
          </cell>
          <cell r="H274">
            <v>0.11269205636083932</v>
          </cell>
          <cell r="I274">
            <v>4.8301982155267563E-2</v>
          </cell>
        </row>
        <row r="275">
          <cell r="A275" t="str">
            <v>RHNM-SHWODBR</v>
          </cell>
          <cell r="B275" t="str">
            <v>VAR_ncap</v>
          </cell>
          <cell r="C275" t="str">
            <v>-</v>
          </cell>
          <cell r="E275">
            <v>6.2990368393274904E-3</v>
          </cell>
          <cell r="F275">
            <v>1.92908489102444E-5</v>
          </cell>
        </row>
        <row r="276">
          <cell r="A276" t="str">
            <v>RHNM-SHWODBR</v>
          </cell>
          <cell r="B276" t="str">
            <v>VAR_cap</v>
          </cell>
          <cell r="C276" t="str">
            <v>-</v>
          </cell>
          <cell r="E276">
            <v>6.2990368393274904E-3</v>
          </cell>
          <cell r="F276">
            <v>6.3183276882377301E-3</v>
          </cell>
          <cell r="G276">
            <v>6.3183276882377301E-3</v>
          </cell>
          <cell r="H276">
            <v>6.4146226479571983E-3</v>
          </cell>
          <cell r="I276">
            <v>2.7119081197328602E-3</v>
          </cell>
        </row>
        <row r="277">
          <cell r="A277" t="str">
            <v>RHNS-SHDEM</v>
          </cell>
          <cell r="B277" t="str">
            <v>VAR_fout</v>
          </cell>
          <cell r="C277" t="str">
            <v>RHNS-SHD</v>
          </cell>
          <cell r="E277">
            <v>0.40498900274511701</v>
          </cell>
          <cell r="F277">
            <v>0.99391635777870935</v>
          </cell>
          <cell r="G277">
            <v>1.8460248800363404</v>
          </cell>
          <cell r="H277">
            <v>2.5788967122966504</v>
          </cell>
          <cell r="I277">
            <v>3.3274456281604796</v>
          </cell>
        </row>
        <row r="278">
          <cell r="A278" t="str">
            <v>RHNS-SHDEM</v>
          </cell>
          <cell r="B278" t="str">
            <v>VAR_fin</v>
          </cell>
          <cell r="C278" t="str">
            <v>RHNS-SHLTHC-WOD</v>
          </cell>
          <cell r="E278">
            <v>3.0246365085625198E-5</v>
          </cell>
          <cell r="F278">
            <v>2.6325649194513173E-4</v>
          </cell>
          <cell r="G278">
            <v>2.0744816292299343E-4</v>
          </cell>
          <cell r="H278">
            <v>1.9324433069063069E-4</v>
          </cell>
          <cell r="I278">
            <v>5.2520410173253671E-4</v>
          </cell>
        </row>
        <row r="279">
          <cell r="A279" t="str">
            <v>RHNS-SHDEM</v>
          </cell>
          <cell r="B279" t="str">
            <v>VAR_fin</v>
          </cell>
          <cell r="C279" t="str">
            <v>RHNS-SHLFO</v>
          </cell>
          <cell r="E279">
            <v>5.7131485052816164E-4</v>
          </cell>
          <cell r="F279">
            <v>4.4864754654403593E-4</v>
          </cell>
          <cell r="G279">
            <v>2.0289660159765661E-4</v>
          </cell>
          <cell r="H279">
            <v>1.5663895366640842E-4</v>
          </cell>
          <cell r="I279">
            <v>5.0711977007483159E-4</v>
          </cell>
        </row>
        <row r="280">
          <cell r="A280" t="str">
            <v>RHNS-SHDEM</v>
          </cell>
          <cell r="B280" t="str">
            <v>VAR_fin</v>
          </cell>
          <cell r="C280" t="str">
            <v>RHNS-SHNGAH</v>
          </cell>
          <cell r="E280">
            <v>8.8685648834127019E-5</v>
          </cell>
          <cell r="F280">
            <v>9.9398927408119266E-4</v>
          </cell>
          <cell r="G280">
            <v>7.0469808131023548E-4</v>
          </cell>
          <cell r="H280">
            <v>0.13487235350416818</v>
          </cell>
          <cell r="I280">
            <v>0.14424478941095289</v>
          </cell>
        </row>
        <row r="281">
          <cell r="A281" t="str">
            <v>RHNS-SHDEM</v>
          </cell>
          <cell r="B281" t="str">
            <v>VAR_fin</v>
          </cell>
          <cell r="C281" t="str">
            <v>RHNS-SHCON</v>
          </cell>
          <cell r="F281">
            <v>1.443817844370277E-6</v>
          </cell>
          <cell r="G281">
            <v>1.438099521138015E-6</v>
          </cell>
          <cell r="H281">
            <v>1.6472252439755792E-6</v>
          </cell>
          <cell r="I281">
            <v>1.7009561546928572E-6</v>
          </cell>
        </row>
        <row r="282">
          <cell r="A282" t="str">
            <v>RHNS-SHDEM</v>
          </cell>
          <cell r="B282" t="str">
            <v>VAR_fin</v>
          </cell>
          <cell r="C282" t="str">
            <v>RHNS-SHWOD</v>
          </cell>
          <cell r="E282">
            <v>2.6466879862035352E-2</v>
          </cell>
          <cell r="F282">
            <v>9.4223866397030426E-2</v>
          </cell>
          <cell r="G282">
            <v>0.10880681797491605</v>
          </cell>
          <cell r="H282">
            <v>0.11824303118748403</v>
          </cell>
          <cell r="I282">
            <v>4.3462688943212764E-2</v>
          </cell>
        </row>
        <row r="283">
          <cell r="A283" t="str">
            <v>RHNS-SHDEM</v>
          </cell>
          <cell r="B283" t="str">
            <v>VAR_fin</v>
          </cell>
          <cell r="C283" t="str">
            <v>RHNS-SHNST</v>
          </cell>
          <cell r="E283">
            <v>9.2532224799364929E-5</v>
          </cell>
          <cell r="F283">
            <v>1.0056533617937716E-5</v>
          </cell>
          <cell r="G283">
            <v>9.4200954540198375E-5</v>
          </cell>
          <cell r="H283">
            <v>7.7937920191576728E-5</v>
          </cell>
          <cell r="I283">
            <v>2.8111721167204892E-4</v>
          </cell>
        </row>
        <row r="284">
          <cell r="A284" t="str">
            <v>RHNS-SHDEM</v>
          </cell>
          <cell r="B284" t="str">
            <v>VAR_fin</v>
          </cell>
          <cell r="C284" t="str">
            <v>RHNS-SHPLT</v>
          </cell>
          <cell r="E284">
            <v>1.4643227366515865E-4</v>
          </cell>
          <cell r="F284">
            <v>4.4061875309467298E-4</v>
          </cell>
          <cell r="G284">
            <v>2.2896026299786774E-4</v>
          </cell>
          <cell r="H284">
            <v>2.9207654069453439E-4</v>
          </cell>
          <cell r="I284">
            <v>6.5054235756883405E-2</v>
          </cell>
        </row>
        <row r="285">
          <cell r="A285" t="str">
            <v>RHNS-SHDEM</v>
          </cell>
          <cell r="B285" t="str">
            <v>VAR_fin</v>
          </cell>
          <cell r="C285" t="str">
            <v>RHNS-SHLTHD</v>
          </cell>
          <cell r="E285">
            <v>5.3726822837475548E-2</v>
          </cell>
          <cell r="F285">
            <v>7.1401592786075288E-2</v>
          </cell>
          <cell r="G285">
            <v>0.11524201033769599</v>
          </cell>
          <cell r="H285">
            <v>0.2994856009920227</v>
          </cell>
          <cell r="I285">
            <v>0.44891950209620296</v>
          </cell>
        </row>
        <row r="286">
          <cell r="A286" t="str">
            <v>RHNS-SHDEM</v>
          </cell>
          <cell r="B286" t="str">
            <v>VAR_fin</v>
          </cell>
          <cell r="C286" t="str">
            <v>RHNS-SHELCB</v>
          </cell>
          <cell r="E286">
            <v>6.847269955340779E-2</v>
          </cell>
          <cell r="F286">
            <v>6.7842583192884526E-2</v>
          </cell>
          <cell r="G286">
            <v>2.5029774721298779E-4</v>
          </cell>
          <cell r="H286">
            <v>1.5766042755703053E-4</v>
          </cell>
          <cell r="I286">
            <v>5.0795326813710573E-4</v>
          </cell>
        </row>
        <row r="287">
          <cell r="A287" t="str">
            <v>RHNS-SHDEM</v>
          </cell>
          <cell r="B287" t="str">
            <v>VAR_fin</v>
          </cell>
          <cell r="C287" t="str">
            <v>RHNS-SHELCH</v>
          </cell>
          <cell r="E287">
            <v>0.1403134056743002</v>
          </cell>
          <cell r="F287">
            <v>0.48010249349401696</v>
          </cell>
          <cell r="G287">
            <v>1.34358042682808</v>
          </cell>
          <cell r="H287">
            <v>1.9887067203371338</v>
          </cell>
          <cell r="I287">
            <v>2.6100385509299642</v>
          </cell>
        </row>
        <row r="288">
          <cell r="A288" t="str">
            <v>RHNS-SHDEM</v>
          </cell>
          <cell r="B288" t="str">
            <v>VAR_fin</v>
          </cell>
          <cell r="C288" t="str">
            <v>RHNS-SHSOL</v>
          </cell>
          <cell r="E288">
            <v>1.2293741100989505E-2</v>
          </cell>
          <cell r="F288">
            <v>1.2606541140872006E-2</v>
          </cell>
          <cell r="G288">
            <v>1.3140352131845865E-2</v>
          </cell>
          <cell r="H288">
            <v>1.3165519368625967E-2</v>
          </cell>
          <cell r="I288">
            <v>1.2877630520717989E-2</v>
          </cell>
        </row>
        <row r="289">
          <cell r="A289" t="str">
            <v>RHNS-SHDEM</v>
          </cell>
          <cell r="B289" t="str">
            <v>VAR_fin</v>
          </cell>
          <cell r="C289" t="str">
            <v>RHNS-SHLTHC-NGA</v>
          </cell>
          <cell r="E289">
            <v>1.3911889756717864E-3</v>
          </cell>
          <cell r="F289">
            <v>1.215919590194363E-3</v>
          </cell>
          <cell r="G289">
            <v>9.148919572983539E-4</v>
          </cell>
          <cell r="H289">
            <v>5.3974317057240893E-4</v>
          </cell>
          <cell r="I289">
            <v>5.2054032033558737E-4</v>
          </cell>
        </row>
        <row r="290">
          <cell r="A290" t="str">
            <v>RHNS-SHDEM</v>
          </cell>
          <cell r="B290" t="str">
            <v>VAR_fin</v>
          </cell>
          <cell r="C290" t="str">
            <v>RHNS-SHNGA</v>
          </cell>
          <cell r="E290">
            <v>0.10139675639987181</v>
          </cell>
          <cell r="F290">
            <v>0.26437151656984131</v>
          </cell>
          <cell r="G290">
            <v>0.26265601654644172</v>
          </cell>
          <cell r="H290">
            <v>2.3009392791035092E-2</v>
          </cell>
          <cell r="I290">
            <v>5.089056565880304E-4</v>
          </cell>
        </row>
        <row r="291">
          <cell r="A291" t="str">
            <v>RES-ELCSPEC</v>
          </cell>
          <cell r="B291" t="str">
            <v>VAR_fout</v>
          </cell>
          <cell r="C291" t="str">
            <v>RHSA-ELS</v>
          </cell>
          <cell r="D291">
            <v>44.57690562589147</v>
          </cell>
          <cell r="E291">
            <v>44.827338187192517</v>
          </cell>
          <cell r="F291">
            <v>44.633490663800735</v>
          </cell>
          <cell r="G291">
            <v>44.838272422380498</v>
          </cell>
          <cell r="H291">
            <v>44.325528677686826</v>
          </cell>
          <cell r="I291">
            <v>43.181173145511003</v>
          </cell>
        </row>
        <row r="292">
          <cell r="A292" t="str">
            <v>RES-ELCSPEC</v>
          </cell>
          <cell r="B292" t="str">
            <v>VAR_fin</v>
          </cell>
          <cell r="C292" t="str">
            <v>RHSA_ELC</v>
          </cell>
          <cell r="D292">
            <v>44.57690562589147</v>
          </cell>
          <cell r="E292">
            <v>44.827338187192517</v>
          </cell>
          <cell r="F292">
            <v>44.633490663800735</v>
          </cell>
          <cell r="G292">
            <v>44.838272422380498</v>
          </cell>
          <cell r="H292">
            <v>44.325528677686826</v>
          </cell>
          <cell r="I292">
            <v>43.181173145511003</v>
          </cell>
        </row>
        <row r="293">
          <cell r="A293" t="str">
            <v>RES-ELCSPEC</v>
          </cell>
          <cell r="B293" t="str">
            <v>VAR_ncap</v>
          </cell>
          <cell r="C293" t="str">
            <v>-</v>
          </cell>
          <cell r="D293">
            <v>0.193211288431616</v>
          </cell>
          <cell r="E293">
            <v>2.7327235445168101E-8</v>
          </cell>
          <cell r="F293">
            <v>3.0773068911625697E-8</v>
          </cell>
          <cell r="G293">
            <v>2.9737244553716901E-8</v>
          </cell>
          <cell r="H293">
            <v>1.9965262741581099E-8</v>
          </cell>
          <cell r="I293">
            <v>4.1400852077172203</v>
          </cell>
        </row>
        <row r="294">
          <cell r="A294" t="str">
            <v>RES-ELCSPEC</v>
          </cell>
          <cell r="B294" t="str">
            <v>VAR_cap</v>
          </cell>
          <cell r="C294" t="str">
            <v>-</v>
          </cell>
          <cell r="D294">
            <v>4.7117479725620859</v>
          </cell>
          <cell r="E294">
            <v>4.7382186353763549</v>
          </cell>
          <cell r="F294">
            <v>4.7393744423112416</v>
          </cell>
          <cell r="G294">
            <v>4.7393743343092201</v>
          </cell>
          <cell r="H294">
            <v>4.6851777638662293</v>
          </cell>
          <cell r="I294">
            <v>4.564220062089225</v>
          </cell>
        </row>
        <row r="295">
          <cell r="A295" t="str">
            <v>SCOM-SHCONBR1</v>
          </cell>
          <cell r="B295" t="str">
            <v>VAR_fout</v>
          </cell>
          <cell r="C295" t="str">
            <v>SCOM-SHCON</v>
          </cell>
          <cell r="E295">
            <v>1.5197451035728076</v>
          </cell>
          <cell r="F295">
            <v>1.5197304146549881</v>
          </cell>
          <cell r="G295">
            <v>2.617790871553634</v>
          </cell>
          <cell r="H295">
            <v>2.61779100229798</v>
          </cell>
          <cell r="I295">
            <v>2.6177908040537674</v>
          </cell>
        </row>
        <row r="296">
          <cell r="A296" t="str">
            <v>SCOM-SHCONBR1</v>
          </cell>
          <cell r="B296" t="str">
            <v>VAR_fin</v>
          </cell>
          <cell r="C296" t="str">
            <v>CON</v>
          </cell>
          <cell r="E296">
            <v>1.5197451035728076</v>
          </cell>
          <cell r="F296">
            <v>1.5197304146549881</v>
          </cell>
          <cell r="G296">
            <v>2.617790871553634</v>
          </cell>
          <cell r="H296">
            <v>2.61779100229798</v>
          </cell>
          <cell r="I296">
            <v>2.6177908040537674</v>
          </cell>
        </row>
        <row r="297">
          <cell r="A297" t="str">
            <v>SCOM-SHCONBR1</v>
          </cell>
          <cell r="B297" t="str">
            <v>VAR_ncap</v>
          </cell>
          <cell r="C297" t="str">
            <v>-</v>
          </cell>
          <cell r="E297">
            <v>0.11743130664467399</v>
          </cell>
          <cell r="F297">
            <v>1.2951236046920701E-8</v>
          </cell>
          <cell r="G297">
            <v>8.4846700697365496E-2</v>
          </cell>
          <cell r="H297">
            <v>3.0532941352056499E-7</v>
          </cell>
          <cell r="I297">
            <v>4.9544090585736902E-2</v>
          </cell>
        </row>
        <row r="298">
          <cell r="A298" t="str">
            <v>SCOM-SHCONBR1</v>
          </cell>
          <cell r="B298" t="str">
            <v>VAR_cap</v>
          </cell>
          <cell r="C298" t="str">
            <v>-</v>
          </cell>
          <cell r="E298">
            <v>0.11743130664467399</v>
          </cell>
          <cell r="F298">
            <v>0.11743131959590999</v>
          </cell>
          <cell r="G298">
            <v>0.20227802029327599</v>
          </cell>
          <cell r="H298">
            <v>0.20229604303287399</v>
          </cell>
          <cell r="I298">
            <v>0.20229598425390799</v>
          </cell>
        </row>
        <row r="299">
          <cell r="A299" t="str">
            <v>RHSA-WHSTG-SOL</v>
          </cell>
          <cell r="B299" t="str">
            <v>VAR_fout</v>
          </cell>
          <cell r="C299" t="str">
            <v>RHSA-WHASOL</v>
          </cell>
          <cell r="D299">
            <v>2.12559026462902E-7</v>
          </cell>
          <cell r="F299">
            <v>0.41271406088272977</v>
          </cell>
          <cell r="G299">
            <v>0.43741871295432455</v>
          </cell>
          <cell r="H299">
            <v>0.58927045748044615</v>
          </cell>
          <cell r="I299">
            <v>0.68234249507125666</v>
          </cell>
        </row>
        <row r="300">
          <cell r="A300" t="str">
            <v>RHSA-WHSTG-SOL</v>
          </cell>
          <cell r="B300" t="str">
            <v>VAR_fin</v>
          </cell>
          <cell r="C300" t="str">
            <v>RHSA-WHASOL</v>
          </cell>
          <cell r="D300">
            <v>2.1569177664152902E-8</v>
          </cell>
          <cell r="F300">
            <v>0.41273468364931859</v>
          </cell>
          <cell r="G300">
            <v>0.4374444094111265</v>
          </cell>
          <cell r="H300">
            <v>0.5893045995126821</v>
          </cell>
          <cell r="I300">
            <v>0.68237820905143576</v>
          </cell>
        </row>
        <row r="301">
          <cell r="A301" t="str">
            <v>RHSA-WHSTG-SOL</v>
          </cell>
          <cell r="B301" t="str">
            <v>VAR_ncap</v>
          </cell>
          <cell r="C301" t="str">
            <v>-</v>
          </cell>
          <cell r="D301">
            <v>1.3665942729413E-4</v>
          </cell>
          <cell r="E301">
            <v>6.7751427972359293E-2</v>
          </cell>
          <cell r="H301">
            <v>8.0242991149453394E-2</v>
          </cell>
          <cell r="I301">
            <v>4.1668217601593997E-2</v>
          </cell>
        </row>
        <row r="302">
          <cell r="A302" t="str">
            <v>RHSA-WHSTG-SOL</v>
          </cell>
          <cell r="B302" t="str">
            <v>VAR_cap</v>
          </cell>
          <cell r="C302" t="str">
            <v>-</v>
          </cell>
          <cell r="D302">
            <v>1.3772198025772682E-4</v>
          </cell>
          <cell r="E302">
            <v>6.7889149952616995E-2</v>
          </cell>
          <cell r="F302">
            <v>6.7889149952616995E-2</v>
          </cell>
          <cell r="G302">
            <v>6.7889149952616995E-2</v>
          </cell>
          <cell r="H302">
            <v>9.1555138219009902E-2</v>
          </cell>
          <cell r="I302">
            <v>0.104688224040448</v>
          </cell>
        </row>
        <row r="303">
          <cell r="A303" t="str">
            <v>SCOM-SHCONBR2</v>
          </cell>
          <cell r="B303" t="str">
            <v>VAR_fout</v>
          </cell>
          <cell r="C303" t="str">
            <v>SCOM-SHCON</v>
          </cell>
          <cell r="E303">
            <v>2.3670361985719799</v>
          </cell>
          <cell r="F303">
            <v>2.3670207458944872</v>
          </cell>
          <cell r="G303">
            <v>4.0772670926966121</v>
          </cell>
          <cell r="H303">
            <v>4.077267228869812</v>
          </cell>
          <cell r="I303">
            <v>4.0772670310055936</v>
          </cell>
        </row>
        <row r="304">
          <cell r="A304" t="str">
            <v>SCOM-SHCONBR2</v>
          </cell>
          <cell r="B304" t="str">
            <v>VAR_fin</v>
          </cell>
          <cell r="C304" t="str">
            <v>CON</v>
          </cell>
          <cell r="E304">
            <v>2.3670361985719799</v>
          </cell>
          <cell r="F304">
            <v>2.3670207458944872</v>
          </cell>
          <cell r="G304">
            <v>4.0772670926966121</v>
          </cell>
          <cell r="H304">
            <v>4.077267228869812</v>
          </cell>
          <cell r="I304">
            <v>4.0772670310055936</v>
          </cell>
        </row>
        <row r="305">
          <cell r="A305" t="str">
            <v>SCOM-SHCONBR2</v>
          </cell>
          <cell r="B305" t="str">
            <v>VAR_ncap</v>
          </cell>
          <cell r="C305" t="str">
            <v>-</v>
          </cell>
          <cell r="E305">
            <v>0.18290185937494099</v>
          </cell>
          <cell r="F305">
            <v>1.11730539979143E-8</v>
          </cell>
          <cell r="G305">
            <v>0.132150509705252</v>
          </cell>
          <cell r="H305">
            <v>4.4040194314721597E-7</v>
          </cell>
          <cell r="I305">
            <v>7.7166059186625696E-2</v>
          </cell>
        </row>
        <row r="306">
          <cell r="A306" t="str">
            <v>SCOM-SHCONBR2</v>
          </cell>
          <cell r="B306" t="str">
            <v>VAR_cap</v>
          </cell>
          <cell r="C306" t="str">
            <v>-</v>
          </cell>
          <cell r="E306">
            <v>0.18290185937494099</v>
          </cell>
          <cell r="F306">
            <v>0.182901870547995</v>
          </cell>
          <cell r="G306">
            <v>0.315052380253247</v>
          </cell>
          <cell r="H306">
            <v>0.31508043601174501</v>
          </cell>
          <cell r="I306">
            <v>0.31508038775900299</v>
          </cell>
        </row>
        <row r="307">
          <cell r="A307" t="str">
            <v>SCOM-SHCONBR3</v>
          </cell>
          <cell r="B307" t="str">
            <v>VAR_fout</v>
          </cell>
          <cell r="C307" t="str">
            <v>SCOM-SHCON</v>
          </cell>
          <cell r="E307">
            <v>1.9019999371189904</v>
          </cell>
          <cell r="F307">
            <v>1.9019847478871879</v>
          </cell>
          <cell r="G307">
            <v>1.9019979190928769</v>
          </cell>
          <cell r="H307">
            <v>3.2762327465665142</v>
          </cell>
          <cell r="I307">
            <v>3.2762325614258758</v>
          </cell>
        </row>
        <row r="308">
          <cell r="A308" t="str">
            <v>SCOM-SHCONBR3</v>
          </cell>
          <cell r="B308" t="str">
            <v>VAR_fin</v>
          </cell>
          <cell r="C308" t="str">
            <v>CON</v>
          </cell>
          <cell r="E308">
            <v>1.9019999371189904</v>
          </cell>
          <cell r="F308">
            <v>1.9019847478871879</v>
          </cell>
          <cell r="G308">
            <v>1.9019979190928769</v>
          </cell>
          <cell r="H308">
            <v>3.2762327465665142</v>
          </cell>
          <cell r="I308">
            <v>3.2762325614258758</v>
          </cell>
        </row>
        <row r="309">
          <cell r="A309" t="str">
            <v>SCOM-SHCONBR3</v>
          </cell>
          <cell r="B309" t="str">
            <v>VAR_ncap</v>
          </cell>
          <cell r="C309" t="str">
            <v>-</v>
          </cell>
          <cell r="E309">
            <v>0.14696830438365899</v>
          </cell>
          <cell r="G309">
            <v>2.4742658635429299E-8</v>
          </cell>
          <cell r="H309">
            <v>0.10620994858001501</v>
          </cell>
          <cell r="I309">
            <v>6.2005855402285599E-2</v>
          </cell>
        </row>
        <row r="310">
          <cell r="A310" t="str">
            <v>SCOM-SHCONBR3</v>
          </cell>
          <cell r="B310" t="str">
            <v>VAR_cap</v>
          </cell>
          <cell r="C310" t="str">
            <v>-</v>
          </cell>
          <cell r="E310">
            <v>0.14696830438365899</v>
          </cell>
          <cell r="F310">
            <v>0.14696830438365899</v>
          </cell>
          <cell r="G310">
            <v>0.14696832912631699</v>
          </cell>
          <cell r="H310">
            <v>0.25317844228979802</v>
          </cell>
          <cell r="I310">
            <v>0.25317852218255199</v>
          </cell>
        </row>
        <row r="311">
          <cell r="A311" t="str">
            <v>SCOM-SHCONBR4</v>
          </cell>
          <cell r="B311" t="str">
            <v>VAR_fout</v>
          </cell>
          <cell r="C311" t="str">
            <v>SCOM-SHCON</v>
          </cell>
          <cell r="E311">
            <v>0.52286292614372643</v>
          </cell>
          <cell r="F311">
            <v>0.52285020548736094</v>
          </cell>
          <cell r="G311">
            <v>0.52286079116205109</v>
          </cell>
          <cell r="H311">
            <v>3.4639563623187652</v>
          </cell>
          <cell r="I311">
            <v>3.6025630807356692</v>
          </cell>
        </row>
        <row r="312">
          <cell r="A312" t="str">
            <v>SCOM-SHCONBR4</v>
          </cell>
          <cell r="B312" t="str">
            <v>VAR_fin</v>
          </cell>
          <cell r="C312" t="str">
            <v>CON</v>
          </cell>
          <cell r="E312">
            <v>0.52286292614372643</v>
          </cell>
          <cell r="F312">
            <v>0.52285020548736094</v>
          </cell>
          <cell r="G312">
            <v>0.52286079116205109</v>
          </cell>
          <cell r="H312">
            <v>3.4639563623187652</v>
          </cell>
          <cell r="I312">
            <v>3.6025630807356692</v>
          </cell>
        </row>
        <row r="313">
          <cell r="A313" t="str">
            <v>SCOM-SHCONBR4</v>
          </cell>
          <cell r="B313" t="str">
            <v>VAR_ncap</v>
          </cell>
          <cell r="C313" t="str">
            <v>-</v>
          </cell>
          <cell r="E313">
            <v>4.0401786247796598E-2</v>
          </cell>
          <cell r="H313">
            <v>0.22726004764385599</v>
          </cell>
          <cell r="I313">
            <v>2.77799465852216E-2</v>
          </cell>
        </row>
        <row r="314">
          <cell r="A314" t="str">
            <v>SCOM-SHCONBR4</v>
          </cell>
          <cell r="B314" t="str">
            <v>VAR_cap</v>
          </cell>
          <cell r="C314" t="str">
            <v>-</v>
          </cell>
          <cell r="E314">
            <v>4.0401786247796598E-2</v>
          </cell>
          <cell r="F314">
            <v>4.0401786247796598E-2</v>
          </cell>
          <cell r="G314">
            <v>4.0401786247796598E-2</v>
          </cell>
          <cell r="H314">
            <v>0.26766196814281801</v>
          </cell>
          <cell r="I314">
            <v>0.27839644292532101</v>
          </cell>
        </row>
        <row r="315">
          <cell r="A315" t="str">
            <v>RHEM-SHNGABR</v>
          </cell>
          <cell r="B315" t="str">
            <v>VAR_fout</v>
          </cell>
          <cell r="C315" t="str">
            <v>CO2_R</v>
          </cell>
          <cell r="D315">
            <v>1127.96304856543</v>
          </cell>
          <cell r="E315">
            <v>892.79070631468801</v>
          </cell>
          <cell r="F315">
            <v>1116.1839420077299</v>
          </cell>
          <cell r="G315">
            <v>1110.6526660040099</v>
          </cell>
          <cell r="H315">
            <v>924.80783127283098</v>
          </cell>
          <cell r="I315">
            <v>801.51525449910901</v>
          </cell>
        </row>
        <row r="316">
          <cell r="A316" t="str">
            <v>RHEM-SHNGABR</v>
          </cell>
          <cell r="B316" t="str">
            <v>VAR_fout</v>
          </cell>
          <cell r="C316" t="str">
            <v>RHEM-SHNGA</v>
          </cell>
          <cell r="D316">
            <v>18.999377591084315</v>
          </cell>
          <cell r="E316">
            <v>15.038141329768678</v>
          </cell>
          <cell r="F316">
            <v>18.800970654385456</v>
          </cell>
          <cell r="G316">
            <v>18.707801998294535</v>
          </cell>
          <cell r="H316">
            <v>15.577436874276403</v>
          </cell>
          <cell r="I316">
            <v>13.500700208761591</v>
          </cell>
        </row>
        <row r="317">
          <cell r="A317" t="str">
            <v>RHEM-SHNGABR</v>
          </cell>
          <cell r="B317" t="str">
            <v>VAR_fin</v>
          </cell>
          <cell r="C317" t="str">
            <v>RNGA</v>
          </cell>
          <cell r="D317">
            <v>19.999344832720357</v>
          </cell>
          <cell r="E317">
            <v>15.82962245238808</v>
          </cell>
          <cell r="F317">
            <v>19.790495425668908</v>
          </cell>
          <cell r="G317">
            <v>19.692423156099519</v>
          </cell>
          <cell r="H317">
            <v>16.397301972922531</v>
          </cell>
          <cell r="I317">
            <v>14.21126337764378</v>
          </cell>
        </row>
        <row r="318">
          <cell r="A318" t="str">
            <v>RHEM-SHNGABR</v>
          </cell>
          <cell r="B318" t="str">
            <v>VAR_ncap</v>
          </cell>
          <cell r="C318" t="str">
            <v>-</v>
          </cell>
          <cell r="G318">
            <v>1.87147379816212E-8</v>
          </cell>
          <cell r="H318">
            <v>0.21997404614451599</v>
          </cell>
          <cell r="I318">
            <v>0.46331294569923498</v>
          </cell>
        </row>
        <row r="319">
          <cell r="A319" t="str">
            <v>RHEM-SHNGABR</v>
          </cell>
          <cell r="B319" t="str">
            <v>VAR_cap</v>
          </cell>
          <cell r="C319" t="str">
            <v>-</v>
          </cell>
          <cell r="D319">
            <v>1.34683498965227</v>
          </cell>
          <cell r="E319">
            <v>1.3468349750928477</v>
          </cell>
          <cell r="F319">
            <v>1.3468349673499627</v>
          </cell>
          <cell r="G319">
            <v>1.3468349695829991</v>
          </cell>
          <cell r="H319">
            <v>1.1096884256621899</v>
          </cell>
          <cell r="I319">
            <v>0.99929989767461103</v>
          </cell>
        </row>
        <row r="320">
          <cell r="A320" t="str">
            <v>SCOM-SHCONBR5</v>
          </cell>
          <cell r="B320" t="str">
            <v>VAR_fout</v>
          </cell>
          <cell r="C320" t="str">
            <v>SCOM-SHCON</v>
          </cell>
          <cell r="E320">
            <v>0.65259132545904108</v>
          </cell>
          <cell r="F320">
            <v>0.65257810280176154</v>
          </cell>
          <cell r="G320">
            <v>0.65258912241371569</v>
          </cell>
          <cell r="H320">
            <v>3.9155362256486028</v>
          </cell>
          <cell r="I320">
            <v>3.9968021121190906</v>
          </cell>
        </row>
        <row r="321">
          <cell r="A321" t="str">
            <v>SCOM-SHCONBR5</v>
          </cell>
          <cell r="B321" t="str">
            <v>VAR_fin</v>
          </cell>
          <cell r="C321" t="str">
            <v>CON</v>
          </cell>
          <cell r="E321">
            <v>0.65259132545904108</v>
          </cell>
          <cell r="F321">
            <v>0.65257810280176154</v>
          </cell>
          <cell r="G321">
            <v>0.65258912241371569</v>
          </cell>
          <cell r="H321">
            <v>3.9155362256486028</v>
          </cell>
          <cell r="I321">
            <v>3.9968021121190906</v>
          </cell>
        </row>
        <row r="322">
          <cell r="A322" t="str">
            <v>SCOM-SHCONBR5</v>
          </cell>
          <cell r="B322" t="str">
            <v>VAR_ncap</v>
          </cell>
          <cell r="C322" t="str">
            <v>-</v>
          </cell>
          <cell r="E322">
            <v>5.0425956317572199E-2</v>
          </cell>
          <cell r="H322">
            <v>0.25212976762791001</v>
          </cell>
          <cell r="I322">
            <v>2.75810767739826E-2</v>
          </cell>
        </row>
        <row r="323">
          <cell r="A323" t="str">
            <v>SCOM-SHCONBR5</v>
          </cell>
          <cell r="B323" t="str">
            <v>VAR_cap</v>
          </cell>
          <cell r="C323" t="str">
            <v>-</v>
          </cell>
          <cell r="E323">
            <v>5.0425956317572199E-2</v>
          </cell>
          <cell r="F323">
            <v>5.0425956317572199E-2</v>
          </cell>
          <cell r="G323">
            <v>5.0425956317572199E-2</v>
          </cell>
          <cell r="H323">
            <v>0.302555744169831</v>
          </cell>
          <cell r="I323">
            <v>0.30886216216351903</v>
          </cell>
        </row>
        <row r="324">
          <cell r="A324" t="str">
            <v>RHES-SHSTG-ELCHP</v>
          </cell>
          <cell r="B324" t="str">
            <v>VAR_fout</v>
          </cell>
          <cell r="C324" t="str">
            <v>RHES-SHAELCH</v>
          </cell>
          <cell r="D324">
            <v>6.9169533593437692E-8</v>
          </cell>
          <cell r="E324">
            <v>9.4187974759634904E-8</v>
          </cell>
          <cell r="F324">
            <v>1.5295469307975145</v>
          </cell>
          <cell r="G324">
            <v>1.1741679479333635</v>
          </cell>
          <cell r="H324">
            <v>1.0245913388315238</v>
          </cell>
          <cell r="I324">
            <v>3.3402238850428749</v>
          </cell>
        </row>
        <row r="325">
          <cell r="A325" t="str">
            <v>RHES-SHSTG-ELCHP</v>
          </cell>
          <cell r="B325" t="str">
            <v>VAR_fin</v>
          </cell>
          <cell r="C325" t="str">
            <v>RHES-SHAELCH</v>
          </cell>
          <cell r="D325">
            <v>5.2346121116358802E-8</v>
          </cell>
          <cell r="E325">
            <v>5.9853772748874502E-8</v>
          </cell>
          <cell r="F325">
            <v>1.5296282872941787</v>
          </cell>
          <cell r="G325">
            <v>1.174208353662773</v>
          </cell>
          <cell r="H325">
            <v>1.024629100109065</v>
          </cell>
          <cell r="I325">
            <v>3.3403425767674544</v>
          </cell>
        </row>
        <row r="326">
          <cell r="A326" t="str">
            <v>RHES-SHSTG-ELCHP</v>
          </cell>
          <cell r="B326" t="str">
            <v>VAR_ncap</v>
          </cell>
          <cell r="C326" t="str">
            <v>-</v>
          </cell>
          <cell r="D326">
            <v>1.03657054853697E-4</v>
          </cell>
          <cell r="E326">
            <v>0.14639591138749999</v>
          </cell>
          <cell r="F326">
            <v>4.0254729047470398E-7</v>
          </cell>
          <cell r="G326">
            <v>6.0080215136262296E-7</v>
          </cell>
          <cell r="H326">
            <v>0.12260144287458399</v>
          </cell>
          <cell r="I326">
            <v>0.28726943688016798</v>
          </cell>
        </row>
        <row r="327">
          <cell r="A327" t="str">
            <v>RHES-SHSTG-ELCHP</v>
          </cell>
          <cell r="B327" t="str">
            <v>VAR_cap</v>
          </cell>
          <cell r="C327" t="str">
            <v>-</v>
          </cell>
          <cell r="D327">
            <v>1.03657054853697E-4</v>
          </cell>
          <cell r="E327">
            <v>0.14649947371135713</v>
          </cell>
          <cell r="F327">
            <v>0.14649945595928493</v>
          </cell>
          <cell r="G327">
            <v>0.14649956358753974</v>
          </cell>
          <cell r="H327">
            <v>0.19406971744198412</v>
          </cell>
          <cell r="I327">
            <v>0.40647549675737943</v>
          </cell>
        </row>
        <row r="328">
          <cell r="A328" t="str">
            <v>SCOM-SHCONBR6</v>
          </cell>
          <cell r="B328" t="str">
            <v>VAR_fout</v>
          </cell>
          <cell r="C328" t="str">
            <v>SCOM-SHCON</v>
          </cell>
          <cell r="H328">
            <v>0.35869422637833659</v>
          </cell>
          <cell r="I328">
            <v>3.8574783520203457</v>
          </cell>
        </row>
        <row r="329">
          <cell r="A329" t="str">
            <v>SCOM-SHCONBR6</v>
          </cell>
          <cell r="B329" t="str">
            <v>VAR_fin</v>
          </cell>
          <cell r="C329" t="str">
            <v>CON</v>
          </cell>
          <cell r="H329">
            <v>0.35869422637833659</v>
          </cell>
          <cell r="I329">
            <v>3.8574783520203457</v>
          </cell>
        </row>
        <row r="330">
          <cell r="A330" t="str">
            <v>SCOM-SHCONBR6</v>
          </cell>
          <cell r="B330" t="str">
            <v>VAR_ncap</v>
          </cell>
          <cell r="C330" t="str">
            <v>-</v>
          </cell>
          <cell r="H330">
            <v>2.7716148143980799E-2</v>
          </cell>
          <cell r="I330">
            <v>0.270378709673958</v>
          </cell>
        </row>
        <row r="331">
          <cell r="A331" t="str">
            <v>SCOM-SHCONBR6</v>
          </cell>
          <cell r="B331" t="str">
            <v>VAR_cap</v>
          </cell>
          <cell r="C331" t="str">
            <v>-</v>
          </cell>
          <cell r="H331">
            <v>2.7716836033834499E-2</v>
          </cell>
          <cell r="I331">
            <v>0.29809554570779301</v>
          </cell>
        </row>
        <row r="332">
          <cell r="A332" t="str">
            <v>RHNM-SHDEM</v>
          </cell>
          <cell r="B332" t="str">
            <v>VAR_fout</v>
          </cell>
          <cell r="C332" t="str">
            <v>RHNM-SHD</v>
          </cell>
          <cell r="E332">
            <v>1.2080578110778688</v>
          </cell>
          <cell r="F332">
            <v>2.8025049217267619</v>
          </cell>
          <cell r="G332">
            <v>5.1042307618570204</v>
          </cell>
          <cell r="H332">
            <v>7.1573263586166096</v>
          </cell>
          <cell r="I332">
            <v>8.8166295798137497</v>
          </cell>
        </row>
        <row r="333">
          <cell r="A333" t="str">
            <v>RHNM-SHDEM</v>
          </cell>
          <cell r="B333" t="str">
            <v>VAR_fin</v>
          </cell>
          <cell r="C333" t="str">
            <v>RHNM-SHLFO</v>
          </cell>
          <cell r="E333">
            <v>3.2979895734945898E-2</v>
          </cell>
          <cell r="F333">
            <v>4.1839029171497399E-4</v>
          </cell>
          <cell r="G333">
            <v>1.8107606469786291E-4</v>
          </cell>
          <cell r="H333">
            <v>8.6038906717975311E-4</v>
          </cell>
          <cell r="I333">
            <v>1.369465089742055E-3</v>
          </cell>
        </row>
        <row r="334">
          <cell r="A334" t="str">
            <v>RHNM-SHDEM</v>
          </cell>
          <cell r="B334" t="str">
            <v>VAR_fin</v>
          </cell>
          <cell r="C334" t="str">
            <v>RHNM-SHLTHD</v>
          </cell>
          <cell r="E334">
            <v>0.24906100027880343</v>
          </cell>
          <cell r="F334">
            <v>0.37839017224254251</v>
          </cell>
          <cell r="G334">
            <v>0.43882605464855756</v>
          </cell>
          <cell r="H334">
            <v>0.58747993418066347</v>
          </cell>
          <cell r="I334">
            <v>1.5186901454868518</v>
          </cell>
        </row>
        <row r="335">
          <cell r="A335" t="str">
            <v>RHNM-SHDEM</v>
          </cell>
          <cell r="B335" t="str">
            <v>VAR_fin</v>
          </cell>
          <cell r="C335" t="str">
            <v>RHNM-SHCON</v>
          </cell>
          <cell r="F335">
            <v>1.6776778082691327E-6</v>
          </cell>
          <cell r="G335">
            <v>1.640176481170067E-6</v>
          </cell>
          <cell r="H335">
            <v>2.3378147291066565E-6</v>
          </cell>
          <cell r="I335">
            <v>2.1305689128007005E-6</v>
          </cell>
        </row>
        <row r="336">
          <cell r="A336" t="str">
            <v>RHNM-SHDEM</v>
          </cell>
          <cell r="B336" t="str">
            <v>VAR_fin</v>
          </cell>
          <cell r="C336" t="str">
            <v>RHNM-SHELCB</v>
          </cell>
          <cell r="E336">
            <v>0.10957032669364028</v>
          </cell>
          <cell r="F336">
            <v>0.15203662289420369</v>
          </cell>
          <cell r="G336">
            <v>1.9100950039813757E-4</v>
          </cell>
          <cell r="H336">
            <v>8.6032455168895492E-4</v>
          </cell>
          <cell r="I336">
            <v>1.3689239112582954E-3</v>
          </cell>
        </row>
        <row r="337">
          <cell r="A337" t="str">
            <v>RHNM-SHDEM</v>
          </cell>
          <cell r="B337" t="str">
            <v>VAR_fin</v>
          </cell>
          <cell r="C337" t="str">
            <v>RHNM-SHWOD</v>
          </cell>
          <cell r="E337">
            <v>6.5221835024445132E-2</v>
          </cell>
          <cell r="F337">
            <v>8.0896504338175523E-2</v>
          </cell>
          <cell r="G337">
            <v>8.0978280086457272E-2</v>
          </cell>
          <cell r="H337">
            <v>7.9309330209255055E-2</v>
          </cell>
          <cell r="I337">
            <v>3.3651731149696981E-2</v>
          </cell>
        </row>
        <row r="338">
          <cell r="A338" t="str">
            <v>RHNM-SHDEM</v>
          </cell>
          <cell r="B338" t="str">
            <v>VAR_fin</v>
          </cell>
          <cell r="C338" t="str">
            <v>RHNM-SHELCH</v>
          </cell>
          <cell r="E338">
            <v>3.3099555026256333E-2</v>
          </cell>
          <cell r="F338">
            <v>1.3570370010836363</v>
          </cell>
          <cell r="G338">
            <v>3.6372633997253661</v>
          </cell>
          <cell r="H338">
            <v>6.1642793660131625</v>
          </cell>
          <cell r="I338">
            <v>6.7965707056879969</v>
          </cell>
        </row>
        <row r="339">
          <cell r="A339" t="str">
            <v>RHNM-SHDEM</v>
          </cell>
          <cell r="B339" t="str">
            <v>VAR_fin</v>
          </cell>
          <cell r="C339" t="str">
            <v>RHNM-SHNST</v>
          </cell>
          <cell r="E339">
            <v>1.0551457155072138E-2</v>
          </cell>
          <cell r="F339">
            <v>2.0402113889264142E-4</v>
          </cell>
          <cell r="G339">
            <v>8.4766914249383754E-5</v>
          </cell>
          <cell r="H339">
            <v>4.2664881031797945E-4</v>
          </cell>
          <cell r="I339">
            <v>6.775169391432229E-4</v>
          </cell>
        </row>
        <row r="340">
          <cell r="A340" t="str">
            <v>RHNM-SHDEM</v>
          </cell>
          <cell r="B340" t="str">
            <v>VAR_fin</v>
          </cell>
          <cell r="C340" t="str">
            <v>RHNM-SHPLT</v>
          </cell>
          <cell r="E340">
            <v>6.0976654666068345E-2</v>
          </cell>
          <cell r="F340">
            <v>7.6332091478159156E-2</v>
          </cell>
          <cell r="G340">
            <v>0.20589707255297038</v>
          </cell>
          <cell r="H340">
            <v>0.31926276029843709</v>
          </cell>
          <cell r="I340">
            <v>0.4573663923353658</v>
          </cell>
        </row>
        <row r="341">
          <cell r="A341" t="str">
            <v>RHNM-SHDEM</v>
          </cell>
          <cell r="B341" t="str">
            <v>VAR_fin</v>
          </cell>
          <cell r="C341" t="str">
            <v>RHNM-SHLTHC-NGA</v>
          </cell>
          <cell r="E341">
            <v>3.3428652794252028E-2</v>
          </cell>
          <cell r="F341">
            <v>3.0904249090638125E-3</v>
          </cell>
          <cell r="G341">
            <v>3.0155764461599591E-3</v>
          </cell>
          <cell r="H341">
            <v>1.0728956589261211E-3</v>
          </cell>
          <cell r="I341">
            <v>1.4060517962491473E-3</v>
          </cell>
        </row>
        <row r="342">
          <cell r="A342" t="str">
            <v>RHNM-SHDEM</v>
          </cell>
          <cell r="B342" t="str">
            <v>VAR_fin</v>
          </cell>
          <cell r="C342" t="str">
            <v>RHNM-SHSOL</v>
          </cell>
          <cell r="E342">
            <v>4.0218167748129335E-2</v>
          </cell>
          <cell r="F342">
            <v>2.1321244423299381E-2</v>
          </cell>
          <cell r="G342">
            <v>2.1329634282415261E-2</v>
          </cell>
          <cell r="H342">
            <v>8.7250682273124229E-4</v>
          </cell>
          <cell r="I342">
            <v>1.3896893185622262E-3</v>
          </cell>
        </row>
        <row r="343">
          <cell r="A343" t="str">
            <v>RHNM-SHDEM</v>
          </cell>
          <cell r="B343" t="str">
            <v>VAR_fin</v>
          </cell>
          <cell r="C343" t="str">
            <v>RHNM-SHLTHC-WOD</v>
          </cell>
          <cell r="E343">
            <v>1.6927585748544105E-3</v>
          </cell>
          <cell r="G343">
            <v>1.6624275515929313E-4</v>
          </cell>
          <cell r="H343">
            <v>8.5684542815333707E-4</v>
          </cell>
          <cell r="I343">
            <v>1.3697084195452138E-3</v>
          </cell>
        </row>
        <row r="344">
          <cell r="A344" t="str">
            <v>RHNM-SHDEM</v>
          </cell>
          <cell r="B344" t="str">
            <v>VAR_fin</v>
          </cell>
          <cell r="C344" t="str">
            <v>RHNM-SHNGAH</v>
          </cell>
          <cell r="E344">
            <v>9.5980852674181286E-3</v>
          </cell>
          <cell r="F344">
            <v>1.0718803847066544E-3</v>
          </cell>
          <cell r="G344">
            <v>1.2538352094008888E-3</v>
          </cell>
          <cell r="H344">
            <v>1.1755473007354885E-3</v>
          </cell>
          <cell r="I344">
            <v>1.3986485003557221E-3</v>
          </cell>
        </row>
        <row r="345">
          <cell r="A345" t="str">
            <v>RHNM-SHDEM</v>
          </cell>
          <cell r="B345" t="str">
            <v>VAR_fin</v>
          </cell>
          <cell r="C345" t="str">
            <v>RHNM-SHNGA</v>
          </cell>
          <cell r="E345">
            <v>0.56166334393058626</v>
          </cell>
          <cell r="F345">
            <v>0.73171097668856433</v>
          </cell>
          <cell r="G345">
            <v>0.71504786830360878</v>
          </cell>
          <cell r="H345">
            <v>8.7321320544204528E-4</v>
          </cell>
          <cell r="I345">
            <v>1.3730596860821926E-3</v>
          </cell>
        </row>
        <row r="346">
          <cell r="A346" t="str">
            <v>SCOM-STG-ELCSPEC</v>
          </cell>
          <cell r="B346" t="str">
            <v>VAR_fout</v>
          </cell>
          <cell r="C346" t="str">
            <v>SCOM-ELS</v>
          </cell>
          <cell r="E346">
            <v>3.5663289982110268E-4</v>
          </cell>
          <cell r="F346">
            <v>3.7403145950440212E-4</v>
          </cell>
          <cell r="G346">
            <v>3.7510966669893959E-4</v>
          </cell>
          <cell r="H346">
            <v>4.3322076909905349E-4</v>
          </cell>
          <cell r="I346">
            <v>4.479435953106633E-4</v>
          </cell>
        </row>
        <row r="347">
          <cell r="A347" t="str">
            <v>SCOM-STG-ELCSPEC</v>
          </cell>
          <cell r="B347" t="str">
            <v>VAR_fin</v>
          </cell>
          <cell r="C347" t="str">
            <v>SCOM-ELS</v>
          </cell>
          <cell r="E347">
            <v>3.5669517173776986E-4</v>
          </cell>
          <cell r="F347">
            <v>3.7411744024955755E-4</v>
          </cell>
          <cell r="G347">
            <v>3.7516303405800238E-4</v>
          </cell>
          <cell r="H347">
            <v>4.3327858373803788E-4</v>
          </cell>
          <cell r="I347">
            <v>4.4800696904954935E-4</v>
          </cell>
        </row>
        <row r="348">
          <cell r="A348" t="str">
            <v>SCOM-STG-ELCSPEC</v>
          </cell>
          <cell r="B348" t="str">
            <v>VAR_ncap</v>
          </cell>
          <cell r="C348" t="str">
            <v>-</v>
          </cell>
          <cell r="E348">
            <v>1.3399243752858601E-5</v>
          </cell>
          <cell r="F348">
            <v>5.9219100666502304E-7</v>
          </cell>
          <cell r="G348">
            <v>1.9224144015088199E-7</v>
          </cell>
          <cell r="H348">
            <v>6.5056948611423398E-6</v>
          </cell>
          <cell r="I348">
            <v>8.0796625394475803E-6</v>
          </cell>
        </row>
        <row r="349">
          <cell r="A349" t="str">
            <v>SCOM-STG-ELCSPEC</v>
          </cell>
          <cell r="B349" t="str">
            <v>VAR_cap</v>
          </cell>
          <cell r="C349" t="str">
            <v>-</v>
          </cell>
          <cell r="E349">
            <v>1.3399243752858601E-5</v>
          </cell>
          <cell r="F349">
            <v>1.3991434759523599E-5</v>
          </cell>
          <cell r="G349">
            <v>1.4183676199674501E-5</v>
          </cell>
          <cell r="H349">
            <v>1.6221814074293551E-5</v>
          </cell>
          <cell r="I349">
            <v>1.6239316288931374E-5</v>
          </cell>
        </row>
        <row r="350">
          <cell r="A350" t="str">
            <v>SCOM-SHCONBR7</v>
          </cell>
          <cell r="B350" t="str">
            <v>VAR_fout</v>
          </cell>
          <cell r="C350" t="str">
            <v>SCOM-SHCON</v>
          </cell>
          <cell r="I350">
            <v>2.3833135640063289E-5</v>
          </cell>
        </row>
        <row r="351">
          <cell r="A351" t="str">
            <v>SCOM-SHCONBR7</v>
          </cell>
          <cell r="B351" t="str">
            <v>VAR_fin</v>
          </cell>
          <cell r="C351" t="str">
            <v>CON</v>
          </cell>
          <cell r="I351">
            <v>2.3833135640063289E-5</v>
          </cell>
        </row>
        <row r="352">
          <cell r="A352" t="str">
            <v>SCOM-SHCONBR7</v>
          </cell>
          <cell r="B352" t="str">
            <v>VAR_ncap</v>
          </cell>
          <cell r="C352" t="str">
            <v>-</v>
          </cell>
          <cell r="I352">
            <v>1.85001135879591E-6</v>
          </cell>
        </row>
        <row r="353">
          <cell r="A353" t="str">
            <v>SCOM-SHCONBR7</v>
          </cell>
          <cell r="B353" t="str">
            <v>VAR_cap</v>
          </cell>
          <cell r="C353" t="str">
            <v>-</v>
          </cell>
          <cell r="I353">
            <v>1.85001135879591E-6</v>
          </cell>
        </row>
        <row r="354">
          <cell r="A354" t="str">
            <v>SCOM-SHCONBR8</v>
          </cell>
          <cell r="B354" t="str">
            <v>VAR_fout</v>
          </cell>
          <cell r="C354" t="str">
            <v>SCOM-SHCON</v>
          </cell>
          <cell r="I354">
            <v>5.192932719251549E-7</v>
          </cell>
        </row>
        <row r="355">
          <cell r="A355" t="str">
            <v>SCOM-SHCONBR8</v>
          </cell>
          <cell r="B355" t="str">
            <v>VAR_fin</v>
          </cell>
          <cell r="C355" t="str">
            <v>CON</v>
          </cell>
          <cell r="I355">
            <v>5.192932719251549E-7</v>
          </cell>
        </row>
        <row r="356">
          <cell r="A356" t="str">
            <v>SCOM-SHCONBR8</v>
          </cell>
          <cell r="B356" t="str">
            <v>VAR_ncap</v>
          </cell>
          <cell r="C356" t="str">
            <v>-</v>
          </cell>
          <cell r="I356">
            <v>8.2254868472158097E-8</v>
          </cell>
        </row>
        <row r="357">
          <cell r="A357" t="str">
            <v>SCOM-SHCONBR8</v>
          </cell>
          <cell r="B357" t="str">
            <v>VAR_cap</v>
          </cell>
          <cell r="C357" t="str">
            <v>-</v>
          </cell>
          <cell r="I357">
            <v>8.2254868472158097E-8</v>
          </cell>
        </row>
        <row r="358">
          <cell r="A358" t="str">
            <v>ITOT-ELCSPEC</v>
          </cell>
          <cell r="B358" t="str">
            <v>VAR_fout</v>
          </cell>
          <cell r="C358" t="str">
            <v>ITOT-ELS</v>
          </cell>
          <cell r="D358">
            <v>48.063397652170998</v>
          </cell>
          <cell r="E358">
            <v>49.629907083830084</v>
          </cell>
          <cell r="F358">
            <v>50.570177831150197</v>
          </cell>
          <cell r="G358">
            <v>52.117713412904592</v>
          </cell>
          <cell r="H358">
            <v>53.83682221906043</v>
          </cell>
          <cell r="I358">
            <v>52.144840921703128</v>
          </cell>
        </row>
        <row r="359">
          <cell r="A359" t="str">
            <v>ITOT-ELCSPEC</v>
          </cell>
          <cell r="B359" t="str">
            <v>VAR_fin</v>
          </cell>
          <cell r="C359" t="str">
            <v>ITOT_ELC</v>
          </cell>
          <cell r="D359">
            <v>48.063397652170998</v>
          </cell>
          <cell r="E359">
            <v>49.629907083830084</v>
          </cell>
          <cell r="F359">
            <v>50.570177831150197</v>
          </cell>
          <cell r="G359">
            <v>52.117713412904592</v>
          </cell>
          <cell r="H359">
            <v>53.83682221906043</v>
          </cell>
          <cell r="I359">
            <v>52.144840921703128</v>
          </cell>
        </row>
        <row r="360">
          <cell r="A360" t="str">
            <v>ITOT-ELCSPEC</v>
          </cell>
          <cell r="B360" t="str">
            <v>VAR_ncap</v>
          </cell>
          <cell r="C360" t="str">
            <v>-</v>
          </cell>
          <cell r="D360">
            <v>8.3496843171023002E-2</v>
          </cell>
          <cell r="E360">
            <v>8.5191200779637002E-2</v>
          </cell>
          <cell r="F360">
            <v>5.1134620310949903E-2</v>
          </cell>
          <cell r="G360">
            <v>8.4159399761158604E-2</v>
          </cell>
          <cell r="H360">
            <v>4.9250080387790302E-2</v>
          </cell>
          <cell r="I360">
            <v>2.4185933879652901</v>
          </cell>
        </row>
        <row r="361">
          <cell r="A361" t="str">
            <v>ITOT-ELCSPEC</v>
          </cell>
          <cell r="B361" t="str">
            <v>VAR_cap</v>
          </cell>
          <cell r="C361" t="str">
            <v>-</v>
          </cell>
          <cell r="D361">
            <v>2.6138240752037332</v>
          </cell>
          <cell r="E361">
            <v>2.6990152759833701</v>
          </cell>
          <cell r="F361">
            <v>2.7501498817464993</v>
          </cell>
          <cell r="G361">
            <v>2.8343092556560516</v>
          </cell>
          <cell r="H361">
            <v>2.9277992798060808</v>
          </cell>
          <cell r="I361">
            <v>2.8357845210321235</v>
          </cell>
        </row>
        <row r="362">
          <cell r="A362" t="str">
            <v>RHNM-SHLTHDH</v>
          </cell>
          <cell r="B362" t="str">
            <v>VAR_fout</v>
          </cell>
          <cell r="C362" t="str">
            <v>RHNM-SHLTHD</v>
          </cell>
          <cell r="E362">
            <v>0.34658030008788088</v>
          </cell>
          <cell r="F362">
            <v>0.37871765294372212</v>
          </cell>
          <cell r="G362">
            <v>0.43903754422991542</v>
          </cell>
          <cell r="H362">
            <v>0.59002984652582302</v>
          </cell>
          <cell r="I362">
            <v>1.5237394951272583</v>
          </cell>
        </row>
        <row r="363">
          <cell r="A363" t="str">
            <v>RHNM-SHLTHDH</v>
          </cell>
          <cell r="B363" t="str">
            <v>VAR_fin</v>
          </cell>
          <cell r="C363" t="str">
            <v>RHNMLTHDHC</v>
          </cell>
          <cell r="E363">
            <v>0.34658030008788088</v>
          </cell>
          <cell r="F363">
            <v>0.37871765294372212</v>
          </cell>
          <cell r="G363">
            <v>0.43903754422991542</v>
          </cell>
          <cell r="H363">
            <v>0.59002984652582302</v>
          </cell>
          <cell r="I363">
            <v>1.5237394951272583</v>
          </cell>
        </row>
        <row r="364">
          <cell r="A364" t="str">
            <v>RHNM-SHLTHDH</v>
          </cell>
          <cell r="B364" t="str">
            <v>VAR_fin</v>
          </cell>
          <cell r="C364" t="str">
            <v>RHNM_LTH_DH</v>
          </cell>
          <cell r="E364">
            <v>0.35008111119988011</v>
          </cell>
          <cell r="F364">
            <v>0.38254308378153756</v>
          </cell>
          <cell r="G364">
            <v>0.44347226689890451</v>
          </cell>
          <cell r="H364">
            <v>0.59598974396547755</v>
          </cell>
          <cell r="I364">
            <v>1.5391308031588455</v>
          </cell>
        </row>
        <row r="365">
          <cell r="A365" t="str">
            <v>RHNM-SHLTHDH</v>
          </cell>
          <cell r="B365" t="str">
            <v>VAR_ncap</v>
          </cell>
          <cell r="C365" t="str">
            <v>-</v>
          </cell>
          <cell r="E365">
            <v>2.6862230613857899E-2</v>
          </cell>
          <cell r="F365">
            <v>3.8341397575317E-3</v>
          </cell>
          <cell r="G365">
            <v>5.1611576883192796E-3</v>
          </cell>
          <cell r="H365">
            <v>6.0105459849607397E-3</v>
          </cell>
          <cell r="I365">
            <v>7.2400679245359506E-2</v>
          </cell>
        </row>
        <row r="366">
          <cell r="A366" t="str">
            <v>RHNM-SHLTHDH</v>
          </cell>
          <cell r="B366" t="str">
            <v>VAR_cap</v>
          </cell>
          <cell r="C366" t="str">
            <v>-</v>
          </cell>
          <cell r="E366">
            <v>2.6862230613857899E-2</v>
          </cell>
          <cell r="F366">
            <v>3.06963703713896E-2</v>
          </cell>
          <cell r="G366">
            <v>3.58575280597088E-2</v>
          </cell>
          <cell r="H366">
            <v>4.7385145295555903E-2</v>
          </cell>
          <cell r="I366">
            <v>0.11978582454091501</v>
          </cell>
        </row>
        <row r="367">
          <cell r="A367" t="str">
            <v>SCOM-SHCONBR9</v>
          </cell>
          <cell r="B367" t="str">
            <v>VAR_ncap</v>
          </cell>
          <cell r="C367" t="str">
            <v>-</v>
          </cell>
          <cell r="I367">
            <v>2.02132615416347E-8</v>
          </cell>
        </row>
        <row r="368">
          <cell r="A368" t="str">
            <v>SCOM-SHCONBR9</v>
          </cell>
          <cell r="B368" t="str">
            <v>VAR_cap</v>
          </cell>
          <cell r="C368" t="str">
            <v>-</v>
          </cell>
          <cell r="I368">
            <v>2.02132615416347E-8</v>
          </cell>
        </row>
        <row r="369">
          <cell r="A369" t="str">
            <v>ITOT-SWHCOABR</v>
          </cell>
          <cell r="B369" t="str">
            <v>VAR_fout</v>
          </cell>
          <cell r="C369" t="str">
            <v>ITOT-SWH</v>
          </cell>
          <cell r="D369">
            <v>2.3674000532401456</v>
          </cell>
          <cell r="E369">
            <v>2.3075011453824734</v>
          </cell>
          <cell r="F369">
            <v>3.4801738975481024E-4</v>
          </cell>
          <cell r="G369">
            <v>5.7312284706999588E-6</v>
          </cell>
          <cell r="H369">
            <v>5.1051822530972645E-6</v>
          </cell>
          <cell r="I369">
            <v>1.341618080146194E-6</v>
          </cell>
        </row>
        <row r="370">
          <cell r="A370" t="str">
            <v>ITOT-SWHCOABR</v>
          </cell>
          <cell r="B370" t="str">
            <v>VAR_fout</v>
          </cell>
          <cell r="C370" t="str">
            <v>CO2_I</v>
          </cell>
          <cell r="D370">
            <v>330.01200742159602</v>
          </cell>
          <cell r="E370">
            <v>321.179213478912</v>
          </cell>
          <cell r="F370">
            <v>4.8331403790667998E-2</v>
          </cell>
          <cell r="G370">
            <v>7.9296250631923299E-4</v>
          </cell>
          <cell r="H370">
            <v>7.01111696092024E-4</v>
          </cell>
          <cell r="I370">
            <v>1.8289411180816501E-4</v>
          </cell>
        </row>
        <row r="371">
          <cell r="A371" t="str">
            <v>ITOT-SWHCOABR</v>
          </cell>
          <cell r="B371" t="str">
            <v>VAR_fin</v>
          </cell>
          <cell r="C371" t="str">
            <v>ICOA</v>
          </cell>
          <cell r="D371">
            <v>3.5600000800603699</v>
          </cell>
          <cell r="E371">
            <v>3.4647164345082166</v>
          </cell>
          <cell r="F371">
            <v>5.2137436667387303E-4</v>
          </cell>
          <cell r="G371">
            <v>8.5540723443283036E-6</v>
          </cell>
          <cell r="H371">
            <v>7.5632329675514995E-6</v>
          </cell>
          <cell r="I371">
            <v>1.9729677649208747E-6</v>
          </cell>
        </row>
        <row r="372">
          <cell r="A372" t="str">
            <v>ITOT-SWHCOABR</v>
          </cell>
          <cell r="B372" t="str">
            <v>VAR_ncap</v>
          </cell>
          <cell r="C372" t="str">
            <v>-</v>
          </cell>
          <cell r="E372">
            <v>1.1895657152038999E-7</v>
          </cell>
          <cell r="F372">
            <v>1.07020109711362E-7</v>
          </cell>
          <cell r="G372">
            <v>1.2377508668930401E-7</v>
          </cell>
          <cell r="H372">
            <v>2.1699946160747199E-7</v>
          </cell>
          <cell r="I372">
            <v>5.6224344357050498E-8</v>
          </cell>
        </row>
        <row r="373">
          <cell r="A373" t="str">
            <v>ITOT-SWHCOABR</v>
          </cell>
          <cell r="B373" t="str">
            <v>VAR_cap</v>
          </cell>
          <cell r="C373" t="str">
            <v>-</v>
          </cell>
          <cell r="D373">
            <v>0.26172155007150499</v>
          </cell>
          <cell r="E373">
            <v>0.23884685096780522</v>
          </cell>
          <cell r="F373">
            <v>3.3634497696222176E-5</v>
          </cell>
          <cell r="G373">
            <v>6.1384070892955833E-7</v>
          </cell>
          <cell r="H373">
            <v>5.6895088633549208E-7</v>
          </cell>
          <cell r="I373">
            <v>1.9617525906258701E-7</v>
          </cell>
        </row>
        <row r="374">
          <cell r="A374" t="str">
            <v>RHSA-WHDEM</v>
          </cell>
          <cell r="B374" t="str">
            <v>VAR_fout</v>
          </cell>
          <cell r="C374" t="str">
            <v>WWTPC</v>
          </cell>
          <cell r="D374">
            <v>2.3088055702471556E-2</v>
          </cell>
          <cell r="E374">
            <v>7.7221381963625711E-3</v>
          </cell>
          <cell r="F374">
            <v>0.16533689705602231</v>
          </cell>
          <cell r="G374">
            <v>0.34252404618071336</v>
          </cell>
          <cell r="H374">
            <v>0.60182789406483306</v>
          </cell>
          <cell r="I374">
            <v>1.1214871527951382</v>
          </cell>
        </row>
        <row r="375">
          <cell r="A375" t="str">
            <v>RHSA-WHDEM</v>
          </cell>
          <cell r="B375" t="str">
            <v>VAR_fout</v>
          </cell>
          <cell r="C375" t="str">
            <v>RHSA-WHD</v>
          </cell>
          <cell r="D375">
            <v>26.438654975424289</v>
          </cell>
          <cell r="E375">
            <v>25.92879146371218</v>
          </cell>
          <cell r="F375">
            <v>25.418927951999976</v>
          </cell>
          <cell r="G375">
            <v>25.509072923999994</v>
          </cell>
          <cell r="H375">
            <v>25.33969431720001</v>
          </cell>
          <cell r="I375">
            <v>24.930159425999989</v>
          </cell>
        </row>
        <row r="376">
          <cell r="A376" t="str">
            <v>RHSA-WHDEM</v>
          </cell>
          <cell r="B376" t="str">
            <v>VAR_fin</v>
          </cell>
          <cell r="C376" t="str">
            <v>RHSA-WHNGA</v>
          </cell>
          <cell r="D376">
            <v>6.2007596855519482</v>
          </cell>
          <cell r="E376">
            <v>4.847389254026675</v>
          </cell>
          <cell r="F376">
            <v>6.1962332081697706</v>
          </cell>
          <cell r="G376">
            <v>4.9792194967262873</v>
          </cell>
          <cell r="H376">
            <v>3.9005026184179292</v>
          </cell>
          <cell r="I376">
            <v>2.6174890444937295</v>
          </cell>
        </row>
        <row r="377">
          <cell r="A377" t="str">
            <v>RHSA-WHDEM</v>
          </cell>
          <cell r="B377" t="str">
            <v>VAR_fin</v>
          </cell>
          <cell r="C377" t="str">
            <v>RHSA-WHLFO</v>
          </cell>
          <cell r="D377">
            <v>6.8173928781118791</v>
          </cell>
          <cell r="E377">
            <v>6.3402924844468798</v>
          </cell>
          <cell r="F377">
            <v>5.1906623186238923</v>
          </cell>
          <cell r="G377">
            <v>8.8536117626745306E-2</v>
          </cell>
          <cell r="H377">
            <v>0.13123882087635294</v>
          </cell>
          <cell r="I377">
            <v>7.8007886791859063E-2</v>
          </cell>
        </row>
        <row r="378">
          <cell r="A378" t="str">
            <v>RHSA-WHDEM</v>
          </cell>
          <cell r="B378" t="str">
            <v>VAR_fin</v>
          </cell>
          <cell r="C378" t="str">
            <v>RHSA-WHWOD</v>
          </cell>
          <cell r="D378">
            <v>0.56211074716720477</v>
          </cell>
          <cell r="E378">
            <v>0.58936055813615618</v>
          </cell>
          <cell r="F378">
            <v>0.38876474231032676</v>
          </cell>
          <cell r="G378">
            <v>0.34145418612188971</v>
          </cell>
          <cell r="H378">
            <v>0.36356800207689255</v>
          </cell>
          <cell r="I378">
            <v>0.20608480355206235</v>
          </cell>
        </row>
        <row r="379">
          <cell r="A379" t="str">
            <v>RHSA-WHDEM</v>
          </cell>
          <cell r="B379" t="str">
            <v>VAR_fin</v>
          </cell>
          <cell r="C379" t="str">
            <v>RHSA-WHNGAH</v>
          </cell>
          <cell r="D379">
            <v>2.1233478925964125E-2</v>
          </cell>
          <cell r="E379">
            <v>1.3560122586800076E-2</v>
          </cell>
          <cell r="F379">
            <v>0.14405073694538989</v>
          </cell>
          <cell r="G379">
            <v>8.8627316388136076E-2</v>
          </cell>
          <cell r="H379">
            <v>0.14445680503181324</v>
          </cell>
          <cell r="I379">
            <v>9.3031944457712082E-2</v>
          </cell>
        </row>
        <row r="380">
          <cell r="A380" t="str">
            <v>RHSA-WHDEM</v>
          </cell>
          <cell r="B380" t="str">
            <v>VAR_fin</v>
          </cell>
          <cell r="C380" t="str">
            <v>RHSA-WHNST</v>
          </cell>
          <cell r="D380">
            <v>7.0928111640243638E-2</v>
          </cell>
          <cell r="E380">
            <v>2.777299488590473E-2</v>
          </cell>
          <cell r="F380">
            <v>8.5164617274724783E-2</v>
          </cell>
          <cell r="G380">
            <v>5.310536131960146E-2</v>
          </cell>
          <cell r="H380">
            <v>7.663374551132679E-2</v>
          </cell>
          <cell r="I380">
            <v>4.3276949623353378E-2</v>
          </cell>
        </row>
        <row r="381">
          <cell r="A381" t="str">
            <v>RHSA-WHDEM</v>
          </cell>
          <cell r="B381" t="str">
            <v>VAR_fin</v>
          </cell>
          <cell r="C381" t="str">
            <v>RHSA-WHPLT</v>
          </cell>
          <cell r="D381">
            <v>0.27556829463459614</v>
          </cell>
          <cell r="E381">
            <v>0.22143224353805349</v>
          </cell>
          <cell r="F381">
            <v>0.22585948641213982</v>
          </cell>
          <cell r="G381">
            <v>0.17833731743053194</v>
          </cell>
          <cell r="H381">
            <v>0.21448769559092132</v>
          </cell>
          <cell r="I381">
            <v>0.17526105247327656</v>
          </cell>
        </row>
        <row r="382">
          <cell r="A382" t="str">
            <v>RHSA-WHDEM</v>
          </cell>
          <cell r="B382" t="str">
            <v>VAR_fin</v>
          </cell>
          <cell r="C382" t="str">
            <v>RHSA-WHLTHRD</v>
          </cell>
          <cell r="D382">
            <v>1.2880293959630809</v>
          </cell>
          <cell r="E382">
            <v>1.4308112351035829</v>
          </cell>
          <cell r="F382">
            <v>1.2391735786482809</v>
          </cell>
          <cell r="G382">
            <v>1.4073141060164893</v>
          </cell>
          <cell r="H382">
            <v>1.2589108531386808</v>
          </cell>
          <cell r="I382">
            <v>1.3319762334716172</v>
          </cell>
        </row>
        <row r="383">
          <cell r="A383" t="str">
            <v>RHSA-WHDEM</v>
          </cell>
          <cell r="B383" t="str">
            <v>VAR_fin</v>
          </cell>
          <cell r="C383" t="str">
            <v>RHSA-WHELCB</v>
          </cell>
          <cell r="D383">
            <v>6.4549029811073906</v>
          </cell>
          <cell r="E383">
            <v>6.9100968849950393</v>
          </cell>
          <cell r="F383">
            <v>5.6776884586433365</v>
          </cell>
          <cell r="G383">
            <v>3.7034507339357967</v>
          </cell>
          <cell r="H383">
            <v>1.4998888049551538</v>
          </cell>
          <cell r="I383">
            <v>0.48824274904448578</v>
          </cell>
        </row>
        <row r="384">
          <cell r="A384" t="str">
            <v>RHSA-WHDEM</v>
          </cell>
          <cell r="B384" t="str">
            <v>VAR_fin</v>
          </cell>
          <cell r="C384" t="str">
            <v>RHSA-WHSOL</v>
          </cell>
          <cell r="D384">
            <v>1.6561909112670099</v>
          </cell>
          <cell r="E384">
            <v>1.9720899641958598</v>
          </cell>
          <cell r="F384">
            <v>1.8423392179742624</v>
          </cell>
          <cell r="G384">
            <v>1.8616284574786715</v>
          </cell>
          <cell r="H384">
            <v>2.4571333487145339</v>
          </cell>
          <cell r="I384">
            <v>2.9349036916245752</v>
          </cell>
        </row>
        <row r="385">
          <cell r="A385" t="str">
            <v>RHSA-WHDEM</v>
          </cell>
          <cell r="B385" t="str">
            <v>VAR_fin</v>
          </cell>
          <cell r="C385" t="str">
            <v>RHSA-WHELCH</v>
          </cell>
          <cell r="D385">
            <v>3.1146265467574485</v>
          </cell>
          <cell r="E385">
            <v>3.5837078599936105</v>
          </cell>
          <cell r="F385">
            <v>4.5943284840538929</v>
          </cell>
          <cell r="G385">
            <v>13.149923877136567</v>
          </cell>
          <cell r="H385">
            <v>15.894701516951214</v>
          </cell>
          <cell r="I385">
            <v>18.083371968130372</v>
          </cell>
        </row>
        <row r="386">
          <cell r="A386" t="str">
            <v>RHSA-WHNGAHP</v>
          </cell>
          <cell r="B386" t="str">
            <v>VAR_fout</v>
          </cell>
          <cell r="C386" t="str">
            <v>RHSA-WHANGAH</v>
          </cell>
          <cell r="F386">
            <v>3.0018206345354756E-4</v>
          </cell>
          <cell r="G386">
            <v>3.6775877356262887E-4</v>
          </cell>
          <cell r="H386">
            <v>2.7249023130541433E-2</v>
          </cell>
          <cell r="I386">
            <v>2.911175008172822E-2</v>
          </cell>
        </row>
        <row r="387">
          <cell r="A387" t="str">
            <v>RHSA-WHNGAHP</v>
          </cell>
          <cell r="B387" t="str">
            <v>VAR_fout</v>
          </cell>
          <cell r="C387" t="str">
            <v>CO2_R</v>
          </cell>
          <cell r="F387">
            <v>9.9531266189183207E-3</v>
          </cell>
          <cell r="G387">
            <v>1.21295876192586E-2</v>
          </cell>
          <cell r="H387">
            <v>0.85096617085411796</v>
          </cell>
          <cell r="I387">
            <v>0.87708477810334995</v>
          </cell>
        </row>
        <row r="388">
          <cell r="A388" t="str">
            <v>RHSA-WHNGAHP</v>
          </cell>
          <cell r="B388" t="str">
            <v>VAR_fin</v>
          </cell>
          <cell r="C388" t="str">
            <v>RNGA</v>
          </cell>
          <cell r="F388">
            <v>1.7647387622195604E-4</v>
          </cell>
          <cell r="G388">
            <v>2.1506361027054331E-4</v>
          </cell>
          <cell r="H388">
            <v>1.5088052674718402E-2</v>
          </cell>
          <cell r="I388">
            <v>1.5551148547931729E-2</v>
          </cell>
        </row>
        <row r="389">
          <cell r="A389" t="str">
            <v>RHSA-WHNGAHP</v>
          </cell>
          <cell r="B389" t="str">
            <v>VAR_ncap</v>
          </cell>
          <cell r="C389" t="str">
            <v>-</v>
          </cell>
          <cell r="F389">
            <v>2.0780117927215201E-5</v>
          </cell>
          <cell r="G389">
            <v>4.4228842185294402E-6</v>
          </cell>
          <cell r="H389">
            <v>8.3231089526314898E-8</v>
          </cell>
          <cell r="I389">
            <v>1.2048304218841199E-3</v>
          </cell>
        </row>
        <row r="390">
          <cell r="A390" t="str">
            <v>RHSA-WHNGAHP</v>
          </cell>
          <cell r="B390" t="str">
            <v>VAR_cap</v>
          </cell>
          <cell r="C390" t="str">
            <v>-</v>
          </cell>
          <cell r="D390">
            <v>4.7729432218241499E-11</v>
          </cell>
          <cell r="E390">
            <v>4.7729432218241499E-11</v>
          </cell>
          <cell r="F390">
            <v>2.0780165656647421E-5</v>
          </cell>
          <cell r="G390">
            <v>2.520304987517682E-5</v>
          </cell>
          <cell r="H390">
            <v>1.8626014293362052E-3</v>
          </cell>
          <cell r="I390">
            <v>1.9898924427010699E-3</v>
          </cell>
        </row>
        <row r="391">
          <cell r="A391" t="str">
            <v>SCOM-SHSTG-ELCHP</v>
          </cell>
          <cell r="B391" t="str">
            <v>VAR_fout</v>
          </cell>
          <cell r="C391" t="str">
            <v>SCOM-SHAELCH</v>
          </cell>
          <cell r="F391">
            <v>4.358512414964693E-3</v>
          </cell>
          <cell r="G391">
            <v>1.8905769149049257E-5</v>
          </cell>
          <cell r="H391">
            <v>0.93486630682940119</v>
          </cell>
          <cell r="I391">
            <v>3.3636666599512455</v>
          </cell>
        </row>
        <row r="392">
          <cell r="A392" t="str">
            <v>SCOM-SHSTG-ELCHP</v>
          </cell>
          <cell r="B392" t="str">
            <v>VAR_fin</v>
          </cell>
          <cell r="C392" t="str">
            <v>SCOM-SHAELCH</v>
          </cell>
          <cell r="F392">
            <v>5.6385925442535298E-3</v>
          </cell>
          <cell r="G392">
            <v>2.5269377703467272E-5</v>
          </cell>
          <cell r="H392">
            <v>1.0998572635524666</v>
          </cell>
          <cell r="I392">
            <v>3.7374422983898037</v>
          </cell>
        </row>
        <row r="393">
          <cell r="A393" t="str">
            <v>SCOM-SHSTG-ELCHP</v>
          </cell>
          <cell r="B393" t="str">
            <v>VAR_ncap</v>
          </cell>
          <cell r="C393" t="str">
            <v>-</v>
          </cell>
          <cell r="D393">
            <v>2.1217791103760199E-4</v>
          </cell>
          <cell r="E393">
            <v>0.101109810196667</v>
          </cell>
          <cell r="F393">
            <v>7.8728274219625196E-7</v>
          </cell>
          <cell r="G393">
            <v>9.1337321961341899E-7</v>
          </cell>
          <cell r="H393">
            <v>5.9769050491288001E-2</v>
          </cell>
          <cell r="I393">
            <v>0.21402852687428001</v>
          </cell>
        </row>
        <row r="394">
          <cell r="A394" t="str">
            <v>SCOM-SHSTG-ELCHP</v>
          </cell>
          <cell r="B394" t="str">
            <v>VAR_cap</v>
          </cell>
          <cell r="C394" t="str">
            <v>-</v>
          </cell>
          <cell r="D394">
            <v>2.1217791103760199E-4</v>
          </cell>
          <cell r="E394">
            <v>0.1013218235100834</v>
          </cell>
          <cell r="F394">
            <v>0.10132186187314665</v>
          </cell>
          <cell r="G394">
            <v>0.10132185409599842</v>
          </cell>
          <cell r="H394">
            <v>0.11025609685801432</v>
          </cell>
          <cell r="I394">
            <v>0.27875968981499649</v>
          </cell>
        </row>
        <row r="395">
          <cell r="A395" t="str">
            <v>RHEM-SHLFOBR</v>
          </cell>
          <cell r="B395" t="str">
            <v>VAR_fout</v>
          </cell>
          <cell r="C395" t="str">
            <v>CO2_R</v>
          </cell>
          <cell r="D395">
            <v>1928.7103089407501</v>
          </cell>
          <cell r="E395">
            <v>1757.2825066988601</v>
          </cell>
          <cell r="F395">
            <v>1573.8444626385799</v>
          </cell>
          <cell r="G395">
            <v>1475.36203737394</v>
          </cell>
          <cell r="H395">
            <v>817.77696087467496</v>
          </cell>
          <cell r="I395">
            <v>15.910966265108801</v>
          </cell>
        </row>
        <row r="396">
          <cell r="A396" t="str">
            <v>RHEM-SHLFOBR</v>
          </cell>
          <cell r="B396" t="str">
            <v>VAR_fout</v>
          </cell>
          <cell r="C396" t="str">
            <v>RHEM-SHLFO</v>
          </cell>
          <cell r="D396">
            <v>23.4437311410143</v>
          </cell>
          <cell r="E396">
            <v>21.360003332217097</v>
          </cell>
          <cell r="F396">
            <v>19.130289431665236</v>
          </cell>
          <cell r="G396">
            <v>17.933222412675136</v>
          </cell>
          <cell r="H396">
            <v>9.9401880703332903</v>
          </cell>
          <cell r="I396">
            <v>0.19339991785382168</v>
          </cell>
        </row>
        <row r="397">
          <cell r="A397" t="str">
            <v>RHEM-SHLFOBR</v>
          </cell>
          <cell r="B397" t="str">
            <v>VAR_fin</v>
          </cell>
          <cell r="C397" t="str">
            <v>RLFO</v>
          </cell>
          <cell r="D397">
            <v>26.169746389969443</v>
          </cell>
          <cell r="E397">
            <v>23.843724649916727</v>
          </cell>
          <cell r="F397">
            <v>21.354741691161177</v>
          </cell>
          <cell r="G397">
            <v>20.018480832753625</v>
          </cell>
          <cell r="H397">
            <v>11.096023892465066</v>
          </cell>
          <cell r="I397">
            <v>0.21588828039496347</v>
          </cell>
        </row>
        <row r="398">
          <cell r="A398" t="str">
            <v>RHEM-SHLFOBR</v>
          </cell>
          <cell r="B398" t="str">
            <v>VAR_cap</v>
          </cell>
          <cell r="C398" t="str">
            <v>-</v>
          </cell>
          <cell r="D398">
            <v>1.65587464377338</v>
          </cell>
          <cell r="E398">
            <v>1.6558746035487026</v>
          </cell>
          <cell r="F398">
            <v>1.6558745786650673</v>
          </cell>
          <cell r="G398">
            <v>1.6558745637834236</v>
          </cell>
          <cell r="H398">
            <v>0.70316618313739132</v>
          </cell>
          <cell r="I398">
            <v>1.9217543396232994E-2</v>
          </cell>
        </row>
        <row r="399">
          <cell r="A399" t="str">
            <v>RHES-SHNGAHP</v>
          </cell>
          <cell r="B399" t="str">
            <v>VAR_fout</v>
          </cell>
          <cell r="C399" t="str">
            <v>RHES-SHANGAH</v>
          </cell>
          <cell r="F399">
            <v>1.1346848750103309E-5</v>
          </cell>
          <cell r="G399">
            <v>1.2448457854536929E-5</v>
          </cell>
          <cell r="H399">
            <v>1.4336819963242406E-4</v>
          </cell>
          <cell r="I399">
            <v>5.8627817968298434E-5</v>
          </cell>
        </row>
        <row r="400">
          <cell r="A400" t="str">
            <v>RHES-SHNGAHP</v>
          </cell>
          <cell r="B400" t="str">
            <v>VAR_fout</v>
          </cell>
          <cell r="C400" t="str">
            <v>CO2_R</v>
          </cell>
          <cell r="F400">
            <v>3.0168585681173798E-4</v>
          </cell>
          <cell r="G400">
            <v>3.18529662409889E-4</v>
          </cell>
          <cell r="H400">
            <v>3.6423272339048299E-3</v>
          </cell>
          <cell r="I400">
            <v>1.40041789836334E-3</v>
          </cell>
        </row>
        <row r="401">
          <cell r="A401" t="str">
            <v>RHES-SHNGAHP</v>
          </cell>
          <cell r="B401" t="str">
            <v>VAR_fin</v>
          </cell>
          <cell r="C401" t="str">
            <v>RHESELCHPC</v>
          </cell>
          <cell r="F401">
            <v>1.1346848750103309E-5</v>
          </cell>
          <cell r="G401">
            <v>1.2448457854536929E-5</v>
          </cell>
          <cell r="H401">
            <v>1.4336819963242406E-4</v>
          </cell>
          <cell r="I401">
            <v>5.8627817968298434E-5</v>
          </cell>
        </row>
        <row r="402">
          <cell r="A402" t="str">
            <v>RHES-SHNGAHP</v>
          </cell>
          <cell r="B402" t="str">
            <v>VAR_fin</v>
          </cell>
          <cell r="C402" t="str">
            <v>RNGA</v>
          </cell>
          <cell r="F402">
            <v>5.3490400143925113E-6</v>
          </cell>
          <cell r="G402">
            <v>5.647689049820728E-6</v>
          </cell>
          <cell r="H402">
            <v>6.458027010469559E-5</v>
          </cell>
          <cell r="I402">
            <v>2.4830104580910353E-5</v>
          </cell>
        </row>
        <row r="403">
          <cell r="A403" t="str">
            <v>RHES-SHNGAHP</v>
          </cell>
          <cell r="B403" t="str">
            <v>VAR_ncap</v>
          </cell>
          <cell r="C403" t="str">
            <v>-</v>
          </cell>
          <cell r="F403">
            <v>1.3506832544485599E-6</v>
          </cell>
          <cell r="H403">
            <v>4.1858607171759199E-8</v>
          </cell>
        </row>
        <row r="404">
          <cell r="A404" t="str">
            <v>RHES-SHNGAHP</v>
          </cell>
          <cell r="B404" t="str">
            <v>VAR_cap</v>
          </cell>
          <cell r="C404" t="str">
            <v>-</v>
          </cell>
          <cell r="F404">
            <v>1.3506832544485599E-6</v>
          </cell>
          <cell r="G404">
            <v>1.3506832544485599E-6</v>
          </cell>
          <cell r="H404">
            <v>1.18077694367009E-5</v>
          </cell>
          <cell r="I404">
            <v>4.9061001576906198E-6</v>
          </cell>
        </row>
        <row r="405">
          <cell r="A405" t="str">
            <v>D-RHES_LTH_CHPWOD</v>
          </cell>
          <cell r="B405" t="str">
            <v>VAR_fout</v>
          </cell>
          <cell r="C405" t="str">
            <v>RHES_LTH_CHPWOD_ON</v>
          </cell>
          <cell r="G405">
            <v>2.3159249289782512E-5</v>
          </cell>
          <cell r="H405">
            <v>6.9780896045805763E-5</v>
          </cell>
          <cell r="I405">
            <v>7.7763117872028497E-5</v>
          </cell>
        </row>
        <row r="406">
          <cell r="A406" t="str">
            <v>D-RHES_LTH_CHPWOD</v>
          </cell>
          <cell r="B406" t="str">
            <v>VAR_fout</v>
          </cell>
          <cell r="C406" t="str">
            <v>RHSA_LTH</v>
          </cell>
          <cell r="G406">
            <v>2.625469911838197E-6</v>
          </cell>
          <cell r="H406">
            <v>1.7049309565163564E-6</v>
          </cell>
          <cell r="I406">
            <v>3.8363433638451554E-7</v>
          </cell>
        </row>
        <row r="407">
          <cell r="A407" t="str">
            <v>D-RHES_LTH_CHPWOD</v>
          </cell>
          <cell r="B407" t="str">
            <v>VAR_fin</v>
          </cell>
          <cell r="C407" t="str">
            <v>RHES_LTH_CHPWOD</v>
          </cell>
          <cell r="G407">
            <v>2.6502464274789849E-5</v>
          </cell>
          <cell r="H407">
            <v>7.299755554030162E-5</v>
          </cell>
          <cell r="I407">
            <v>7.8306640157355096E-5</v>
          </cell>
        </row>
        <row r="408">
          <cell r="A408" t="str">
            <v>ITOT-SWHSOLBR</v>
          </cell>
          <cell r="B408" t="str">
            <v>VAR_fout</v>
          </cell>
          <cell r="C408" t="str">
            <v>ITOT-SWHASOL</v>
          </cell>
          <cell r="D408">
            <v>6.762755789151853E-2</v>
          </cell>
          <cell r="E408">
            <v>8.5488346665263865E-2</v>
          </cell>
          <cell r="F408">
            <v>8.5488401018779234E-2</v>
          </cell>
          <cell r="G408">
            <v>8.5488320240544202E-2</v>
          </cell>
          <cell r="H408">
            <v>9.269225881338794E-2</v>
          </cell>
          <cell r="I408">
            <v>9.2692212379879721E-2</v>
          </cell>
        </row>
        <row r="409">
          <cell r="A409" t="str">
            <v>ITOT-SWHSOLBR</v>
          </cell>
          <cell r="B409" t="str">
            <v>VAR_fin</v>
          </cell>
          <cell r="C409" t="str">
            <v>SOL</v>
          </cell>
          <cell r="D409">
            <v>6.762755789151853E-2</v>
          </cell>
          <cell r="E409">
            <v>8.5488346665263865E-2</v>
          </cell>
          <cell r="F409">
            <v>8.5488401018779234E-2</v>
          </cell>
          <cell r="G409">
            <v>8.5488320240544202E-2</v>
          </cell>
          <cell r="H409">
            <v>9.269225881338794E-2</v>
          </cell>
          <cell r="I409">
            <v>9.2692212379879721E-2</v>
          </cell>
        </row>
        <row r="410">
          <cell r="A410" t="str">
            <v>ITOT-SWHSOLBR</v>
          </cell>
          <cell r="B410" t="str">
            <v>VAR_ncap</v>
          </cell>
          <cell r="C410" t="str">
            <v>-</v>
          </cell>
          <cell r="E410">
            <v>2.59390379897453E-3</v>
          </cell>
          <cell r="H410">
            <v>4.9097622197648199E-3</v>
          </cell>
          <cell r="I410">
            <v>6.2810356040200101E-3</v>
          </cell>
        </row>
        <row r="411">
          <cell r="A411" t="str">
            <v>ITOT-SWHSOLBR</v>
          </cell>
          <cell r="B411" t="str">
            <v>VAR_cap</v>
          </cell>
          <cell r="C411" t="str">
            <v>-</v>
          </cell>
          <cell r="D411">
            <v>9.8214799778629808E-3</v>
          </cell>
          <cell r="E411">
            <v>1.2415383776837511E-2</v>
          </cell>
          <cell r="F411">
            <v>1.2415383776837511E-2</v>
          </cell>
          <cell r="G411">
            <v>1.2415383776837511E-2</v>
          </cell>
          <cell r="H411">
            <v>1.34616093449595E-2</v>
          </cell>
          <cell r="I411">
            <v>1.3461600234225501E-2</v>
          </cell>
        </row>
        <row r="412">
          <cell r="A412" t="str">
            <v>SCOM-SHNGAHP</v>
          </cell>
          <cell r="B412" t="str">
            <v>VAR_fout</v>
          </cell>
          <cell r="C412" t="str">
            <v>SCOM-SHANGAH</v>
          </cell>
          <cell r="F412">
            <v>4.7297084814314912E-5</v>
          </cell>
          <cell r="G412">
            <v>3.1702528000993455E-5</v>
          </cell>
          <cell r="H412">
            <v>6.7808825085842017E-4</v>
          </cell>
          <cell r="I412">
            <v>2.7240985790117581E-4</v>
          </cell>
        </row>
        <row r="413">
          <cell r="A413" t="str">
            <v>SCOM-SHNGAHP</v>
          </cell>
          <cell r="B413" t="str">
            <v>VAR_fout</v>
          </cell>
          <cell r="C413" t="str">
            <v>CO2_S</v>
          </cell>
          <cell r="F413">
            <v>1.34725029471079E-3</v>
          </cell>
          <cell r="G413">
            <v>8.7095106361201899E-4</v>
          </cell>
          <cell r="H413">
            <v>1.7705637661303199E-2</v>
          </cell>
          <cell r="I413">
            <v>6.7385596428185604E-3</v>
          </cell>
        </row>
        <row r="414">
          <cell r="A414" t="str">
            <v>SCOM-SHNGAHP</v>
          </cell>
          <cell r="B414" t="str">
            <v>VAR_fin</v>
          </cell>
          <cell r="C414" t="str">
            <v>SCOMELCHPC</v>
          </cell>
          <cell r="F414">
            <v>4.7297084814314912E-5</v>
          </cell>
          <cell r="G414">
            <v>3.1702528000993455E-5</v>
          </cell>
          <cell r="H414">
            <v>6.7808825085842017E-4</v>
          </cell>
          <cell r="I414">
            <v>2.7240985790117581E-4</v>
          </cell>
        </row>
        <row r="415">
          <cell r="A415" t="str">
            <v>SCOM-SHNGAHP</v>
          </cell>
          <cell r="B415" t="str">
            <v>VAR_fin</v>
          </cell>
          <cell r="C415" t="str">
            <v>SNGA</v>
          </cell>
          <cell r="F415">
            <v>2.3887416572886334E-5</v>
          </cell>
          <cell r="G415">
            <v>1.5442394744893957E-5</v>
          </cell>
          <cell r="H415">
            <v>3.1392974576778689E-4</v>
          </cell>
          <cell r="I415">
            <v>1.1947800785139293E-4</v>
          </cell>
        </row>
        <row r="416">
          <cell r="A416" t="str">
            <v>SCOM-SHNGAHP</v>
          </cell>
          <cell r="B416" t="str">
            <v>VAR_ncap</v>
          </cell>
          <cell r="C416" t="str">
            <v>-</v>
          </cell>
          <cell r="E416">
            <v>5.2232698029776204E-7</v>
          </cell>
          <cell r="F416">
            <v>3.1005161042914202E-6</v>
          </cell>
          <cell r="H416">
            <v>1.8357978969085899E-8</v>
          </cell>
        </row>
        <row r="417">
          <cell r="A417" t="str">
            <v>SCOM-SHNGAHP</v>
          </cell>
          <cell r="B417" t="str">
            <v>VAR_cap</v>
          </cell>
          <cell r="C417" t="str">
            <v>-</v>
          </cell>
          <cell r="E417">
            <v>5.2232698029776204E-7</v>
          </cell>
          <cell r="F417">
            <v>3.6228430845891799E-6</v>
          </cell>
          <cell r="G417">
            <v>3.6228430845891799E-6</v>
          </cell>
          <cell r="H417">
            <v>5.2807779698211178E-5</v>
          </cell>
          <cell r="I417">
            <v>2.2105540290112413E-5</v>
          </cell>
        </row>
        <row r="418">
          <cell r="A418" t="str">
            <v>RHNS-SHNGABR</v>
          </cell>
          <cell r="B418" t="str">
            <v>VAR_fout</v>
          </cell>
          <cell r="C418" t="str">
            <v>CO2_R</v>
          </cell>
          <cell r="E418">
            <v>6.0643307860783304</v>
          </cell>
          <cell r="F418">
            <v>15.7470658049251</v>
          </cell>
          <cell r="G418">
            <v>15.6134574660322</v>
          </cell>
          <cell r="H418">
            <v>1.3719211209767499</v>
          </cell>
          <cell r="I418">
            <v>3.0158987539604998E-4</v>
          </cell>
        </row>
        <row r="419">
          <cell r="A419" t="str">
            <v>RHNS-SHNGABR</v>
          </cell>
          <cell r="B419" t="str">
            <v>VAR_fout</v>
          </cell>
          <cell r="C419" t="str">
            <v>RHNS-SHNGA</v>
          </cell>
          <cell r="E419">
            <v>0.10214741572295057</v>
          </cell>
          <cell r="F419">
            <v>0.26524312969288782</v>
          </cell>
          <cell r="G419">
            <v>0.26299263462288197</v>
          </cell>
          <cell r="H419">
            <v>2.3108600441984262E-2</v>
          </cell>
          <cell r="I419">
            <v>5.0799713054299142E-6</v>
          </cell>
        </row>
        <row r="420">
          <cell r="A420" t="str">
            <v>RHNS-SHNGABR</v>
          </cell>
          <cell r="B420" t="str">
            <v>VAR_fin</v>
          </cell>
          <cell r="C420" t="str">
            <v>RNGA</v>
          </cell>
          <cell r="E420">
            <v>0.1075235954978427</v>
          </cell>
          <cell r="F420">
            <v>0.27920329441356623</v>
          </cell>
          <cell r="G420">
            <v>0.27683435223461245</v>
          </cell>
          <cell r="H420">
            <v>2.4324842570509746E-2</v>
          </cell>
          <cell r="I420">
            <v>5.3473382162420187E-6</v>
          </cell>
        </row>
        <row r="421">
          <cell r="A421" t="str">
            <v>RHNS-SHNGABR</v>
          </cell>
          <cell r="B421" t="str">
            <v>VAR_ncap</v>
          </cell>
          <cell r="C421" t="str">
            <v>-</v>
          </cell>
          <cell r="E421">
            <v>7.6827514679041501E-3</v>
          </cell>
          <cell r="F421">
            <v>1.18035920031795E-2</v>
          </cell>
          <cell r="G421">
            <v>1.3700601650162501E-8</v>
          </cell>
          <cell r="H421">
            <v>1.3411636757145E-8</v>
          </cell>
          <cell r="I421">
            <v>6.0677716829757097E-7</v>
          </cell>
        </row>
        <row r="422">
          <cell r="A422" t="str">
            <v>RHNS-SHNGABR</v>
          </cell>
          <cell r="B422" t="str">
            <v>VAR_cap</v>
          </cell>
          <cell r="C422" t="str">
            <v>-</v>
          </cell>
          <cell r="E422">
            <v>7.6827514679041501E-3</v>
          </cell>
          <cell r="F422">
            <v>1.94863434710837E-2</v>
          </cell>
          <cell r="G422">
            <v>1.9486357171685301E-2</v>
          </cell>
          <cell r="H422">
            <v>2.0905971638889112E-3</v>
          </cell>
          <cell r="I422">
            <v>6.2271565099627296E-7</v>
          </cell>
        </row>
        <row r="423">
          <cell r="A423" t="str">
            <v>D-RHNM_LTH_CHPNGA</v>
          </cell>
          <cell r="B423" t="str">
            <v>VAR_fout</v>
          </cell>
          <cell r="C423" t="str">
            <v>RHSA_LTH</v>
          </cell>
          <cell r="E423">
            <v>2.7451534141417571E-6</v>
          </cell>
          <cell r="F423">
            <v>1.5670261172193051E-5</v>
          </cell>
          <cell r="G423">
            <v>6.1102144751274832E-6</v>
          </cell>
          <cell r="H423">
            <v>5.3837193121728764E-6</v>
          </cell>
          <cell r="I423">
            <v>6.07629696455546E-8</v>
          </cell>
        </row>
        <row r="424">
          <cell r="A424" t="str">
            <v>D-RHNM_LTH_CHPNGA</v>
          </cell>
          <cell r="B424" t="str">
            <v>VAR_fout</v>
          </cell>
          <cell r="C424" t="str">
            <v>LTH</v>
          </cell>
          <cell r="F424">
            <v>3.4072872533076641E-7</v>
          </cell>
          <cell r="G424">
            <v>1.2328022064545558E-6</v>
          </cell>
          <cell r="H424">
            <v>2.14886792463104E-8</v>
          </cell>
        </row>
        <row r="425">
          <cell r="A425" t="str">
            <v>D-RHNM_LTH_CHPNGA</v>
          </cell>
          <cell r="B425" t="str">
            <v>VAR_fout</v>
          </cell>
          <cell r="C425" t="str">
            <v>RHNM_LTH_CHPNGA_ON</v>
          </cell>
          <cell r="E425">
            <v>2.5828377647719994E-3</v>
          </cell>
          <cell r="F425">
            <v>3.096146777448819E-3</v>
          </cell>
          <cell r="G425">
            <v>3.0139862551781865E-3</v>
          </cell>
          <cell r="H425">
            <v>3.4246645713983096E-4</v>
          </cell>
          <cell r="I425">
            <v>5.3544479175758569E-5</v>
          </cell>
        </row>
        <row r="426">
          <cell r="A426" t="str">
            <v>D-RHNM_LTH_CHPNGA</v>
          </cell>
          <cell r="B426" t="str">
            <v>VAR_fin</v>
          </cell>
          <cell r="C426" t="str">
            <v>RHNM_LTH_CHPNGA</v>
          </cell>
          <cell r="E426">
            <v>2.5856396650185934E-3</v>
          </cell>
          <cell r="F426">
            <v>3.1128179673988745E-3</v>
          </cell>
          <cell r="G426">
            <v>3.0220318071654587E-3</v>
          </cell>
          <cell r="H426">
            <v>3.4876441789813612E-4</v>
          </cell>
          <cell r="I426">
            <v>5.3766582182907012E-5</v>
          </cell>
        </row>
        <row r="427">
          <cell r="A427" t="str">
            <v>RHNM-SHELCHP</v>
          </cell>
          <cell r="B427" t="str">
            <v>VAR_fout</v>
          </cell>
          <cell r="C427" t="str">
            <v>RHNM-SHAELCH</v>
          </cell>
          <cell r="E427">
            <v>1.3328430534374049E-7</v>
          </cell>
          <cell r="F427">
            <v>1.357406239297106</v>
          </cell>
          <cell r="G427">
            <v>3.6375315256814575</v>
          </cell>
          <cell r="H427">
            <v>6.1671187924060868</v>
          </cell>
          <cell r="I427">
            <v>6.802359124046677</v>
          </cell>
        </row>
        <row r="428">
          <cell r="A428" t="str">
            <v>RHNM-SHELCHP</v>
          </cell>
          <cell r="B428" t="str">
            <v>VAR_fin</v>
          </cell>
          <cell r="C428" t="str">
            <v>RHNM_ELC</v>
          </cell>
          <cell r="F428">
            <v>0.40722187178913183</v>
          </cell>
          <cell r="G428">
            <v>1.0492879401004191</v>
          </cell>
          <cell r="H428">
            <v>1.6667888628124565</v>
          </cell>
          <cell r="I428">
            <v>1.7441946471914527</v>
          </cell>
        </row>
        <row r="429">
          <cell r="A429" t="str">
            <v>RHNM-SHELCHP</v>
          </cell>
          <cell r="B429" t="str">
            <v>VAR_fin</v>
          </cell>
          <cell r="C429" t="str">
            <v>RHNMELCHPC</v>
          </cell>
          <cell r="E429">
            <v>1.3328430534374049E-7</v>
          </cell>
          <cell r="F429">
            <v>1.357406239297106</v>
          </cell>
          <cell r="G429">
            <v>3.6375315256814575</v>
          </cell>
          <cell r="H429">
            <v>6.1671187924060868</v>
          </cell>
          <cell r="I429">
            <v>6.802359124046677</v>
          </cell>
        </row>
        <row r="430">
          <cell r="A430" t="str">
            <v>RHNM-SHELCHP</v>
          </cell>
          <cell r="B430" t="str">
            <v>VAR_ncap</v>
          </cell>
          <cell r="C430" t="str">
            <v>-</v>
          </cell>
          <cell r="E430">
            <v>1.2287669449885701E-7</v>
          </cell>
          <cell r="F430">
            <v>0.105360990593704</v>
          </cell>
          <cell r="G430">
            <v>0.17698015497257499</v>
          </cell>
          <cell r="H430">
            <v>0.24304321895743999</v>
          </cell>
          <cell r="I430">
            <v>0.311958113513918</v>
          </cell>
        </row>
        <row r="431">
          <cell r="A431" t="str">
            <v>RHNM-SHELCHP</v>
          </cell>
          <cell r="B431" t="str">
            <v>VAR_cap</v>
          </cell>
          <cell r="C431" t="str">
            <v>-</v>
          </cell>
          <cell r="E431">
            <v>1.2287669449885701E-7</v>
          </cell>
          <cell r="F431">
            <v>0.105361113470398</v>
          </cell>
          <cell r="G431">
            <v>0.28234126844297303</v>
          </cell>
          <cell r="H431">
            <v>0.47933433045674373</v>
          </cell>
          <cell r="I431">
            <v>0.52926929768524</v>
          </cell>
        </row>
        <row r="432">
          <cell r="A432" t="str">
            <v>D-IH2R</v>
          </cell>
          <cell r="B432" t="str">
            <v>VAR_fout</v>
          </cell>
          <cell r="C432" t="str">
            <v>IH2</v>
          </cell>
          <cell r="G432">
            <v>2.2008178976048671</v>
          </cell>
          <cell r="H432">
            <v>7.0349915667968386</v>
          </cell>
          <cell r="I432">
            <v>7.0084149255420218</v>
          </cell>
        </row>
        <row r="433">
          <cell r="A433" t="str">
            <v>D-IH2R</v>
          </cell>
          <cell r="B433" t="str">
            <v>VAR_fin</v>
          </cell>
          <cell r="C433" t="str">
            <v>H2</v>
          </cell>
          <cell r="G433">
            <v>2.2008178976048671</v>
          </cell>
          <cell r="H433">
            <v>7.0349915667968386</v>
          </cell>
          <cell r="I433">
            <v>7.0084149255420218</v>
          </cell>
        </row>
        <row r="434">
          <cell r="A434" t="str">
            <v>D-IH2R</v>
          </cell>
          <cell r="B434" t="str">
            <v>VAR_ncap</v>
          </cell>
          <cell r="C434" t="str">
            <v>-</v>
          </cell>
          <cell r="G434">
            <v>7.75418550521393E-2</v>
          </cell>
          <cell r="H434">
            <v>0.21426822912636401</v>
          </cell>
          <cell r="I434">
            <v>0.17353678001631401</v>
          </cell>
        </row>
        <row r="435">
          <cell r="A435" t="str">
            <v>D-IH2R</v>
          </cell>
          <cell r="B435" t="str">
            <v>VAR_cap</v>
          </cell>
          <cell r="C435" t="str">
            <v>-</v>
          </cell>
          <cell r="G435">
            <v>7.75418550521393E-2</v>
          </cell>
          <cell r="H435">
            <v>0.24786486427049201</v>
          </cell>
          <cell r="I435">
            <v>0.24692820099437801</v>
          </cell>
        </row>
        <row r="436">
          <cell r="A436" t="str">
            <v>RHEM-SHSTG-ELC</v>
          </cell>
          <cell r="B436" t="str">
            <v>VAR_fout</v>
          </cell>
          <cell r="C436" t="str">
            <v>RHEM-SHAELCB</v>
          </cell>
          <cell r="E436">
            <v>0.79023842267193156</v>
          </cell>
          <cell r="F436">
            <v>0.69359925697296165</v>
          </cell>
          <cell r="G436">
            <v>0.47860994034089971</v>
          </cell>
          <cell r="H436">
            <v>7.9334216245131248E-2</v>
          </cell>
          <cell r="I436">
            <v>5.482252580999665E-2</v>
          </cell>
        </row>
        <row r="437">
          <cell r="A437" t="str">
            <v>RHEM-SHSTG-ELC</v>
          </cell>
          <cell r="B437" t="str">
            <v>VAR_fin</v>
          </cell>
          <cell r="C437" t="str">
            <v>RHEM-SHAELCB</v>
          </cell>
          <cell r="E437">
            <v>0.79026416241174213</v>
          </cell>
          <cell r="F437">
            <v>0.69362475586080441</v>
          </cell>
          <cell r="G437">
            <v>0.47862779077056783</v>
          </cell>
          <cell r="H437">
            <v>7.9338432540638354E-2</v>
          </cell>
          <cell r="I437">
            <v>5.4824861272704382E-2</v>
          </cell>
        </row>
        <row r="438">
          <cell r="A438" t="str">
            <v>RHEM-SHSTG-ELC</v>
          </cell>
          <cell r="B438" t="str">
            <v>VAR_ncap</v>
          </cell>
          <cell r="C438" t="str">
            <v>-</v>
          </cell>
          <cell r="D438">
            <v>2.2671838626513199E-4</v>
          </cell>
          <cell r="E438">
            <v>7.6667769809332598E-2</v>
          </cell>
          <cell r="F438">
            <v>6.3212907918450302E-7</v>
          </cell>
          <cell r="G438">
            <v>4.5792399198231998E-7</v>
          </cell>
          <cell r="H438">
            <v>1.54015900148354E-2</v>
          </cell>
          <cell r="I438">
            <v>3.6862346353079102E-7</v>
          </cell>
        </row>
        <row r="439">
          <cell r="A439" t="str">
            <v>RHEM-SHSTG-ELC</v>
          </cell>
          <cell r="B439" t="str">
            <v>VAR_cap</v>
          </cell>
          <cell r="C439" t="str">
            <v>-</v>
          </cell>
          <cell r="D439">
            <v>2.2671838626513199E-4</v>
          </cell>
          <cell r="E439">
            <v>7.6894347157439175E-2</v>
          </cell>
          <cell r="F439">
            <v>7.6894345929372207E-2</v>
          </cell>
          <cell r="G439">
            <v>6.0382986561052898E-2</v>
          </cell>
          <cell r="H439">
            <v>1.5405386695537026E-2</v>
          </cell>
          <cell r="I439">
            <v>6.9643866615671096E-3</v>
          </cell>
        </row>
        <row r="440">
          <cell r="A440" t="str">
            <v>RHNM-SHLTHCHPWOD</v>
          </cell>
          <cell r="B440" t="str">
            <v>VAR_ncap</v>
          </cell>
          <cell r="C440" t="str">
            <v>-</v>
          </cell>
          <cell r="G440">
            <v>1.7643453978982999E-8</v>
          </cell>
          <cell r="H440">
            <v>3.5675048645588702E-8</v>
          </cell>
          <cell r="I440">
            <v>2.7316264552632901E-8</v>
          </cell>
        </row>
        <row r="441">
          <cell r="A441" t="str">
            <v>RHNM-SHLTHCHPWOD</v>
          </cell>
          <cell r="B441" t="str">
            <v>VAR_cap</v>
          </cell>
          <cell r="C441" t="str">
            <v>-</v>
          </cell>
          <cell r="G441">
            <v>1.7643453978982999E-8</v>
          </cell>
          <cell r="H441">
            <v>2.42236476526911E-8</v>
          </cell>
          <cell r="I441">
            <v>2.9439648230568692E-8</v>
          </cell>
        </row>
        <row r="442">
          <cell r="A442" t="str">
            <v>ITOT-SWHDEM</v>
          </cell>
          <cell r="B442" t="str">
            <v>VAR_fout</v>
          </cell>
          <cell r="C442" t="str">
            <v>ITOT-SWHD</v>
          </cell>
          <cell r="D442">
            <v>72.708169056255471</v>
          </cell>
          <cell r="E442">
            <v>74.034534312054888</v>
          </cell>
          <cell r="F442">
            <v>75.228997915331831</v>
          </cell>
          <cell r="G442">
            <v>76.741068579199563</v>
          </cell>
          <cell r="H442">
            <v>79.604647766114525</v>
          </cell>
          <cell r="I442">
            <v>83.379524325933872</v>
          </cell>
        </row>
        <row r="443">
          <cell r="A443" t="str">
            <v>ITOT-SWHDEM</v>
          </cell>
          <cell r="B443" t="str">
            <v>VAR_fin</v>
          </cell>
          <cell r="C443" t="str">
            <v>ITOT-SWHNGAH</v>
          </cell>
          <cell r="F443">
            <v>2.5531776096599662E-4</v>
          </cell>
          <cell r="G443">
            <v>2.2919113084021137E-4</v>
          </cell>
          <cell r="H443">
            <v>1.5111930115665657E-4</v>
          </cell>
          <cell r="I443">
            <v>1.4575428071367493E-4</v>
          </cell>
        </row>
        <row r="444">
          <cell r="A444" t="str">
            <v>ITOT-SWHDEM</v>
          </cell>
          <cell r="B444" t="str">
            <v>VAR_fin</v>
          </cell>
          <cell r="C444" t="str">
            <v>ITOT-SWH</v>
          </cell>
          <cell r="D444">
            <v>61.718524884208996</v>
          </cell>
          <cell r="E444">
            <v>58.23585259169397</v>
          </cell>
          <cell r="F444">
            <v>58.308484340864936</v>
          </cell>
          <cell r="G444">
            <v>55.794146839646778</v>
          </cell>
          <cell r="H444">
            <v>51.866523285944986</v>
          </cell>
          <cell r="I444">
            <v>49.579034430976236</v>
          </cell>
        </row>
        <row r="445">
          <cell r="A445" t="str">
            <v>ITOT-SWHDEM</v>
          </cell>
          <cell r="B445" t="str">
            <v>VAR_fin</v>
          </cell>
          <cell r="C445" t="str">
            <v>ITOT-SWHELCH</v>
          </cell>
          <cell r="D445">
            <v>1.1081275654045448</v>
          </cell>
          <cell r="E445">
            <v>1.4007899266755055</v>
          </cell>
          <cell r="F445">
            <v>2.5225944292884686</v>
          </cell>
          <cell r="G445">
            <v>5.0162338467447221</v>
          </cell>
          <cell r="H445">
            <v>6.1647553993558049</v>
          </cell>
          <cell r="I445">
            <v>7.2463860395520809</v>
          </cell>
        </row>
        <row r="446">
          <cell r="A446" t="str">
            <v>ITOT-SWHDEM</v>
          </cell>
          <cell r="B446" t="str">
            <v>VAR_fin</v>
          </cell>
          <cell r="C446" t="str">
            <v>ITOT-SWHC</v>
          </cell>
          <cell r="E446">
            <v>3.9773255098463749</v>
          </cell>
          <cell r="F446">
            <v>3.9773247178959883</v>
          </cell>
          <cell r="G446">
            <v>5.5090666060716176</v>
          </cell>
          <cell r="H446">
            <v>11.18350831517686</v>
          </cell>
          <cell r="I446">
            <v>16.03976333794742</v>
          </cell>
        </row>
        <row r="447">
          <cell r="A447" t="str">
            <v>ITOT-SWHDEM</v>
          </cell>
          <cell r="B447" t="str">
            <v>VAR_fin</v>
          </cell>
          <cell r="C447" t="str">
            <v>ITOT-SWHELC</v>
          </cell>
          <cell r="D447">
            <v>9.8138880911476853</v>
          </cell>
          <cell r="E447">
            <v>10.335082593214178</v>
          </cell>
          <cell r="F447">
            <v>10.335060398507682</v>
          </cell>
          <cell r="G447">
            <v>10.335910390895032</v>
          </cell>
          <cell r="H447">
            <v>10.297020072252616</v>
          </cell>
          <cell r="I447">
            <v>10.421508692078142</v>
          </cell>
        </row>
        <row r="448">
          <cell r="A448" t="str">
            <v>ITOT-SWHDEM</v>
          </cell>
          <cell r="B448" t="str">
            <v>VAR_fin</v>
          </cell>
          <cell r="C448" t="str">
            <v>ITOT-SWHSOL</v>
          </cell>
          <cell r="D448">
            <v>6.7628515494227076E-2</v>
          </cell>
          <cell r="E448">
            <v>8.5488569618293889E-2</v>
          </cell>
          <cell r="F448">
            <v>8.5283648816007945E-2</v>
          </cell>
          <cell r="G448">
            <v>8.5485047501220546E-2</v>
          </cell>
          <cell r="H448">
            <v>9.2692106273071742E-2</v>
          </cell>
          <cell r="I448">
            <v>9.2689132627074511E-2</v>
          </cell>
        </row>
        <row r="449">
          <cell r="A449" t="str">
            <v>D-RHNS_NKEV_GAS_ELC_CHP</v>
          </cell>
          <cell r="B449" t="str">
            <v>VAR_fout</v>
          </cell>
          <cell r="C449" t="str">
            <v>RHNS_ELC</v>
          </cell>
          <cell r="E449">
            <v>1.8266301360051585E-4</v>
          </cell>
          <cell r="F449">
            <v>1.8997412659967788E-4</v>
          </cell>
          <cell r="G449">
            <v>1.9112399225543918E-4</v>
          </cell>
          <cell r="H449">
            <v>1.0470338500260542E-4</v>
          </cell>
          <cell r="I449">
            <v>7.3796275529583962E-6</v>
          </cell>
        </row>
        <row r="450">
          <cell r="A450" t="str">
            <v>D-RHNS_NKEV_GAS_ELC_CHP</v>
          </cell>
          <cell r="B450" t="str">
            <v>VAR_fout</v>
          </cell>
          <cell r="C450" t="str">
            <v>ELC5</v>
          </cell>
          <cell r="E450">
            <v>1.8262379528860212E-4</v>
          </cell>
          <cell r="F450">
            <v>1.9000397999394123E-4</v>
          </cell>
          <cell r="G450">
            <v>1.912222410990369E-4</v>
          </cell>
          <cell r="H450">
            <v>1.0479133016547796E-4</v>
          </cell>
          <cell r="I450">
            <v>7.3823473688347183E-6</v>
          </cell>
        </row>
        <row r="451">
          <cell r="A451" t="str">
            <v>D-RHNS_NKEV_GAS_ELC_CHP</v>
          </cell>
          <cell r="B451" t="str">
            <v>VAR_fin</v>
          </cell>
          <cell r="C451" t="str">
            <v>RHNS_NKEV_GAS_ELC_CHP</v>
          </cell>
          <cell r="E451">
            <v>3.6528680888911811E-4</v>
          </cell>
          <cell r="F451">
            <v>3.7982705722532865E-4</v>
          </cell>
          <cell r="G451">
            <v>3.8234623335447603E-4</v>
          </cell>
          <cell r="H451">
            <v>2.0949471516808327E-4</v>
          </cell>
          <cell r="I451">
            <v>1.4901424476834194E-5</v>
          </cell>
        </row>
        <row r="452">
          <cell r="A452" t="str">
            <v>RHNM-SHSTG-NGAHP</v>
          </cell>
          <cell r="B452" t="str">
            <v>VAR_fout</v>
          </cell>
          <cell r="C452" t="str">
            <v>RHNM-SHANGAH</v>
          </cell>
          <cell r="F452">
            <v>4.7728821123453385E-5</v>
          </cell>
          <cell r="G452">
            <v>9.418574562107765E-5</v>
          </cell>
          <cell r="H452">
            <v>2.2556281777761855E-5</v>
          </cell>
          <cell r="I452">
            <v>3.9927428780577327E-6</v>
          </cell>
        </row>
        <row r="453">
          <cell r="A453" t="str">
            <v>RHNM-SHSTG-NGAHP</v>
          </cell>
          <cell r="B453" t="str">
            <v>VAR_fin</v>
          </cell>
          <cell r="C453" t="str">
            <v>RHNM-SHANGAH</v>
          </cell>
          <cell r="F453">
            <v>4.8028161329543232E-5</v>
          </cell>
          <cell r="G453">
            <v>9.4466860956884371E-5</v>
          </cell>
          <cell r="H453">
            <v>2.2684491807859389E-5</v>
          </cell>
          <cell r="I453">
            <v>4.1642372331408926E-6</v>
          </cell>
        </row>
        <row r="454">
          <cell r="A454" t="str">
            <v>RHNM-SHSTG-NGAHP</v>
          </cell>
          <cell r="B454" t="str">
            <v>VAR_ncap</v>
          </cell>
          <cell r="C454" t="str">
            <v>-</v>
          </cell>
          <cell r="D454">
            <v>2.0461499715610899E-7</v>
          </cell>
          <cell r="E454">
            <v>1.4634297784034999E-7</v>
          </cell>
          <cell r="F454">
            <v>1.6011335258697499E-5</v>
          </cell>
          <cell r="G454">
            <v>6.0371166026244099E-6</v>
          </cell>
          <cell r="H454">
            <v>9.8451541712412101E-7</v>
          </cell>
          <cell r="I454">
            <v>3.2803610230107602E-7</v>
          </cell>
        </row>
        <row r="455">
          <cell r="A455" t="str">
            <v>RHNM-SHSTG-NGAHP</v>
          </cell>
          <cell r="B455" t="str">
            <v>VAR_cap</v>
          </cell>
          <cell r="C455" t="str">
            <v>-</v>
          </cell>
          <cell r="D455">
            <v>2.0461499715610899E-7</v>
          </cell>
          <cell r="E455">
            <v>8.0993838533800413E-10</v>
          </cell>
          <cell r="F455">
            <v>1.5916729869076362E-5</v>
          </cell>
          <cell r="G455">
            <v>2.1755432122741091E-5</v>
          </cell>
          <cell r="H455">
            <v>9.2159162875877803E-6</v>
          </cell>
          <cell r="I455">
            <v>1.0476637034254601E-6</v>
          </cell>
        </row>
        <row r="456">
          <cell r="A456" t="str">
            <v>D-IBIO</v>
          </cell>
          <cell r="B456" t="str">
            <v>VAR_fout</v>
          </cell>
          <cell r="C456" t="str">
            <v>IBIO</v>
          </cell>
          <cell r="D456">
            <v>0.43672378987796473</v>
          </cell>
          <cell r="E456">
            <v>0.55206475024979285</v>
          </cell>
          <cell r="F456">
            <v>1.8983995290829139</v>
          </cell>
          <cell r="G456">
            <v>4.3164937204135194</v>
          </cell>
          <cell r="H456">
            <v>4.3164942636794938</v>
          </cell>
          <cell r="I456">
            <v>4.3164942936805852</v>
          </cell>
        </row>
        <row r="457">
          <cell r="A457" t="str">
            <v>D-IBIO</v>
          </cell>
          <cell r="B457" t="str">
            <v>VAR_fin</v>
          </cell>
          <cell r="C457" t="str">
            <v>BIO</v>
          </cell>
          <cell r="D457">
            <v>0.43672378987796473</v>
          </cell>
          <cell r="E457">
            <v>0.55206475024979285</v>
          </cell>
          <cell r="F457">
            <v>1.8983995290829139</v>
          </cell>
          <cell r="G457">
            <v>4.3164937204135194</v>
          </cell>
          <cell r="H457">
            <v>4.3164942636794938</v>
          </cell>
          <cell r="I457">
            <v>4.3164942936805852</v>
          </cell>
        </row>
        <row r="458">
          <cell r="A458" t="str">
            <v>D-RHES_KEV_WOD_ELC_CHP</v>
          </cell>
          <cell r="B458" t="str">
            <v>VAR_fout</v>
          </cell>
          <cell r="C458" t="str">
            <v>RHES_ELC</v>
          </cell>
          <cell r="G458">
            <v>3.0363754161502421E-6</v>
          </cell>
          <cell r="H458">
            <v>1.4816429692320086E-5</v>
          </cell>
          <cell r="I458">
            <v>1.5736004331413364E-5</v>
          </cell>
        </row>
        <row r="459">
          <cell r="A459" t="str">
            <v>D-RHES_KEV_WOD_ELC_CHP</v>
          </cell>
          <cell r="B459" t="str">
            <v>VAR_fout</v>
          </cell>
          <cell r="C459" t="str">
            <v>ELC5</v>
          </cell>
          <cell r="G459">
            <v>7.2776802625307944E-6</v>
          </cell>
          <cell r="H459">
            <v>1.4818699798995352E-5</v>
          </cell>
          <cell r="I459">
            <v>1.5738470365336735E-5</v>
          </cell>
        </row>
        <row r="460">
          <cell r="A460" t="str">
            <v>D-RHES_KEV_WOD_ELC_CHP</v>
          </cell>
          <cell r="B460" t="str">
            <v>VAR_fin</v>
          </cell>
          <cell r="C460" t="str">
            <v>RHES_KEV_WOD_ELC_CHP</v>
          </cell>
          <cell r="G460">
            <v>1.0455010908393818E-5</v>
          </cell>
          <cell r="H460">
            <v>2.9516727966701175E-5</v>
          </cell>
          <cell r="I460">
            <v>3.1867468601499866E-5</v>
          </cell>
        </row>
        <row r="461">
          <cell r="A461" t="str">
            <v>RHNS-SHLFOBR</v>
          </cell>
          <cell r="B461" t="str">
            <v>VAR_fout</v>
          </cell>
          <cell r="C461" t="str">
            <v>CO2_R</v>
          </cell>
          <cell r="F461">
            <v>2.3528685680940802E-3</v>
          </cell>
          <cell r="G461">
            <v>2.1336196640381099E-3</v>
          </cell>
          <cell r="H461">
            <v>8.4832121719181095E-4</v>
          </cell>
          <cell r="I461">
            <v>1.48799432242449E-4</v>
          </cell>
        </row>
        <row r="462">
          <cell r="A462" t="str">
            <v>RHNS-SHLFOBR</v>
          </cell>
          <cell r="B462" t="str">
            <v>VAR_fout</v>
          </cell>
          <cell r="C462" t="str">
            <v>RHNS-SHLFO</v>
          </cell>
          <cell r="F462">
            <v>2.8599431373825585E-5</v>
          </cell>
          <cell r="G462">
            <v>2.5934431692005581E-5</v>
          </cell>
          <cell r="H462">
            <v>1.0311457581198528E-5</v>
          </cell>
          <cell r="I462">
            <v>1.8086769522911851E-6</v>
          </cell>
        </row>
        <row r="463">
          <cell r="A463" t="str">
            <v>RHNS-SHLFOBR</v>
          </cell>
          <cell r="B463" t="str">
            <v>VAR_fin</v>
          </cell>
          <cell r="C463" t="str">
            <v>RLFO</v>
          </cell>
          <cell r="F463">
            <v>3.1924946649851764E-5</v>
          </cell>
          <cell r="G463">
            <v>2.8950063284099226E-5</v>
          </cell>
          <cell r="H463">
            <v>1.151046427668671E-5</v>
          </cell>
          <cell r="I463">
            <v>2.0189882258134142E-6</v>
          </cell>
        </row>
        <row r="464">
          <cell r="A464" t="str">
            <v>RHNS-SHLFOBR</v>
          </cell>
          <cell r="B464" t="str">
            <v>VAR_ncap</v>
          </cell>
          <cell r="C464" t="str">
            <v>-</v>
          </cell>
          <cell r="E464">
            <v>1.55616606493752E-8</v>
          </cell>
          <cell r="F464">
            <v>2.34266661527348E-6</v>
          </cell>
        </row>
        <row r="465">
          <cell r="A465" t="str">
            <v>RHNS-SHLFOBR</v>
          </cell>
          <cell r="B465" t="str">
            <v>VAR_cap</v>
          </cell>
          <cell r="C465" t="str">
            <v>-</v>
          </cell>
          <cell r="E465">
            <v>1.55616606493752E-8</v>
          </cell>
          <cell r="F465">
            <v>2.3582282759228499E-6</v>
          </cell>
          <cell r="G465">
            <v>2.3582282759228499E-6</v>
          </cell>
          <cell r="H465">
            <v>1.1333378668303286E-6</v>
          </cell>
          <cell r="I465">
            <v>3.05606200373618E-7</v>
          </cell>
        </row>
        <row r="466">
          <cell r="A466" t="str">
            <v>D-SNGA</v>
          </cell>
          <cell r="B466" t="str">
            <v>VAR_fout</v>
          </cell>
          <cell r="C466" t="str">
            <v>CO2</v>
          </cell>
          <cell r="D466">
            <v>1521.3871198366401</v>
          </cell>
          <cell r="E466">
            <v>1342.2840998029501</v>
          </cell>
          <cell r="F466">
            <v>1524.34470574293</v>
          </cell>
          <cell r="G466">
            <v>1539.9085252277901</v>
          </cell>
          <cell r="H466">
            <v>1186.4666737984701</v>
          </cell>
          <cell r="I466">
            <v>572.90359680959602</v>
          </cell>
        </row>
        <row r="467">
          <cell r="A467" t="str">
            <v>D-SNGA</v>
          </cell>
          <cell r="B467" t="str">
            <v>VAR_fout</v>
          </cell>
          <cell r="C467" t="str">
            <v>SNGA</v>
          </cell>
          <cell r="D467">
            <v>27.200498329082659</v>
          </cell>
          <cell r="E467">
            <v>28.488279580713559</v>
          </cell>
          <cell r="F467">
            <v>27.398059068473025</v>
          </cell>
          <cell r="G467">
            <v>27.216403092614016</v>
          </cell>
          <cell r="H467">
            <v>20.969658370161532</v>
          </cell>
          <cell r="I467">
            <v>10.308407198230885</v>
          </cell>
        </row>
        <row r="468">
          <cell r="A468" t="str">
            <v>D-SNGA</v>
          </cell>
          <cell r="B468" t="str">
            <v>VAR_fin</v>
          </cell>
          <cell r="C468" t="str">
            <v>NGA</v>
          </cell>
          <cell r="D468">
            <v>26.974948933273833</v>
          </cell>
          <cell r="E468">
            <v>23.799363471683542</v>
          </cell>
          <cell r="F468">
            <v>27.027388399697355</v>
          </cell>
          <cell r="G468">
            <v>27.303342645882893</v>
          </cell>
          <cell r="H468">
            <v>21.036643152455184</v>
          </cell>
          <cell r="I468">
            <v>10.157865191659516</v>
          </cell>
        </row>
        <row r="469">
          <cell r="A469" t="str">
            <v>D-SNGA</v>
          </cell>
          <cell r="B469" t="str">
            <v>VAR_fin</v>
          </cell>
          <cell r="C469" t="str">
            <v>BNGA</v>
          </cell>
          <cell r="D469">
            <v>0.31244464057600857</v>
          </cell>
          <cell r="E469">
            <v>4.7799253250087865</v>
          </cell>
          <cell r="F469">
            <v>0.45762873700201279</v>
          </cell>
          <cell r="G469">
            <v>9.0092723482042539E-6</v>
          </cell>
          <cell r="H469">
            <v>1.3248224571163072E-5</v>
          </cell>
          <cell r="I469">
            <v>1.8201096387667491E-5</v>
          </cell>
        </row>
        <row r="470">
          <cell r="A470" t="str">
            <v>D-SNGA</v>
          </cell>
          <cell r="B470" t="str">
            <v>VAR_fin</v>
          </cell>
          <cell r="C470" t="str">
            <v>H2</v>
          </cell>
          <cell r="F470">
            <v>5.683079487198286E-4</v>
          </cell>
          <cell r="G470">
            <v>7.1739385663705959E-6</v>
          </cell>
          <cell r="H470">
            <v>9.9213490435530163E-6</v>
          </cell>
          <cell r="I470">
            <v>0.18347149364591495</v>
          </cell>
        </row>
        <row r="471">
          <cell r="A471" t="str">
            <v>D-SNGA</v>
          </cell>
          <cell r="B471" t="str">
            <v>VAR_cap</v>
          </cell>
          <cell r="C471" t="str">
            <v>-</v>
          </cell>
          <cell r="D471">
            <v>2.2350522016251402</v>
          </cell>
          <cell r="E471">
            <v>2.2350522016251402</v>
          </cell>
          <cell r="F471">
            <v>2.2350522016251402</v>
          </cell>
          <cell r="G471">
            <v>2.2350522016251402</v>
          </cell>
          <cell r="H471">
            <v>2.2350522016251402</v>
          </cell>
          <cell r="I471">
            <v>1.12089050248886</v>
          </cell>
        </row>
        <row r="472">
          <cell r="A472" t="str">
            <v>D-IPLT</v>
          </cell>
          <cell r="B472" t="str">
            <v>VAR_fout</v>
          </cell>
          <cell r="C472" t="str">
            <v>IPLT</v>
          </cell>
          <cell r="D472">
            <v>0.62578625640064789</v>
          </cell>
          <cell r="E472">
            <v>0.73757307582702647</v>
          </cell>
          <cell r="F472">
            <v>0.7363266963517191</v>
          </cell>
          <cell r="G472">
            <v>0.73425844350664682</v>
          </cell>
          <cell r="H472">
            <v>0.73015667817294327</v>
          </cell>
          <cell r="I472">
            <v>0.7261004531553894</v>
          </cell>
        </row>
        <row r="473">
          <cell r="A473" t="str">
            <v>D-IPLT</v>
          </cell>
          <cell r="B473" t="str">
            <v>VAR_fin</v>
          </cell>
          <cell r="C473" t="str">
            <v>PLT</v>
          </cell>
          <cell r="D473">
            <v>0.62578625640064789</v>
          </cell>
          <cell r="E473">
            <v>0.73757307582702647</v>
          </cell>
          <cell r="F473">
            <v>0.7363266963517191</v>
          </cell>
          <cell r="G473">
            <v>0.73425844350664682</v>
          </cell>
          <cell r="H473">
            <v>0.73015667817294327</v>
          </cell>
          <cell r="I473">
            <v>0.7261004531553894</v>
          </cell>
        </row>
        <row r="474">
          <cell r="A474" t="str">
            <v>ITOT-SWHWODBR</v>
          </cell>
          <cell r="B474" t="str">
            <v>VAR_fout</v>
          </cell>
          <cell r="C474" t="str">
            <v>ITOT-SWH</v>
          </cell>
          <cell r="D474">
            <v>5.3111174105647763</v>
          </cell>
          <cell r="E474">
            <v>6.2669381470790286</v>
          </cell>
          <cell r="F474">
            <v>6.1574136799920796</v>
          </cell>
          <cell r="G474">
            <v>7.082100659843702</v>
          </cell>
          <cell r="H474">
            <v>5.5133427676385969</v>
          </cell>
          <cell r="I474">
            <v>5.4135425737874119</v>
          </cell>
        </row>
        <row r="475">
          <cell r="A475" t="str">
            <v>ITOT-SWHWODBR</v>
          </cell>
          <cell r="B475" t="str">
            <v>VAR_fin</v>
          </cell>
          <cell r="C475" t="str">
            <v>IWOD</v>
          </cell>
          <cell r="D475">
            <v>9.0018939162115004</v>
          </cell>
          <cell r="E475">
            <v>10.609940429592042</v>
          </cell>
          <cell r="F475">
            <v>10.406896360549995</v>
          </cell>
          <cell r="G475">
            <v>11.936124707601756</v>
          </cell>
          <cell r="H475">
            <v>9.2402392753719518</v>
          </cell>
          <cell r="I475">
            <v>9.0225709563123608</v>
          </cell>
        </row>
        <row r="476">
          <cell r="A476" t="str">
            <v>ITOT-SWHWODBR</v>
          </cell>
          <cell r="B476" t="str">
            <v>VAR_fin</v>
          </cell>
          <cell r="C476" t="str">
            <v>ITOTWODBRC</v>
          </cell>
          <cell r="D476">
            <v>5.3111174105647763</v>
          </cell>
          <cell r="E476">
            <v>6.2669381470790286</v>
          </cell>
          <cell r="F476">
            <v>6.1574136799920796</v>
          </cell>
          <cell r="G476">
            <v>7.082100659843702</v>
          </cell>
          <cell r="H476">
            <v>5.5133427676385969</v>
          </cell>
          <cell r="I476">
            <v>5.4135425737874119</v>
          </cell>
        </row>
        <row r="477">
          <cell r="A477" t="str">
            <v>ITOT-SWHWODBR</v>
          </cell>
          <cell r="B477" t="str">
            <v>VAR_ncap</v>
          </cell>
          <cell r="C477" t="str">
            <v>-</v>
          </cell>
          <cell r="E477">
            <v>5.1999252059336899E-2</v>
          </cell>
          <cell r="F477">
            <v>1.6561098349922201E-4</v>
          </cell>
          <cell r="G477">
            <v>4.6019636017856698E-2</v>
          </cell>
          <cell r="H477">
            <v>2.6319353029683999E-2</v>
          </cell>
          <cell r="I477">
            <v>0.184693605931703</v>
          </cell>
        </row>
        <row r="478">
          <cell r="A478" t="str">
            <v>ITOT-SWHWODBR</v>
          </cell>
          <cell r="B478" t="str">
            <v>VAR_cap</v>
          </cell>
          <cell r="C478" t="str">
            <v>-</v>
          </cell>
          <cell r="D478">
            <v>0.28883369534761499</v>
          </cell>
          <cell r="E478">
            <v>0.34083291727488585</v>
          </cell>
          <cell r="F478">
            <v>0.34099845452534017</v>
          </cell>
          <cell r="G478">
            <v>0.38701798003566462</v>
          </cell>
          <cell r="H478">
            <v>0.3838485976046031</v>
          </cell>
          <cell r="I478">
            <v>0.34172009174594142</v>
          </cell>
        </row>
        <row r="479">
          <cell r="A479" t="str">
            <v>D-ITOT_KEV_WOD_ELC_CHP</v>
          </cell>
          <cell r="B479" t="str">
            <v>VAR_fout</v>
          </cell>
          <cell r="C479" t="str">
            <v>ITOT_ELC</v>
          </cell>
          <cell r="D479">
            <v>8.1481521627550647E-6</v>
          </cell>
          <cell r="E479">
            <v>2.9299425529744774E-6</v>
          </cell>
          <cell r="F479">
            <v>5.0082452023331152E-6</v>
          </cell>
          <cell r="G479">
            <v>2.790043031659873E-5</v>
          </cell>
          <cell r="H479">
            <v>4.0096103188235075</v>
          </cell>
          <cell r="I479">
            <v>4.5511911454288585</v>
          </cell>
        </row>
        <row r="480">
          <cell r="A480" t="str">
            <v>D-ITOT_KEV_WOD_ELC_CHP</v>
          </cell>
          <cell r="B480" t="str">
            <v>VAR_fout</v>
          </cell>
          <cell r="C480" t="str">
            <v>ELC5</v>
          </cell>
          <cell r="D480">
            <v>0.17244442961694983</v>
          </cell>
          <cell r="E480">
            <v>0.58446322165244591</v>
          </cell>
          <cell r="F480">
            <v>1.1367789760967042</v>
          </cell>
          <cell r="G480">
            <v>1.8381666876041058</v>
          </cell>
          <cell r="H480">
            <v>0.40676198802097674</v>
          </cell>
          <cell r="I480">
            <v>0.59949662235616963</v>
          </cell>
        </row>
        <row r="481">
          <cell r="A481" t="str">
            <v>D-ITOT_KEV_WOD_ELC_CHP</v>
          </cell>
          <cell r="B481" t="str">
            <v>VAR_fin</v>
          </cell>
          <cell r="C481" t="str">
            <v>ITOT_KEV_WOD_ELC_CHP</v>
          </cell>
          <cell r="D481">
            <v>0.17245257776911257</v>
          </cell>
          <cell r="E481">
            <v>0.58446615159499904</v>
          </cell>
          <cell r="F481">
            <v>1.1367839519060579</v>
          </cell>
          <cell r="G481">
            <v>1.8381945256006382</v>
          </cell>
          <cell r="H481">
            <v>4.4163723068444769</v>
          </cell>
          <cell r="I481">
            <v>5.1506877677850271</v>
          </cell>
        </row>
        <row r="482">
          <cell r="A482" t="str">
            <v>RHEM-SHSTG-SOL</v>
          </cell>
          <cell r="B482" t="str">
            <v>VAR_fout</v>
          </cell>
          <cell r="C482" t="str">
            <v>RHEM-SHASOL</v>
          </cell>
          <cell r="D482">
            <v>2.0712539356251301E-8</v>
          </cell>
          <cell r="E482">
            <v>1.4570974473283109E-7</v>
          </cell>
          <cell r="F482">
            <v>6.92716965207123E-2</v>
          </cell>
          <cell r="G482">
            <v>3.3306471534000522E-2</v>
          </cell>
          <cell r="H482">
            <v>0.28789348989467956</v>
          </cell>
          <cell r="I482">
            <v>0.37474522054280457</v>
          </cell>
        </row>
        <row r="483">
          <cell r="A483" t="str">
            <v>RHEM-SHSTG-SOL</v>
          </cell>
          <cell r="B483" t="str">
            <v>VAR_fin</v>
          </cell>
          <cell r="C483" t="str">
            <v>RHEM-SHASOL</v>
          </cell>
          <cell r="D483">
            <v>9.4940920233181305E-8</v>
          </cell>
          <cell r="E483">
            <v>9.4701591292640892E-8</v>
          </cell>
          <cell r="F483">
            <v>6.9276041993996909E-2</v>
          </cell>
          <cell r="G483">
            <v>3.3308112649798716E-2</v>
          </cell>
          <cell r="H483">
            <v>0.28793454963064119</v>
          </cell>
          <cell r="I483">
            <v>0.37479044286430774</v>
          </cell>
        </row>
        <row r="484">
          <cell r="A484" t="str">
            <v>RHEM-SHSTG-SOL</v>
          </cell>
          <cell r="B484" t="str">
            <v>VAR_ncap</v>
          </cell>
          <cell r="C484" t="str">
            <v>-</v>
          </cell>
          <cell r="D484">
            <v>1.4396547795002401E-4</v>
          </cell>
          <cell r="E484">
            <v>1.5946461199590499E-2</v>
          </cell>
          <cell r="H484">
            <v>4.4793492399810099E-2</v>
          </cell>
          <cell r="I484">
            <v>3.0847270070123101E-2</v>
          </cell>
        </row>
        <row r="485">
          <cell r="A485" t="str">
            <v>RHEM-SHSTG-SOL</v>
          </cell>
          <cell r="B485" t="str">
            <v>VAR_cap</v>
          </cell>
          <cell r="C485" t="str">
            <v>-</v>
          </cell>
          <cell r="D485">
            <v>1.4396547795002401E-4</v>
          </cell>
          <cell r="E485">
            <v>1.6090426677540501E-2</v>
          </cell>
          <cell r="F485">
            <v>1.6090426677540501E-2</v>
          </cell>
          <cell r="G485">
            <v>1.6090426677540501E-2</v>
          </cell>
          <cell r="H485">
            <v>5.7542528104197903E-2</v>
          </cell>
          <cell r="I485">
            <v>6.87481830688801E-2</v>
          </cell>
        </row>
        <row r="486">
          <cell r="A486" t="str">
            <v>ITOT-SWHCONBR10</v>
          </cell>
          <cell r="B486" t="str">
            <v>VAR_fout</v>
          </cell>
          <cell r="C486" t="str">
            <v>ITOT-SWHC</v>
          </cell>
          <cell r="E486">
            <v>2.1944687782409749E-6</v>
          </cell>
          <cell r="F486">
            <v>2.050009483177459E-6</v>
          </cell>
          <cell r="G486">
            <v>2.0473569973928643E-6</v>
          </cell>
          <cell r="H486">
            <v>1.8792832386637584E-6</v>
          </cell>
          <cell r="I486">
            <v>1.327740025298E-6</v>
          </cell>
        </row>
        <row r="487">
          <cell r="A487" t="str">
            <v>ITOT-SWHCONBR10</v>
          </cell>
          <cell r="B487" t="str">
            <v>VAR_fin</v>
          </cell>
          <cell r="C487" t="str">
            <v>CON</v>
          </cell>
          <cell r="E487">
            <v>2.5508233819958166E-6</v>
          </cell>
          <cell r="F487">
            <v>2.3829056830755236E-6</v>
          </cell>
          <cell r="G487">
            <v>2.3798224663868917E-6</v>
          </cell>
          <cell r="H487">
            <v>2.1844556068001345E-6</v>
          </cell>
          <cell r="I487">
            <v>1.5996785995989238E-6</v>
          </cell>
        </row>
        <row r="488">
          <cell r="A488" t="str">
            <v>ITOT-SWHCONBR10</v>
          </cell>
          <cell r="B488" t="str">
            <v>VAR_ncap</v>
          </cell>
          <cell r="C488" t="str">
            <v>-</v>
          </cell>
          <cell r="E488">
            <v>1.6617651808191501E-7</v>
          </cell>
          <cell r="H488">
            <v>3.6692590996009901E-8</v>
          </cell>
          <cell r="I488">
            <v>3.5260956192166497E-8</v>
          </cell>
        </row>
        <row r="489">
          <cell r="A489" t="str">
            <v>ITOT-SWHCONBR10</v>
          </cell>
          <cell r="B489" t="str">
            <v>VAR_cap</v>
          </cell>
          <cell r="C489" t="str">
            <v>-</v>
          </cell>
          <cell r="E489">
            <v>1.6617651808191501E-7</v>
          </cell>
          <cell r="F489">
            <v>1.6617651808191501E-7</v>
          </cell>
          <cell r="G489">
            <v>1.6617651808191501E-7</v>
          </cell>
          <cell r="H489">
            <v>1.5078615354610399E-7</v>
          </cell>
          <cell r="I489">
            <v>1.10150966267234E-7</v>
          </cell>
        </row>
        <row r="490">
          <cell r="A490" t="str">
            <v>SCOM-SHSTG</v>
          </cell>
          <cell r="B490" t="str">
            <v>VAR_fout</v>
          </cell>
          <cell r="C490" t="str">
            <v>AUX_SCOM-SHSTG_OUT</v>
          </cell>
          <cell r="F490">
            <v>1.7172271368071223E-4</v>
          </cell>
          <cell r="G490">
            <v>3.32212998106451E-5</v>
          </cell>
          <cell r="H490">
            <v>0.90391067047219364</v>
          </cell>
          <cell r="I490">
            <v>1.2719476730159145</v>
          </cell>
        </row>
        <row r="491">
          <cell r="A491" t="str">
            <v>SCOM-SHSTG</v>
          </cell>
          <cell r="B491" t="str">
            <v>VAR_fout</v>
          </cell>
          <cell r="C491" t="str">
            <v>SCOM-SHD</v>
          </cell>
          <cell r="F491">
            <v>1.719420274912878E-4</v>
          </cell>
          <cell r="G491">
            <v>3.3221299810645053E-5</v>
          </cell>
          <cell r="H491">
            <v>0.9039106704721922</v>
          </cell>
          <cell r="I491">
            <v>1.2719476730159145</v>
          </cell>
        </row>
        <row r="492">
          <cell r="A492" t="str">
            <v>SCOM-SHSTG</v>
          </cell>
          <cell r="B492" t="str">
            <v>VAR_fin</v>
          </cell>
          <cell r="C492" t="str">
            <v>AUX_SCOM-SHSTG_IN</v>
          </cell>
          <cell r="F492">
            <v>2.0471169728835011E-4</v>
          </cell>
          <cell r="G492">
            <v>3.8202427200058549E-5</v>
          </cell>
          <cell r="H492">
            <v>0.97221036949039408</v>
          </cell>
          <cell r="I492">
            <v>1.2851741489638031</v>
          </cell>
        </row>
        <row r="493">
          <cell r="A493" t="str">
            <v>SCOM-SHSTG</v>
          </cell>
          <cell r="B493" t="str">
            <v>VAR_fin</v>
          </cell>
          <cell r="C493" t="str">
            <v>SCOM-SHD</v>
          </cell>
          <cell r="F493">
            <v>2.0471169728835011E-4</v>
          </cell>
          <cell r="G493">
            <v>3.8202427200058549E-5</v>
          </cell>
          <cell r="H493">
            <v>0.97221036949039408</v>
          </cell>
          <cell r="I493">
            <v>1.2851741489638031</v>
          </cell>
        </row>
        <row r="494">
          <cell r="A494" t="str">
            <v>SCOM-SHSTG</v>
          </cell>
          <cell r="B494" t="str">
            <v>VAR_ncap</v>
          </cell>
          <cell r="C494" t="str">
            <v>-</v>
          </cell>
          <cell r="D494">
            <v>1.2408485643800501E-5</v>
          </cell>
          <cell r="E494">
            <v>5.6108735473107799E-8</v>
          </cell>
          <cell r="F494">
            <v>7.1171473439074501E-8</v>
          </cell>
          <cell r="G494">
            <v>3.58221207997419E-8</v>
          </cell>
          <cell r="H494">
            <v>7.8089147699506194E-8</v>
          </cell>
          <cell r="I494">
            <v>5.7250201865545296E-4</v>
          </cell>
        </row>
        <row r="495">
          <cell r="A495" t="str">
            <v>SCOM-SHSTG</v>
          </cell>
          <cell r="B495" t="str">
            <v>VAR_cap</v>
          </cell>
          <cell r="C495" t="str">
            <v>-</v>
          </cell>
          <cell r="D495">
            <v>1.2408485643800501E-5</v>
          </cell>
          <cell r="E495">
            <v>1.2441482593767611E-5</v>
          </cell>
          <cell r="F495">
            <v>1.2496864294820511E-5</v>
          </cell>
          <cell r="G495">
            <v>1.250314650154142E-5</v>
          </cell>
          <cell r="H495">
            <v>0.28076143557600763</v>
          </cell>
          <cell r="I495">
            <v>0.22429673077134912</v>
          </cell>
        </row>
        <row r="496">
          <cell r="A496" t="str">
            <v>D-ITOT_KEV_HFC_ELC_CHP</v>
          </cell>
          <cell r="B496" t="str">
            <v>VAR_fout</v>
          </cell>
          <cell r="C496" t="str">
            <v>ITOT_ELC</v>
          </cell>
          <cell r="G496">
            <v>8.5731319391875045E-5</v>
          </cell>
          <cell r="H496">
            <v>3.911004880386225E-4</v>
          </cell>
          <cell r="I496">
            <v>0.37657068409718625</v>
          </cell>
        </row>
        <row r="497">
          <cell r="A497" t="str">
            <v>D-ITOT_KEV_HFC_ELC_CHP</v>
          </cell>
          <cell r="B497" t="str">
            <v>VAR_fout</v>
          </cell>
          <cell r="C497" t="str">
            <v>ELC5</v>
          </cell>
          <cell r="G497">
            <v>1.6343337173434635E-5</v>
          </cell>
          <cell r="H497">
            <v>9.2430063982566364E-5</v>
          </cell>
          <cell r="I497">
            <v>9.1861625241189501E-2</v>
          </cell>
        </row>
        <row r="498">
          <cell r="A498" t="str">
            <v>D-ITOT_KEV_HFC_ELC_CHP</v>
          </cell>
          <cell r="B498" t="str">
            <v>VAR_fin</v>
          </cell>
          <cell r="C498" t="str">
            <v>ITOT_KEV_HFC_ELC_CHP</v>
          </cell>
          <cell r="G498">
            <v>1.0181042810408226E-4</v>
          </cell>
          <cell r="H498">
            <v>4.8333280924813882E-4</v>
          </cell>
          <cell r="I498">
            <v>0.46843226986173725</v>
          </cell>
        </row>
        <row r="499">
          <cell r="A499" t="str">
            <v>D-RNGA</v>
          </cell>
          <cell r="B499" t="str">
            <v>VAR_fout</v>
          </cell>
          <cell r="C499" t="str">
            <v>CO2</v>
          </cell>
          <cell r="D499">
            <v>2649.5252187165202</v>
          </cell>
          <cell r="E499">
            <v>2509.0375914337801</v>
          </cell>
          <cell r="F499">
            <v>2747.5698100169102</v>
          </cell>
          <cell r="G499">
            <v>2790.27788468773</v>
          </cell>
          <cell r="H499">
            <v>2269.1310972072301</v>
          </cell>
          <cell r="I499">
            <v>1498.8902813807799</v>
          </cell>
        </row>
        <row r="500">
          <cell r="A500" t="str">
            <v>D-RNGA</v>
          </cell>
          <cell r="B500" t="str">
            <v>VAR_fout</v>
          </cell>
          <cell r="C500" t="str">
            <v>RNGA</v>
          </cell>
          <cell r="D500">
            <v>47.145029042887558</v>
          </cell>
          <cell r="E500">
            <v>44.528147325196372</v>
          </cell>
          <cell r="F500">
            <v>48.74517573148534</v>
          </cell>
          <cell r="G500">
            <v>49.498805142128909</v>
          </cell>
          <cell r="H500">
            <v>40.288041763988545</v>
          </cell>
          <cell r="I500">
            <v>27.149731034551227</v>
          </cell>
        </row>
        <row r="501">
          <cell r="A501" t="str">
            <v>D-RNGA</v>
          </cell>
          <cell r="B501" t="str">
            <v>VAR_fin</v>
          </cell>
          <cell r="C501" t="str">
            <v>NGA</v>
          </cell>
          <cell r="D501">
            <v>46.977397494973694</v>
          </cell>
          <cell r="E501">
            <v>44.486482117620206</v>
          </cell>
          <cell r="F501">
            <v>48.71577677334939</v>
          </cell>
          <cell r="G501">
            <v>49.473012139853338</v>
          </cell>
          <cell r="H501">
            <v>40.23282087246865</v>
          </cell>
          <cell r="I501">
            <v>26.576068818808213</v>
          </cell>
        </row>
        <row r="502">
          <cell r="A502" t="str">
            <v>D-RNGA</v>
          </cell>
          <cell r="B502" t="str">
            <v>VAR_fin</v>
          </cell>
          <cell r="C502" t="str">
            <v>BNGA</v>
          </cell>
          <cell r="D502">
            <v>0.31824198117403046</v>
          </cell>
          <cell r="E502">
            <v>0.18391569924136708</v>
          </cell>
          <cell r="F502">
            <v>0.18391561376397325</v>
          </cell>
          <cell r="G502">
            <v>0.18391562640288062</v>
          </cell>
          <cell r="H502">
            <v>0.18391568250544443</v>
          </cell>
          <cell r="I502">
            <v>0.18391568337492423</v>
          </cell>
        </row>
        <row r="503">
          <cell r="A503" t="str">
            <v>D-RNGA</v>
          </cell>
          <cell r="B503" t="str">
            <v>VAR_fin</v>
          </cell>
          <cell r="C503" t="str">
            <v>H2</v>
          </cell>
          <cell r="F503">
            <v>1.205637587259096E-3</v>
          </cell>
          <cell r="G503">
            <v>7.2239550825521131E-6</v>
          </cell>
          <cell r="H503">
            <v>1.0176398375273864E-5</v>
          </cell>
          <cell r="I503">
            <v>0.47647959494171471</v>
          </cell>
        </row>
        <row r="504">
          <cell r="A504" t="str">
            <v>D-RNGA</v>
          </cell>
          <cell r="B504" t="str">
            <v>VAR_ncap</v>
          </cell>
          <cell r="C504" t="str">
            <v>-</v>
          </cell>
          <cell r="I504">
            <v>0.12370478810383299</v>
          </cell>
        </row>
        <row r="505">
          <cell r="A505" t="str">
            <v>D-RNGA</v>
          </cell>
          <cell r="B505" t="str">
            <v>VAR_cap</v>
          </cell>
          <cell r="C505" t="str">
            <v>-</v>
          </cell>
          <cell r="D505">
            <v>3.0972400073959201</v>
          </cell>
          <cell r="E505">
            <v>3.0972400073959201</v>
          </cell>
          <cell r="F505">
            <v>3.0972400073959201</v>
          </cell>
          <cell r="G505">
            <v>3.0972400073959201</v>
          </cell>
          <cell r="H505">
            <v>3.0972400073959201</v>
          </cell>
          <cell r="I505">
            <v>1.676987036140053</v>
          </cell>
        </row>
        <row r="506">
          <cell r="A506" t="str">
            <v>RHNS-SHLTHCHPNGA</v>
          </cell>
          <cell r="B506" t="str">
            <v>VAR_fout</v>
          </cell>
          <cell r="C506" t="str">
            <v>RHNS-SHLTHC-NGA</v>
          </cell>
          <cell r="E506">
            <v>8.5877854489040551E-4</v>
          </cell>
          <cell r="F506">
            <v>8.6018614328206469E-4</v>
          </cell>
          <cell r="G506">
            <v>8.4060124418793459E-4</v>
          </cell>
          <cell r="H506">
            <v>4.4336975313518051E-4</v>
          </cell>
          <cell r="I506">
            <v>2.5011364246790971E-5</v>
          </cell>
        </row>
        <row r="507">
          <cell r="A507" t="str">
            <v>RHNS-SHLTHCHPNGA</v>
          </cell>
          <cell r="B507" t="str">
            <v>VAR_fin</v>
          </cell>
          <cell r="C507" t="str">
            <v>RHNSLTHCHPC</v>
          </cell>
          <cell r="E507">
            <v>8.5877854489040551E-4</v>
          </cell>
          <cell r="F507">
            <v>8.6018614328206469E-4</v>
          </cell>
          <cell r="G507">
            <v>8.4060124418793459E-4</v>
          </cell>
          <cell r="H507">
            <v>4.4336975313518051E-4</v>
          </cell>
          <cell r="I507">
            <v>2.5011364246790971E-5</v>
          </cell>
        </row>
        <row r="508">
          <cell r="A508" t="str">
            <v>RHNS-SHLTHCHPNGA</v>
          </cell>
          <cell r="B508" t="str">
            <v>VAR_fin</v>
          </cell>
          <cell r="C508" t="str">
            <v>RHNS_LTH_CHPNGA_ON</v>
          </cell>
          <cell r="E508">
            <v>8.6745307564687398E-4</v>
          </cell>
          <cell r="F508">
            <v>8.6887489220410601E-4</v>
          </cell>
          <cell r="G508">
            <v>8.4909216584639778E-4</v>
          </cell>
          <cell r="H508">
            <v>4.4784823549008168E-4</v>
          </cell>
          <cell r="I508">
            <v>2.5264004289687885E-5</v>
          </cell>
        </row>
        <row r="509">
          <cell r="A509" t="str">
            <v>RHNS-SHLTHCHPNGA</v>
          </cell>
          <cell r="B509" t="str">
            <v>VAR_ncap</v>
          </cell>
          <cell r="C509" t="str">
            <v>-</v>
          </cell>
          <cell r="E509">
            <v>7.7489246049461204E-5</v>
          </cell>
          <cell r="F509">
            <v>6.1539869994716698E-5</v>
          </cell>
          <cell r="G509">
            <v>4.7674251713567102E-5</v>
          </cell>
          <cell r="H509">
            <v>2.5737252215705099E-5</v>
          </cell>
          <cell r="I509">
            <v>1.05296125536798E-6</v>
          </cell>
        </row>
        <row r="510">
          <cell r="A510" t="str">
            <v>RHNS-SHLTHCHPNGA</v>
          </cell>
          <cell r="B510" t="str">
            <v>VAR_cap</v>
          </cell>
          <cell r="C510" t="str">
            <v>-</v>
          </cell>
          <cell r="E510">
            <v>7.7489246049461204E-5</v>
          </cell>
          <cell r="F510">
            <v>7.9196658999670905E-5</v>
          </cell>
          <cell r="G510">
            <v>7.7400900747467998E-5</v>
          </cell>
          <cell r="H510">
            <v>4.1168025676077403E-5</v>
          </cell>
          <cell r="I510">
            <v>2.518752795644999E-6</v>
          </cell>
        </row>
        <row r="511">
          <cell r="A511" t="str">
            <v>D-SCOM_LTH_CHPWOD</v>
          </cell>
          <cell r="B511" t="str">
            <v>VAR_fout</v>
          </cell>
          <cell r="C511" t="str">
            <v>SCOM_LTH_CHPWOD_ON</v>
          </cell>
          <cell r="G511">
            <v>5.4695163174988458E-5</v>
          </cell>
          <cell r="H511">
            <v>1.2455644929324939E-4</v>
          </cell>
          <cell r="I511">
            <v>5.9741149990623514E-5</v>
          </cell>
        </row>
        <row r="512">
          <cell r="A512" t="str">
            <v>D-SCOM_LTH_CHPWOD</v>
          </cell>
          <cell r="B512" t="str">
            <v>VAR_fin</v>
          </cell>
          <cell r="C512" t="str">
            <v>SCOM_LTH_CHPWOD</v>
          </cell>
          <cell r="G512">
            <v>5.4739197432538192E-5</v>
          </cell>
          <cell r="H512">
            <v>1.24778176948851E-4</v>
          </cell>
          <cell r="I512">
            <v>5.9877366158413834E-5</v>
          </cell>
        </row>
        <row r="513">
          <cell r="A513" t="str">
            <v>D-SCOM_KEV_BIO_ELC_CHP</v>
          </cell>
          <cell r="B513" t="str">
            <v>VAR_fout</v>
          </cell>
          <cell r="C513" t="str">
            <v>ELC5</v>
          </cell>
          <cell r="D513">
            <v>0.95935996081773711</v>
          </cell>
          <cell r="E513">
            <v>1.1059320638436227</v>
          </cell>
          <cell r="F513">
            <v>1.1733388171703039</v>
          </cell>
          <cell r="G513">
            <v>1.1733348136656321</v>
          </cell>
          <cell r="H513">
            <v>0.75450277699718915</v>
          </cell>
          <cell r="I513">
            <v>1.0725818020909297</v>
          </cell>
        </row>
        <row r="514">
          <cell r="A514" t="str">
            <v>D-SCOM_KEV_BIO_ELC_CHP</v>
          </cell>
          <cell r="B514" t="str">
            <v>VAR_fout</v>
          </cell>
          <cell r="C514" t="str">
            <v>SCOM_ELC</v>
          </cell>
          <cell r="D514">
            <v>4.096628086435471E-6</v>
          </cell>
          <cell r="G514">
            <v>6.6269787076281691E-6</v>
          </cell>
          <cell r="H514">
            <v>0.75561219495955356</v>
          </cell>
          <cell r="I514">
            <v>1.0691724630163577</v>
          </cell>
        </row>
        <row r="515">
          <cell r="A515" t="str">
            <v>D-SCOM_KEV_BIO_ELC_CHP</v>
          </cell>
          <cell r="B515" t="str">
            <v>VAR_fin</v>
          </cell>
          <cell r="C515" t="str">
            <v>SCOM_KEV_BIO_ELC_CHP</v>
          </cell>
          <cell r="D515">
            <v>0.95936405744582232</v>
          </cell>
          <cell r="E515">
            <v>1.1059335749311869</v>
          </cell>
          <cell r="F515">
            <v>1.1733412946902979</v>
          </cell>
          <cell r="G515">
            <v>1.1733413942848772</v>
          </cell>
          <cell r="H515">
            <v>1.5101147532576003</v>
          </cell>
          <cell r="I515">
            <v>2.1417540155143486</v>
          </cell>
        </row>
        <row r="516">
          <cell r="A516" t="str">
            <v>RHES-SHLTHCHPWOD</v>
          </cell>
          <cell r="B516" t="str">
            <v>VAR_fout</v>
          </cell>
          <cell r="C516" t="str">
            <v>RHES-SHLTHC-WOD</v>
          </cell>
          <cell r="G516">
            <v>2.292765679688467E-5</v>
          </cell>
          <cell r="H516">
            <v>6.7149613117989488E-5</v>
          </cell>
          <cell r="I516">
            <v>7.6144887511888479E-5</v>
          </cell>
        </row>
        <row r="517">
          <cell r="A517" t="str">
            <v>RHES-SHLTHCHPWOD</v>
          </cell>
          <cell r="B517" t="str">
            <v>VAR_fin</v>
          </cell>
          <cell r="C517" t="str">
            <v>RHESLTHCHPC</v>
          </cell>
          <cell r="G517">
            <v>2.292765679688467E-5</v>
          </cell>
          <cell r="H517">
            <v>6.7149613117989488E-5</v>
          </cell>
          <cell r="I517">
            <v>7.6144887511888479E-5</v>
          </cell>
        </row>
        <row r="518">
          <cell r="A518" t="str">
            <v>RHES-SHLTHCHPWOD</v>
          </cell>
          <cell r="B518" t="str">
            <v>VAR_fin</v>
          </cell>
          <cell r="C518" t="str">
            <v>RHES_LTH_CHPWOD_ON</v>
          </cell>
          <cell r="G518">
            <v>2.3159249289782512E-5</v>
          </cell>
          <cell r="H518">
            <v>6.7827892038373248E-5</v>
          </cell>
          <cell r="I518">
            <v>7.6914027789786303E-5</v>
          </cell>
        </row>
        <row r="519">
          <cell r="A519" t="str">
            <v>RHES-SHLTHCHPWOD</v>
          </cell>
          <cell r="B519" t="str">
            <v>VAR_ncap</v>
          </cell>
          <cell r="C519" t="str">
            <v>-</v>
          </cell>
          <cell r="G519">
            <v>2.6114371438912898E-6</v>
          </cell>
          <cell r="H519">
            <v>5.4388177054398901E-6</v>
          </cell>
          <cell r="I519">
            <v>5.2427542564949604E-6</v>
          </cell>
        </row>
        <row r="520">
          <cell r="A520" t="str">
            <v>RHES-SHLTHCHPWOD</v>
          </cell>
          <cell r="B520" t="str">
            <v>VAR_cap</v>
          </cell>
          <cell r="C520" t="str">
            <v>-</v>
          </cell>
          <cell r="G520">
            <v>2.6114371438912898E-6</v>
          </cell>
          <cell r="H520">
            <v>6.7863258529176593E-6</v>
          </cell>
          <cell r="I520">
            <v>7.0549279858146401E-6</v>
          </cell>
        </row>
        <row r="521">
          <cell r="A521" t="str">
            <v>RHES-SHSTG-NGAHP</v>
          </cell>
          <cell r="B521" t="str">
            <v>VAR_fout</v>
          </cell>
          <cell r="C521" t="str">
            <v>RHES-SHANGAH</v>
          </cell>
          <cell r="F521">
            <v>2.6508066514593453E-7</v>
          </cell>
          <cell r="G521">
            <v>5.4960852853204449E-7</v>
          </cell>
          <cell r="H521">
            <v>6.1734102358760718E-6</v>
          </cell>
          <cell r="I521">
            <v>3.6956021322568381E-6</v>
          </cell>
        </row>
        <row r="522">
          <cell r="A522" t="str">
            <v>RHES-SHSTG-NGAHP</v>
          </cell>
          <cell r="B522" t="str">
            <v>VAR_fin</v>
          </cell>
          <cell r="C522" t="str">
            <v>RHES-SHANGAH</v>
          </cell>
          <cell r="F522">
            <v>3.1656749314560639E-7</v>
          </cell>
          <cell r="G522">
            <v>5.7343725224137275E-7</v>
          </cell>
          <cell r="H522">
            <v>6.1380180939356917E-6</v>
          </cell>
          <cell r="I522">
            <v>3.6635634095211604E-6</v>
          </cell>
        </row>
        <row r="523">
          <cell r="A523" t="str">
            <v>RHES-SHSTG-NGAHP</v>
          </cell>
          <cell r="B523" t="str">
            <v>VAR_ncap</v>
          </cell>
          <cell r="C523" t="str">
            <v>-</v>
          </cell>
          <cell r="D523">
            <v>9.3428272203083602E-8</v>
          </cell>
          <cell r="E523">
            <v>1.4039104117765999E-7</v>
          </cell>
          <cell r="F523">
            <v>3.4194466269504202E-7</v>
          </cell>
          <cell r="G523">
            <v>3.3104246736989599E-7</v>
          </cell>
          <cell r="H523">
            <v>4.1479889734465798E-7</v>
          </cell>
          <cell r="I523">
            <v>3.5871452968519802E-7</v>
          </cell>
        </row>
        <row r="524">
          <cell r="A524" t="str">
            <v>RHES-SHSTG-NGAHP</v>
          </cell>
          <cell r="B524" t="str">
            <v>VAR_cap</v>
          </cell>
          <cell r="C524" t="str">
            <v>-</v>
          </cell>
          <cell r="D524">
            <v>9.3428272203083602E-8</v>
          </cell>
          <cell r="E524">
            <v>1.2222729797054998E-8</v>
          </cell>
          <cell r="F524">
            <v>2.4461432928062E-7</v>
          </cell>
          <cell r="G524">
            <v>2.41812866248912E-7</v>
          </cell>
          <cell r="H524">
            <v>2.0836307195177408E-6</v>
          </cell>
          <cell r="I524">
            <v>8.6523603207067097E-7</v>
          </cell>
        </row>
        <row r="525">
          <cell r="A525" t="str">
            <v>D-RHNS_SOLELC</v>
          </cell>
          <cell r="B525" t="str">
            <v>VAR_fout</v>
          </cell>
          <cell r="C525" t="str">
            <v>RHNS_ELC</v>
          </cell>
          <cell r="E525">
            <v>1.2778948583959757E-5</v>
          </cell>
          <cell r="F525">
            <v>1.3292107887889959E-5</v>
          </cell>
          <cell r="G525">
            <v>1.6148351302247975E-5</v>
          </cell>
          <cell r="H525">
            <v>2.1703135333072516E-5</v>
          </cell>
          <cell r="I525">
            <v>2.9184334521445813E-5</v>
          </cell>
        </row>
        <row r="526">
          <cell r="A526" t="str">
            <v>D-RHNS_SOLELC</v>
          </cell>
          <cell r="B526" t="str">
            <v>VAR_fout</v>
          </cell>
          <cell r="C526" t="str">
            <v>ELC5</v>
          </cell>
          <cell r="E526">
            <v>1.2787011490095992E-5</v>
          </cell>
          <cell r="F526">
            <v>1.3301237141143487E-5</v>
          </cell>
          <cell r="G526">
            <v>1.6194238788463162E-5</v>
          </cell>
          <cell r="H526">
            <v>2.1751361145404671E-5</v>
          </cell>
          <cell r="I526">
            <v>2.9215855629630638E-5</v>
          </cell>
        </row>
        <row r="527">
          <cell r="A527" t="str">
            <v>D-RHNS_SOLELC</v>
          </cell>
          <cell r="B527" t="str">
            <v>VAR_fin</v>
          </cell>
          <cell r="C527" t="str">
            <v>RHNS_SOL_ELC</v>
          </cell>
          <cell r="E527">
            <v>2.5572491505843778E-5</v>
          </cell>
          <cell r="F527">
            <v>2.6497425301108896E-5</v>
          </cell>
          <cell r="G527">
            <v>3.2285766144923375E-5</v>
          </cell>
          <cell r="H527">
            <v>4.3495830048560914E-5</v>
          </cell>
          <cell r="I527">
            <v>5.8510889058478422E-5</v>
          </cell>
        </row>
        <row r="528">
          <cell r="A528" t="str">
            <v>D-IHFO</v>
          </cell>
          <cell r="B528" t="str">
            <v>VAR_fout</v>
          </cell>
          <cell r="C528" t="str">
            <v>CO2</v>
          </cell>
          <cell r="D528">
            <v>213.78038784942501</v>
          </cell>
          <cell r="E528">
            <v>5.4981378153623603E-5</v>
          </cell>
          <cell r="F528">
            <v>7.4981988765649796E-3</v>
          </cell>
          <cell r="G528">
            <v>9.4542562718280196E-4</v>
          </cell>
          <cell r="H528">
            <v>8.6100307444479402E-4</v>
          </cell>
        </row>
        <row r="529">
          <cell r="A529" t="str">
            <v>D-IHFO</v>
          </cell>
          <cell r="B529" t="str">
            <v>VAR_fout</v>
          </cell>
          <cell r="C529" t="str">
            <v>IHFO</v>
          </cell>
          <cell r="D529">
            <v>2.7300000809565779</v>
          </cell>
          <cell r="E529">
            <v>7.0211850731704276E-7</v>
          </cell>
          <cell r="F529">
            <v>9.5752859960516562E-5</v>
          </cell>
          <cell r="G529">
            <v>1.2073193732651453E-5</v>
          </cell>
          <cell r="H529">
            <v>1.0995108047954976E-5</v>
          </cell>
        </row>
        <row r="530">
          <cell r="A530" t="str">
            <v>D-IHFO</v>
          </cell>
          <cell r="B530" t="str">
            <v>VAR_fin</v>
          </cell>
          <cell r="C530" t="str">
            <v>HFO</v>
          </cell>
          <cell r="D530">
            <v>2.776368673369157</v>
          </cell>
          <cell r="E530">
            <v>7.1404387212498286E-7</v>
          </cell>
          <cell r="F530">
            <v>9.7379206189155624E-5</v>
          </cell>
          <cell r="G530">
            <v>1.2278254898477964E-5</v>
          </cell>
          <cell r="H530">
            <v>1.1181858109672637E-5</v>
          </cell>
        </row>
        <row r="531">
          <cell r="A531" t="str">
            <v>RHEM-SHCONBR</v>
          </cell>
          <cell r="B531" t="str">
            <v>VAR_fout</v>
          </cell>
          <cell r="C531" t="str">
            <v>RHEM-SHCON</v>
          </cell>
          <cell r="F531">
            <v>2.0173782583496239E-6</v>
          </cell>
          <cell r="G531">
            <v>2.2716286725004375E-6</v>
          </cell>
          <cell r="H531">
            <v>7.466462918028257E-6</v>
          </cell>
          <cell r="I531">
            <v>1.2181517697465243E-5</v>
          </cell>
        </row>
        <row r="532">
          <cell r="A532" t="str">
            <v>RHEM-SHCONBR</v>
          </cell>
          <cell r="B532" t="str">
            <v>VAR_fin</v>
          </cell>
          <cell r="C532" t="str">
            <v>CON</v>
          </cell>
          <cell r="F532">
            <v>2.0173782583496239E-6</v>
          </cell>
          <cell r="G532">
            <v>2.2716286725004375E-6</v>
          </cell>
          <cell r="H532">
            <v>7.466462918028257E-6</v>
          </cell>
          <cell r="I532">
            <v>1.2181517697465243E-5</v>
          </cell>
        </row>
        <row r="533">
          <cell r="A533" t="str">
            <v>RHEM-SHCONBR</v>
          </cell>
          <cell r="B533" t="str">
            <v>VAR_ncap</v>
          </cell>
          <cell r="C533" t="str">
            <v>-</v>
          </cell>
          <cell r="F533">
            <v>2.17665951161739E-7</v>
          </cell>
          <cell r="H533">
            <v>7.5703930686588904E-8</v>
          </cell>
          <cell r="I533">
            <v>3.2273217818648599E-7</v>
          </cell>
        </row>
        <row r="534">
          <cell r="A534" t="str">
            <v>RHEM-SHCONBR</v>
          </cell>
          <cell r="B534" t="str">
            <v>VAR_cap</v>
          </cell>
          <cell r="C534" t="str">
            <v>-</v>
          </cell>
          <cell r="F534">
            <v>2.17665951161739E-7</v>
          </cell>
          <cell r="G534">
            <v>2.17665951161739E-7</v>
          </cell>
          <cell r="H534">
            <v>5.6239697450010005E-7</v>
          </cell>
          <cell r="I534">
            <v>8.8512915268658604E-7</v>
          </cell>
        </row>
        <row r="535">
          <cell r="A535" t="str">
            <v>RHEM-SHSOLBR</v>
          </cell>
          <cell r="B535" t="str">
            <v>VAR_fout</v>
          </cell>
          <cell r="C535" t="str">
            <v>RHEM-SHASOL</v>
          </cell>
          <cell r="D535">
            <v>0.40801036478415398</v>
          </cell>
          <cell r="E535">
            <v>0.47087242680031699</v>
          </cell>
          <cell r="F535">
            <v>0.47087245403879618</v>
          </cell>
          <cell r="G535">
            <v>0.4708725310280335</v>
          </cell>
          <cell r="H535">
            <v>1.6839446968061103</v>
          </cell>
          <cell r="I535">
            <v>2.0118571721422422</v>
          </cell>
        </row>
        <row r="536">
          <cell r="A536" t="str">
            <v>RHEM-SHSOLBR</v>
          </cell>
          <cell r="B536" t="str">
            <v>VAR_fin</v>
          </cell>
          <cell r="C536" t="str">
            <v>SOL</v>
          </cell>
          <cell r="D536">
            <v>0.40801036478415398</v>
          </cell>
          <cell r="E536">
            <v>0.47087242680031699</v>
          </cell>
          <cell r="F536">
            <v>0.47087245403879618</v>
          </cell>
          <cell r="G536">
            <v>0.4708725310280335</v>
          </cell>
          <cell r="H536">
            <v>1.6839446968061103</v>
          </cell>
          <cell r="I536">
            <v>2.0118571721422422</v>
          </cell>
        </row>
        <row r="537">
          <cell r="A537" t="str">
            <v>RHEM-SHSOLBR</v>
          </cell>
          <cell r="B537" t="str">
            <v>VAR_ncap</v>
          </cell>
          <cell r="C537" t="str">
            <v>-</v>
          </cell>
          <cell r="E537">
            <v>9.1293919625088007E-3</v>
          </cell>
          <cell r="G537">
            <v>1.1181066917833399E-8</v>
          </cell>
          <cell r="H537">
            <v>0.17553119779877899</v>
          </cell>
          <cell r="I537">
            <v>0.135593282788077</v>
          </cell>
        </row>
        <row r="538">
          <cell r="A538" t="str">
            <v>RHEM-SHSOLBR</v>
          </cell>
          <cell r="B538" t="str">
            <v>VAR_cap</v>
          </cell>
          <cell r="C538" t="str">
            <v>-</v>
          </cell>
          <cell r="D538">
            <v>5.9254921417038302E-2</v>
          </cell>
          <cell r="E538">
            <v>6.8384313379547104E-2</v>
          </cell>
          <cell r="F538">
            <v>6.8384313379547104E-2</v>
          </cell>
          <cell r="G538">
            <v>6.8384324560614024E-2</v>
          </cell>
          <cell r="H538">
            <v>0.24455753824564799</v>
          </cell>
          <cell r="I538">
            <v>0.29217992709734097</v>
          </cell>
        </row>
        <row r="539">
          <cell r="A539" t="str">
            <v>SCOM-SHH2BR</v>
          </cell>
          <cell r="B539" t="str">
            <v>VAR_fout</v>
          </cell>
          <cell r="C539" t="str">
            <v>SCOM-SHH2B</v>
          </cell>
          <cell r="G539">
            <v>1.7454205641267286E-5</v>
          </cell>
          <cell r="H539">
            <v>1.8341465004206045E-5</v>
          </cell>
          <cell r="I539">
            <v>4.72107999668007E-4</v>
          </cell>
        </row>
        <row r="540">
          <cell r="A540" t="str">
            <v>SCOM-SHH2BR</v>
          </cell>
          <cell r="B540" t="str">
            <v>VAR_fin</v>
          </cell>
          <cell r="C540" t="str">
            <v>RSH2</v>
          </cell>
          <cell r="G540">
            <v>1.8434778991900272E-5</v>
          </cell>
          <cell r="H540">
            <v>1.9371884386464802E-5</v>
          </cell>
          <cell r="I540">
            <v>4.9863092099767007E-4</v>
          </cell>
        </row>
        <row r="541">
          <cell r="A541" t="str">
            <v>SCOM-SHH2BR</v>
          </cell>
          <cell r="B541" t="str">
            <v>VAR_ncap</v>
          </cell>
          <cell r="C541" t="str">
            <v>-</v>
          </cell>
          <cell r="G541">
            <v>2.1311822647752E-6</v>
          </cell>
          <cell r="H541">
            <v>6.5893345109274498E-7</v>
          </cell>
          <cell r="I541">
            <v>4.7122084081728099E-5</v>
          </cell>
        </row>
        <row r="542">
          <cell r="A542" t="str">
            <v>SCOM-SHH2BR</v>
          </cell>
          <cell r="B542" t="str">
            <v>VAR_cap</v>
          </cell>
          <cell r="C542" t="str">
            <v>-</v>
          </cell>
          <cell r="G542">
            <v>2.1311822647752E-6</v>
          </cell>
          <cell r="H542">
            <v>2.3759145065756248E-6</v>
          </cell>
          <cell r="I542">
            <v>4.7707616421687575E-5</v>
          </cell>
        </row>
        <row r="543">
          <cell r="A543" t="str">
            <v>ITOT-SWHCONBR1</v>
          </cell>
          <cell r="B543" t="str">
            <v>VAR_fout</v>
          </cell>
          <cell r="C543" t="str">
            <v>ITOT-ELS</v>
          </cell>
          <cell r="E543">
            <v>8.2135223468694091E-3</v>
          </cell>
          <cell r="F543">
            <v>8.2135328519041678E-3</v>
          </cell>
          <cell r="G543">
            <v>1.4051191642741117E-2</v>
          </cell>
          <cell r="H543">
            <v>2.1191072610817277E-2</v>
          </cell>
          <cell r="I543">
            <v>2.1191073571331646E-2</v>
          </cell>
        </row>
        <row r="544">
          <cell r="A544" t="str">
            <v>ITOT-SWHCONBR1</v>
          </cell>
          <cell r="B544" t="str">
            <v>VAR_fout</v>
          </cell>
          <cell r="C544" t="str">
            <v>ITOT-SWHC</v>
          </cell>
          <cell r="E544">
            <v>2.1551431864988926</v>
          </cell>
          <cell r="F544">
            <v>2.1551459429111994</v>
          </cell>
          <cell r="G544">
            <v>3.6868871419806672</v>
          </cell>
          <cell r="H544">
            <v>5.5603179516779688</v>
          </cell>
          <cell r="I544">
            <v>5.5603182037069887</v>
          </cell>
        </row>
        <row r="545">
          <cell r="A545" t="str">
            <v>ITOT-SWHCONBR1</v>
          </cell>
          <cell r="B545" t="str">
            <v>VAR_fin</v>
          </cell>
          <cell r="C545" t="str">
            <v>CON</v>
          </cell>
          <cell r="E545">
            <v>2.163356708845761</v>
          </cell>
          <cell r="F545">
            <v>2.1633594757631012</v>
          </cell>
          <cell r="G545">
            <v>3.700938333623411</v>
          </cell>
          <cell r="H545">
            <v>5.5815090242887839</v>
          </cell>
          <cell r="I545">
            <v>5.5815092772783199</v>
          </cell>
        </row>
        <row r="546">
          <cell r="A546" t="str">
            <v>ITOT-SWHCONBR1</v>
          </cell>
          <cell r="B546" t="str">
            <v>VAR_ncap</v>
          </cell>
          <cell r="C546" t="str">
            <v>-</v>
          </cell>
          <cell r="E546">
            <v>0.11764968755229301</v>
          </cell>
          <cell r="F546">
            <v>1.9381074150823001E-7</v>
          </cell>
          <cell r="G546">
            <v>8.3617765892215798E-2</v>
          </cell>
          <cell r="H546">
            <v>8.6785162721140494E-2</v>
          </cell>
          <cell r="I546">
            <v>0.173085485318653</v>
          </cell>
        </row>
        <row r="547">
          <cell r="A547" t="str">
            <v>ITOT-SWHCONBR1</v>
          </cell>
          <cell r="B547" t="str">
            <v>VAR_cap</v>
          </cell>
          <cell r="C547" t="str">
            <v>-</v>
          </cell>
          <cell r="E547">
            <v>0.11764968755229301</v>
          </cell>
          <cell r="F547">
            <v>0.117649881363035</v>
          </cell>
          <cell r="G547">
            <v>0.20126764725525101</v>
          </cell>
          <cell r="H547">
            <v>0.30353853750626503</v>
          </cell>
          <cell r="I547">
            <v>0.30359675552080101</v>
          </cell>
        </row>
        <row r="548">
          <cell r="A548" t="str">
            <v>SCOM-SHLTHCHPWOD</v>
          </cell>
          <cell r="B548" t="str">
            <v>VAR_fout</v>
          </cell>
          <cell r="C548" t="str">
            <v>SCOM-SHLTHC-WOD</v>
          </cell>
          <cell r="G548">
            <v>5.4148211543238578E-5</v>
          </cell>
          <cell r="H548">
            <v>1.233108848003169E-4</v>
          </cell>
          <cell r="I548">
            <v>5.9143738490717288E-5</v>
          </cell>
        </row>
        <row r="549">
          <cell r="A549" t="str">
            <v>SCOM-SHLTHCHPWOD</v>
          </cell>
          <cell r="B549" t="str">
            <v>VAR_fin</v>
          </cell>
          <cell r="C549" t="str">
            <v>SCOM_LTH_CHPWOD_ON</v>
          </cell>
          <cell r="G549">
            <v>5.4695163174988458E-5</v>
          </cell>
          <cell r="H549">
            <v>1.2455644929324939E-4</v>
          </cell>
          <cell r="I549">
            <v>5.9741149990623514E-5</v>
          </cell>
        </row>
        <row r="550">
          <cell r="A550" t="str">
            <v>SCOM-SHLTHCHPWOD</v>
          </cell>
          <cell r="B550" t="str">
            <v>VAR_fin</v>
          </cell>
          <cell r="C550" t="str">
            <v>SCOMLTHCHPC</v>
          </cell>
          <cell r="G550">
            <v>5.4148211543238578E-5</v>
          </cell>
          <cell r="H550">
            <v>1.233108848003169E-4</v>
          </cell>
          <cell r="I550">
            <v>5.9143738490717288E-5</v>
          </cell>
        </row>
        <row r="551">
          <cell r="A551" t="str">
            <v>SCOM-SHLTHCHPWOD</v>
          </cell>
          <cell r="B551" t="str">
            <v>VAR_ncap</v>
          </cell>
          <cell r="C551" t="str">
            <v>-</v>
          </cell>
          <cell r="G551">
            <v>4.1910172674837196E-6</v>
          </cell>
          <cell r="H551">
            <v>7.8830258726074408E-6</v>
          </cell>
          <cell r="I551">
            <v>2.8326892640719999E-6</v>
          </cell>
        </row>
        <row r="552">
          <cell r="A552" t="str">
            <v>SCOM-SHLTHCHPWOD</v>
          </cell>
          <cell r="B552" t="str">
            <v>VAR_cap</v>
          </cell>
          <cell r="C552" t="str">
            <v>-</v>
          </cell>
          <cell r="G552">
            <v>4.1910172674837196E-6</v>
          </cell>
          <cell r="H552">
            <v>9.5225743006746393E-6</v>
          </cell>
          <cell r="I552">
            <v>4.7286216918604202E-6</v>
          </cell>
        </row>
        <row r="553">
          <cell r="A553" t="str">
            <v>SCOM-SHSTG-NGAHP</v>
          </cell>
          <cell r="B553" t="str">
            <v>VAR_fout</v>
          </cell>
          <cell r="C553" t="str">
            <v>SCOM-SHANGAH</v>
          </cell>
          <cell r="D553">
            <v>8.5121585752199965E-7</v>
          </cell>
          <cell r="E553">
            <v>8.6524572857025652E-7</v>
          </cell>
          <cell r="F553">
            <v>5.0182456640989407E-5</v>
          </cell>
          <cell r="G553">
            <v>1.4577322577567135E-5</v>
          </cell>
          <cell r="H553">
            <v>1.5617082126080881E-4</v>
          </cell>
          <cell r="I553">
            <v>9.0964466661368977E-5</v>
          </cell>
        </row>
        <row r="554">
          <cell r="A554" t="str">
            <v>SCOM-SHSTG-NGAHP</v>
          </cell>
          <cell r="B554" t="str">
            <v>VAR_fin</v>
          </cell>
          <cell r="C554" t="str">
            <v>SCOM-SHANGAH</v>
          </cell>
          <cell r="E554">
            <v>4.0114295949740003E-8</v>
          </cell>
          <cell r="F554">
            <v>6.4514767130230229E-5</v>
          </cell>
          <cell r="G554">
            <v>1.8222405052405861E-5</v>
          </cell>
          <cell r="H554">
            <v>1.8373596944564244E-4</v>
          </cell>
          <cell r="I554">
            <v>1.0107397160378941E-4</v>
          </cell>
        </row>
        <row r="555">
          <cell r="A555" t="str">
            <v>SCOM-SHSTG-NGAHP</v>
          </cell>
          <cell r="B555" t="str">
            <v>VAR_ncap</v>
          </cell>
          <cell r="C555" t="str">
            <v>-</v>
          </cell>
          <cell r="D555">
            <v>1.8709208505569401E-5</v>
          </cell>
          <cell r="E555">
            <v>1.35036511144024E-7</v>
          </cell>
          <cell r="F555">
            <v>8.3240411982427601E-7</v>
          </cell>
          <cell r="G555">
            <v>4.5615796120821398E-7</v>
          </cell>
          <cell r="H555">
            <v>7.4484581917548705E-7</v>
          </cell>
          <cell r="I555">
            <v>7.6358532957139701E-7</v>
          </cell>
        </row>
        <row r="556">
          <cell r="A556" t="str">
            <v>SCOM-SHSTG-NGAHP</v>
          </cell>
          <cell r="B556" t="str">
            <v>VAR_cap</v>
          </cell>
          <cell r="C556" t="str">
            <v>-</v>
          </cell>
          <cell r="D556">
            <v>1.8709208505569401E-5</v>
          </cell>
          <cell r="E556">
            <v>1.3358848868680104E-7</v>
          </cell>
          <cell r="F556">
            <v>8.4847642541130135E-7</v>
          </cell>
          <cell r="G556">
            <v>8.4888101375089819E-7</v>
          </cell>
          <cell r="H556">
            <v>1.2414495824341479E-5</v>
          </cell>
          <cell r="I556">
            <v>5.2066525243321104E-6</v>
          </cell>
        </row>
        <row r="557">
          <cell r="A557" t="str">
            <v>ITOT-SWHCONBR2</v>
          </cell>
          <cell r="B557" t="str">
            <v>VAR_fout</v>
          </cell>
          <cell r="C557" t="str">
            <v>ITOT-ELS</v>
          </cell>
          <cell r="E557">
            <v>0.48735394355266337</v>
          </cell>
          <cell r="F557">
            <v>0.48735411201360268</v>
          </cell>
          <cell r="G557">
            <v>0.48735405575229307</v>
          </cell>
          <cell r="H557">
            <v>0.48735407624693966</v>
          </cell>
          <cell r="I557">
            <v>0.48735414086048301</v>
          </cell>
        </row>
        <row r="558">
          <cell r="A558" t="str">
            <v>ITOT-SWHCONBR2</v>
          </cell>
          <cell r="B558" t="str">
            <v>VAR_fout</v>
          </cell>
          <cell r="C558" t="str">
            <v>ITOT-SWHC</v>
          </cell>
          <cell r="E558">
            <v>0.75335593114409583</v>
          </cell>
          <cell r="F558">
            <v>0.75335619155246891</v>
          </cell>
          <cell r="G558">
            <v>0.75335610458325086</v>
          </cell>
          <cell r="H558">
            <v>0.75335613626405207</v>
          </cell>
          <cell r="I558">
            <v>0.75335623614422531</v>
          </cell>
        </row>
        <row r="559">
          <cell r="A559" t="str">
            <v>ITOT-SWHCONBR2</v>
          </cell>
          <cell r="B559" t="str">
            <v>VAR_fin</v>
          </cell>
          <cell r="C559" t="str">
            <v>CON</v>
          </cell>
          <cell r="E559">
            <v>1.24070987469676</v>
          </cell>
          <cell r="F559">
            <v>1.240710303566072</v>
          </cell>
          <cell r="G559">
            <v>1.2407101603355428</v>
          </cell>
          <cell r="H559">
            <v>1.240710212510993</v>
          </cell>
          <cell r="I559">
            <v>1.2407103770047074</v>
          </cell>
        </row>
        <row r="560">
          <cell r="A560" t="str">
            <v>ITOT-SWHCONBR2</v>
          </cell>
          <cell r="B560" t="str">
            <v>VAR_ncap</v>
          </cell>
          <cell r="C560" t="str">
            <v>-</v>
          </cell>
          <cell r="E560">
            <v>6.7473340515920396E-2</v>
          </cell>
          <cell r="F560">
            <v>1.5537120629878399E-7</v>
          </cell>
          <cell r="H560">
            <v>3.45696799087125E-2</v>
          </cell>
          <cell r="I560">
            <v>2.8479829554826201E-2</v>
          </cell>
        </row>
        <row r="561">
          <cell r="A561" t="str">
            <v>ITOT-SWHCONBR2</v>
          </cell>
          <cell r="B561" t="str">
            <v>VAR_cap</v>
          </cell>
          <cell r="C561" t="str">
            <v>-</v>
          </cell>
          <cell r="E561">
            <v>6.7473340515920396E-2</v>
          </cell>
          <cell r="F561">
            <v>6.74734958871267E-2</v>
          </cell>
          <cell r="G561">
            <v>6.74734958871267E-2</v>
          </cell>
          <cell r="H561">
            <v>6.7473554674628705E-2</v>
          </cell>
          <cell r="I561">
            <v>6.7486356568024E-2</v>
          </cell>
        </row>
        <row r="562">
          <cell r="A562" t="str">
            <v>RHES-SHCONBR1</v>
          </cell>
          <cell r="B562" t="str">
            <v>VAR_fout</v>
          </cell>
          <cell r="C562" t="str">
            <v>RHES-SHCON</v>
          </cell>
          <cell r="D562">
            <v>0.56326150071371006</v>
          </cell>
          <cell r="E562">
            <v>1.1276355735660819</v>
          </cell>
          <cell r="F562">
            <v>1.1276288561687551</v>
          </cell>
          <cell r="G562">
            <v>2.4026416146247414</v>
          </cell>
          <cell r="H562">
            <v>6.1310871528219248</v>
          </cell>
          <cell r="I562">
            <v>6.4142157123680361</v>
          </cell>
        </row>
        <row r="563">
          <cell r="A563" t="str">
            <v>RHES-SHCONBR1</v>
          </cell>
          <cell r="B563" t="str">
            <v>VAR_fin</v>
          </cell>
          <cell r="C563" t="str">
            <v>CON</v>
          </cell>
          <cell r="D563">
            <v>0.56326150071371006</v>
          </cell>
          <cell r="E563">
            <v>1.1276355735660819</v>
          </cell>
          <cell r="F563">
            <v>1.1276288561687551</v>
          </cell>
          <cell r="G563">
            <v>2.4026416146247414</v>
          </cell>
          <cell r="H563">
            <v>6.1310871528219248</v>
          </cell>
          <cell r="I563">
            <v>6.4142157123680361</v>
          </cell>
        </row>
        <row r="564">
          <cell r="A564" t="str">
            <v>RHES-SHCONBR1</v>
          </cell>
          <cell r="B564" t="str">
            <v>VAR_ncap</v>
          </cell>
          <cell r="C564" t="str">
            <v>-</v>
          </cell>
          <cell r="D564">
            <v>4.5549513841108703E-2</v>
          </cell>
          <cell r="E564">
            <v>4.5549513841108703E-2</v>
          </cell>
          <cell r="G564">
            <v>0.10300495530696099</v>
          </cell>
          <cell r="H564">
            <v>0.166493430650344</v>
          </cell>
          <cell r="I564">
            <v>6.4798445424103096E-2</v>
          </cell>
        </row>
        <row r="565">
          <cell r="A565" t="str">
            <v>RHES-SHCONBR1</v>
          </cell>
          <cell r="B565" t="str">
            <v>VAR_cap</v>
          </cell>
          <cell r="C565" t="str">
            <v>-</v>
          </cell>
          <cell r="D565">
            <v>4.5549513841108703E-2</v>
          </cell>
          <cell r="E565">
            <v>9.1099027682217407E-2</v>
          </cell>
          <cell r="F565">
            <v>9.1099027682217407E-2</v>
          </cell>
          <cell r="G565">
            <v>0.194103982989178</v>
          </cell>
          <cell r="H565">
            <v>0.49534660661817498</v>
          </cell>
          <cell r="I565">
            <v>0.51822156760183002</v>
          </cell>
        </row>
        <row r="566">
          <cell r="A566" t="str">
            <v>ITOT-SWHCONBR3</v>
          </cell>
          <cell r="B566" t="str">
            <v>VAR_fout</v>
          </cell>
          <cell r="C566" t="str">
            <v>ITOT-ELS</v>
          </cell>
          <cell r="E566">
            <v>2.3173680647805065E-2</v>
          </cell>
          <cell r="F566">
            <v>2.3173690137827573E-2</v>
          </cell>
          <cell r="G566">
            <v>2.3173604515466278E-2</v>
          </cell>
          <cell r="H566">
            <v>0.27093292526343321</v>
          </cell>
          <cell r="I566">
            <v>0.28967147432451817</v>
          </cell>
        </row>
        <row r="567">
          <cell r="A567" t="str">
            <v>ITOT-SWHCONBR3</v>
          </cell>
          <cell r="B567" t="str">
            <v>VAR_fout</v>
          </cell>
          <cell r="C567" t="str">
            <v>ITOT-SWHC</v>
          </cell>
          <cell r="E567">
            <v>4.5989483809511712E-2</v>
          </cell>
          <cell r="F567">
            <v>4.5989502642999711E-2</v>
          </cell>
          <cell r="G567">
            <v>4.5989332720566642E-2</v>
          </cell>
          <cell r="H567">
            <v>0.53768175928697348</v>
          </cell>
          <cell r="I567">
            <v>0.57486947287273549</v>
          </cell>
        </row>
        <row r="568">
          <cell r="A568" t="str">
            <v>ITOT-SWHCONBR3</v>
          </cell>
          <cell r="B568" t="str">
            <v>VAR_fin</v>
          </cell>
          <cell r="C568" t="str">
            <v>CON</v>
          </cell>
          <cell r="E568">
            <v>6.9163164457316767E-2</v>
          </cell>
          <cell r="F568">
            <v>6.9163192780827346E-2</v>
          </cell>
          <cell r="G568">
            <v>6.9162937236032881E-2</v>
          </cell>
          <cell r="H568">
            <v>0.80861468455040642</v>
          </cell>
          <cell r="I568">
            <v>0.86454094719725305</v>
          </cell>
        </row>
        <row r="569">
          <cell r="A569" t="str">
            <v>ITOT-SWHCONBR3</v>
          </cell>
          <cell r="B569" t="str">
            <v>VAR_ncap</v>
          </cell>
          <cell r="C569" t="str">
            <v>-</v>
          </cell>
          <cell r="E569">
            <v>3.7612943626777399E-3</v>
          </cell>
          <cell r="F569">
            <v>6.2967076178948106E-8</v>
          </cell>
          <cell r="H569">
            <v>4.39748926507861E-2</v>
          </cell>
          <cell r="I569">
            <v>1.5111159261184901E-2</v>
          </cell>
        </row>
        <row r="570">
          <cell r="A570" t="str">
            <v>ITOT-SWHCONBR3</v>
          </cell>
          <cell r="B570" t="str">
            <v>VAR_cap</v>
          </cell>
          <cell r="C570" t="str">
            <v>-</v>
          </cell>
          <cell r="E570">
            <v>3.7612943626777399E-3</v>
          </cell>
          <cell r="F570">
            <v>3.7613573297539198E-3</v>
          </cell>
          <cell r="G570">
            <v>3.7613573297539198E-3</v>
          </cell>
          <cell r="H570">
            <v>4.3974928486626E-2</v>
          </cell>
          <cell r="I570">
            <v>4.70252235074698E-2</v>
          </cell>
        </row>
        <row r="571">
          <cell r="A571" t="str">
            <v>ITOT-ELCSPECADV</v>
          </cell>
          <cell r="B571" t="str">
            <v>VAR_fout</v>
          </cell>
          <cell r="C571" t="str">
            <v>ITOT-ELS</v>
          </cell>
          <cell r="G571">
            <v>1.2145977479711383E-5</v>
          </cell>
          <cell r="H571">
            <v>3.497796499781412E-5</v>
          </cell>
          <cell r="I571">
            <v>0.45063167247065211</v>
          </cell>
        </row>
        <row r="572">
          <cell r="A572" t="str">
            <v>ITOT-ELCSPECADV</v>
          </cell>
          <cell r="B572" t="str">
            <v>VAR_fin</v>
          </cell>
          <cell r="C572" t="str">
            <v>ITOT_ELC</v>
          </cell>
          <cell r="G572">
            <v>1.0458047712061275E-5</v>
          </cell>
          <cell r="H572">
            <v>2.8651810397200058E-5</v>
          </cell>
          <cell r="I572">
            <v>0.33084853642337902</v>
          </cell>
        </row>
        <row r="573">
          <cell r="A573" t="str">
            <v>ITOT-ELCSPECADV</v>
          </cell>
          <cell r="B573" t="str">
            <v>VAR_ncap</v>
          </cell>
          <cell r="C573" t="str">
            <v>-</v>
          </cell>
          <cell r="G573">
            <v>7.1423474991121796E-7</v>
          </cell>
          <cell r="H573">
            <v>2.9394178209440802E-7</v>
          </cell>
          <cell r="I573">
            <v>2.45049788992035E-2</v>
          </cell>
        </row>
        <row r="574">
          <cell r="A574" t="str">
            <v>ITOT-ELCSPECADV</v>
          </cell>
          <cell r="B574" t="str">
            <v>VAR_cap</v>
          </cell>
          <cell r="C574" t="str">
            <v>-</v>
          </cell>
          <cell r="G574">
            <v>7.1423474991121796E-7</v>
          </cell>
          <cell r="H574">
            <v>1.9122506256150101E-6</v>
          </cell>
          <cell r="I574">
            <v>2.45066431879447E-2</v>
          </cell>
        </row>
        <row r="575">
          <cell r="A575" t="str">
            <v>RHES-SHELCBR</v>
          </cell>
          <cell r="B575" t="str">
            <v>VAR_fout</v>
          </cell>
          <cell r="C575" t="str">
            <v>RHES-SHAELCB</v>
          </cell>
          <cell r="D575">
            <v>4.2799751655213623</v>
          </cell>
          <cell r="E575">
            <v>3.7727309144133452</v>
          </cell>
          <cell r="F575">
            <v>3.5365031968005654</v>
          </cell>
          <cell r="G575">
            <v>2.9050072558590827</v>
          </cell>
          <cell r="H575">
            <v>1.2078753740659314</v>
          </cell>
          <cell r="I575">
            <v>0.39658434418091593</v>
          </cell>
        </row>
        <row r="576">
          <cell r="A576" t="str">
            <v>RHES-SHELCBR</v>
          </cell>
          <cell r="B576" t="str">
            <v>VAR_fin</v>
          </cell>
          <cell r="C576" t="str">
            <v>RHES_ELC</v>
          </cell>
          <cell r="D576">
            <v>4.5052370163382758</v>
          </cell>
          <cell r="E576">
            <v>3.9712956993824746</v>
          </cell>
          <cell r="F576">
            <v>3.7226349440005979</v>
          </cell>
          <cell r="G576">
            <v>3.0579023745885081</v>
          </cell>
          <cell r="H576">
            <v>1.2714477621746652</v>
          </cell>
          <cell r="I576">
            <v>0.41745720440096357</v>
          </cell>
        </row>
        <row r="577">
          <cell r="A577" t="str">
            <v>RHES-SHELCBR</v>
          </cell>
          <cell r="B577" t="str">
            <v>VAR_ncap</v>
          </cell>
          <cell r="C577" t="str">
            <v>-</v>
          </cell>
          <cell r="D577">
            <v>2.57154266312356E-8</v>
          </cell>
          <cell r="H577">
            <v>3.0552734986377802E-7</v>
          </cell>
        </row>
        <row r="578">
          <cell r="A578" t="str">
            <v>RHES-SHELCBR</v>
          </cell>
          <cell r="B578" t="str">
            <v>VAR_cap</v>
          </cell>
          <cell r="C578" t="str">
            <v>-</v>
          </cell>
          <cell r="D578">
            <v>0.3457693255917596</v>
          </cell>
          <cell r="E578">
            <v>0.3457693076790439</v>
          </cell>
          <cell r="F578">
            <v>0.34576927713648448</v>
          </cell>
          <cell r="G578">
            <v>0.3457692405940157</v>
          </cell>
          <cell r="H578">
            <v>9.8433250818711016E-2</v>
          </cell>
          <cell r="I578">
            <v>4.1636815541183474E-2</v>
          </cell>
        </row>
        <row r="579">
          <cell r="A579" t="str">
            <v>RHSA-WHELCBR</v>
          </cell>
          <cell r="B579" t="str">
            <v>VAR_fout</v>
          </cell>
          <cell r="C579" t="str">
            <v>RHSA-WHAELCB</v>
          </cell>
          <cell r="D579">
            <v>6.6446945410531093</v>
          </cell>
          <cell r="E579">
            <v>6.9687083727585986</v>
          </cell>
          <cell r="F579">
            <v>5.8645064274243701</v>
          </cell>
          <cell r="G579">
            <v>3.8446466429507105</v>
          </cell>
          <cell r="H579">
            <v>1.6243874004835361</v>
          </cell>
          <cell r="I579">
            <v>0.52630179980865377</v>
          </cell>
        </row>
        <row r="580">
          <cell r="A580" t="str">
            <v>RHSA-WHELCBR</v>
          </cell>
          <cell r="B580" t="str">
            <v>VAR_fin</v>
          </cell>
          <cell r="C580" t="str">
            <v>RHSA_ELC</v>
          </cell>
          <cell r="D580">
            <v>8.4110057481684812</v>
          </cell>
          <cell r="E580">
            <v>8.7988742080285451</v>
          </cell>
          <cell r="F580">
            <v>7.3767376445589559</v>
          </cell>
          <cell r="G580">
            <v>4.8058083036883836</v>
          </cell>
          <cell r="H580">
            <v>2.0054165438068345</v>
          </cell>
          <cell r="I580">
            <v>0.64183146318128503</v>
          </cell>
        </row>
        <row r="581">
          <cell r="A581" t="str">
            <v>RHSA-WHELCBR</v>
          </cell>
          <cell r="B581" t="str">
            <v>VAR_ncap</v>
          </cell>
          <cell r="C581" t="str">
            <v>-</v>
          </cell>
          <cell r="D581">
            <v>1.7713766276034299E-7</v>
          </cell>
          <cell r="E581">
            <v>3.4213623345716399E-2</v>
          </cell>
          <cell r="H581">
            <v>2.2256346366249201E-2</v>
          </cell>
        </row>
        <row r="582">
          <cell r="A582" t="str">
            <v>RHSA-WHELCBR</v>
          </cell>
          <cell r="B582" t="str">
            <v>VAR_cap</v>
          </cell>
          <cell r="C582" t="str">
            <v>-</v>
          </cell>
          <cell r="D582">
            <v>0.43756876591133975</v>
          </cell>
          <cell r="E582">
            <v>0.47178238925705618</v>
          </cell>
          <cell r="F582">
            <v>0.47178231203953258</v>
          </cell>
          <cell r="G582">
            <v>0.43863793030672188</v>
          </cell>
          <cell r="H582">
            <v>0.11386549415123444</v>
          </cell>
          <cell r="I582">
            <v>4.9187385531242273E-2</v>
          </cell>
        </row>
        <row r="583">
          <cell r="A583" t="str">
            <v>ITOT-SWHLTHDH</v>
          </cell>
          <cell r="B583" t="str">
            <v>VAR_fout</v>
          </cell>
          <cell r="C583" t="str">
            <v>ITOT-SWH</v>
          </cell>
          <cell r="D583">
            <v>6.5822713827390062</v>
          </cell>
          <cell r="E583">
            <v>7.0678484053123212</v>
          </cell>
          <cell r="F583">
            <v>6.7951527779874814</v>
          </cell>
          <cell r="G583">
            <v>7.6797042760940055</v>
          </cell>
          <cell r="H583">
            <v>9.0795554626629276</v>
          </cell>
          <cell r="I583">
            <v>10.612039047828828</v>
          </cell>
        </row>
        <row r="584">
          <cell r="A584" t="str">
            <v>ITOT-SWHLTHDH</v>
          </cell>
          <cell r="B584" t="str">
            <v>VAR_fin</v>
          </cell>
          <cell r="C584" t="str">
            <v>ITOT_LTH_DH</v>
          </cell>
          <cell r="D584">
            <v>7.120000426938879</v>
          </cell>
          <cell r="E584">
            <v>7.6289058815658795</v>
          </cell>
          <cell r="F584">
            <v>7.3111242850993632</v>
          </cell>
          <cell r="G584">
            <v>8.2190659196386076</v>
          </cell>
          <cell r="H584">
            <v>9.6153488546815424</v>
          </cell>
          <cell r="I584">
            <v>11.170567418767176</v>
          </cell>
        </row>
        <row r="585">
          <cell r="A585" t="str">
            <v>ITOT-SWHLTHDH</v>
          </cell>
          <cell r="B585" t="str">
            <v>VAR_fin</v>
          </cell>
          <cell r="C585" t="str">
            <v>ITOTLTHDHC</v>
          </cell>
          <cell r="D585">
            <v>6.5822713827390062</v>
          </cell>
          <cell r="E585">
            <v>7.0678484053123212</v>
          </cell>
          <cell r="F585">
            <v>6.7951527779874814</v>
          </cell>
          <cell r="G585">
            <v>7.6797042760940055</v>
          </cell>
          <cell r="H585">
            <v>9.0795554626629276</v>
          </cell>
          <cell r="I585">
            <v>10.612039047828828</v>
          </cell>
        </row>
        <row r="586">
          <cell r="A586" t="str">
            <v>ITOT-SWHLTHDH</v>
          </cell>
          <cell r="B586" t="str">
            <v>VAR_ncap</v>
          </cell>
          <cell r="C586" t="str">
            <v>-</v>
          </cell>
          <cell r="E586">
            <v>9.7760268800943799E-4</v>
          </cell>
          <cell r="F586">
            <v>1.16626825443963E-3</v>
          </cell>
          <cell r="G586">
            <v>1.1282007316331601E-3</v>
          </cell>
          <cell r="H586">
            <v>0.181954629497216</v>
          </cell>
          <cell r="I586">
            <v>0.42475097154441199</v>
          </cell>
        </row>
        <row r="587">
          <cell r="A587" t="str">
            <v>ITOT-SWHLTHDH</v>
          </cell>
          <cell r="B587" t="str">
            <v>VAR_cap</v>
          </cell>
          <cell r="C587" t="str">
            <v>-</v>
          </cell>
          <cell r="D587">
            <v>0.79547229253225304</v>
          </cell>
          <cell r="E587">
            <v>0.66456351111692546</v>
          </cell>
          <cell r="F587">
            <v>0.59695653748066713</v>
          </cell>
          <cell r="G587">
            <v>0.5641540513130483</v>
          </cell>
          <cell r="H587">
            <v>0.74825210712791013</v>
          </cell>
          <cell r="I587">
            <v>0.79547271266868624</v>
          </cell>
        </row>
        <row r="588">
          <cell r="A588" t="str">
            <v>RHES-SHCONBR2</v>
          </cell>
          <cell r="B588" t="str">
            <v>VAR_fout</v>
          </cell>
          <cell r="C588" t="str">
            <v>RHES-SHCON</v>
          </cell>
          <cell r="D588">
            <v>0.40992436871111021</v>
          </cell>
          <cell r="E588">
            <v>0.82065508065045101</v>
          </cell>
          <cell r="F588">
            <v>0.82064860112368343</v>
          </cell>
          <cell r="G588">
            <v>1.7485606050683593</v>
          </cell>
          <cell r="H588">
            <v>4.4619976250604392</v>
          </cell>
          <cell r="I588">
            <v>4.6680485610341629</v>
          </cell>
        </row>
        <row r="589">
          <cell r="A589" t="str">
            <v>RHES-SHCONBR2</v>
          </cell>
          <cell r="B589" t="str">
            <v>VAR_fin</v>
          </cell>
          <cell r="C589" t="str">
            <v>CON</v>
          </cell>
          <cell r="D589">
            <v>0.40992436871111021</v>
          </cell>
          <cell r="E589">
            <v>0.82065508065045101</v>
          </cell>
          <cell r="F589">
            <v>0.82064860112368343</v>
          </cell>
          <cell r="G589">
            <v>1.7485606050683593</v>
          </cell>
          <cell r="H589">
            <v>4.4619976250604392</v>
          </cell>
          <cell r="I589">
            <v>4.6680485610341629</v>
          </cell>
        </row>
        <row r="590">
          <cell r="A590" t="str">
            <v>RHES-SHCONBR2</v>
          </cell>
          <cell r="B590" t="str">
            <v>VAR_ncap</v>
          </cell>
          <cell r="C590" t="str">
            <v>-</v>
          </cell>
          <cell r="D590">
            <v>3.3149390044633797E-2</v>
          </cell>
          <cell r="E590">
            <v>3.3149390044633797E-2</v>
          </cell>
          <cell r="G590">
            <v>7.4963498718913196E-2</v>
          </cell>
          <cell r="H590">
            <v>0.12116826738810101</v>
          </cell>
          <cell r="I590">
            <v>4.71581240171133E-2</v>
          </cell>
        </row>
        <row r="591">
          <cell r="A591" t="str">
            <v>RHES-SHCONBR2</v>
          </cell>
          <cell r="B591" t="str">
            <v>VAR_cap</v>
          </cell>
          <cell r="C591" t="str">
            <v>-</v>
          </cell>
          <cell r="D591">
            <v>3.3149390044633797E-2</v>
          </cell>
          <cell r="E591">
            <v>6.6298780089267595E-2</v>
          </cell>
          <cell r="F591">
            <v>6.6298780089267595E-2</v>
          </cell>
          <cell r="G591">
            <v>0.14126227880818101</v>
          </cell>
          <cell r="H591">
            <v>0.36049643493069999</v>
          </cell>
          <cell r="I591">
            <v>0.37714407001933897</v>
          </cell>
        </row>
        <row r="592">
          <cell r="A592" t="str">
            <v>ITOT-SWHCONBR4</v>
          </cell>
          <cell r="B592" t="str">
            <v>VAR_fout</v>
          </cell>
          <cell r="C592" t="str">
            <v>ITOT-ELS</v>
          </cell>
          <cell r="E592">
            <v>4.5965968705446877E-2</v>
          </cell>
          <cell r="F592">
            <v>4.5965824351165696E-2</v>
          </cell>
          <cell r="G592">
            <v>4.5965935704359071E-2</v>
          </cell>
          <cell r="H592">
            <v>0.40219606271519098</v>
          </cell>
          <cell r="I592">
            <v>0.57457602347635972</v>
          </cell>
        </row>
        <row r="593">
          <cell r="A593" t="str">
            <v>ITOT-SWHCONBR4</v>
          </cell>
          <cell r="B593" t="str">
            <v>VAR_fout</v>
          </cell>
          <cell r="C593" t="str">
            <v>ITOT-SWHC</v>
          </cell>
          <cell r="E593">
            <v>0.49397504936077319</v>
          </cell>
          <cell r="F593">
            <v>0.49397349805194224</v>
          </cell>
          <cell r="G593">
            <v>0.49397469471331468</v>
          </cell>
          <cell r="H593">
            <v>4.3222154460741908</v>
          </cell>
          <cell r="I593">
            <v>6.1747033196891836</v>
          </cell>
        </row>
        <row r="594">
          <cell r="A594" t="str">
            <v>ITOT-SWHCONBR4</v>
          </cell>
          <cell r="B594" t="str">
            <v>VAR_fin</v>
          </cell>
          <cell r="C594" t="str">
            <v>CON</v>
          </cell>
          <cell r="E594">
            <v>0.53994101806622019</v>
          </cell>
          <cell r="F594">
            <v>0.53993932240310816</v>
          </cell>
          <cell r="G594">
            <v>0.53994063041767359</v>
          </cell>
          <cell r="H594">
            <v>4.7244115087893803</v>
          </cell>
          <cell r="I594">
            <v>6.7492793431655436</v>
          </cell>
        </row>
        <row r="595">
          <cell r="A595" t="str">
            <v>ITOT-SWHCONBR4</v>
          </cell>
          <cell r="B595" t="str">
            <v>VAR_ncap</v>
          </cell>
          <cell r="C595" t="str">
            <v>-</v>
          </cell>
          <cell r="E595">
            <v>2.93636081389076E-2</v>
          </cell>
          <cell r="H595">
            <v>2.5344848287219199E-8</v>
          </cell>
          <cell r="I595">
            <v>0.25843680260815999</v>
          </cell>
        </row>
        <row r="596">
          <cell r="A596" t="str">
            <v>ITOT-SWHCONBR4</v>
          </cell>
          <cell r="B596" t="str">
            <v>VAR_cap</v>
          </cell>
          <cell r="C596" t="str">
            <v>-</v>
          </cell>
          <cell r="E596">
            <v>2.93636081389076E-2</v>
          </cell>
          <cell r="F596">
            <v>2.93636081389076E-2</v>
          </cell>
          <cell r="G596">
            <v>2.93636081389076E-2</v>
          </cell>
          <cell r="H596">
            <v>0.25692710891117798</v>
          </cell>
          <cell r="I596">
            <v>0.36711560313558</v>
          </cell>
        </row>
        <row r="597">
          <cell r="A597" t="str">
            <v>D-ITOT_NKEV_GAS_ELC_CHP</v>
          </cell>
          <cell r="B597" t="str">
            <v>VAR_fout</v>
          </cell>
          <cell r="C597" t="str">
            <v>ITOT_ELC</v>
          </cell>
          <cell r="D597">
            <v>0.66988356738005717</v>
          </cell>
          <cell r="E597">
            <v>7.7670125164070888E-2</v>
          </cell>
          <cell r="F597">
            <v>4.938661989660257E-2</v>
          </cell>
          <cell r="G597">
            <v>0.1102953010305751</v>
          </cell>
          <cell r="H597">
            <v>1.3435918304327402E-2</v>
          </cell>
          <cell r="I597">
            <v>0.23658989768239577</v>
          </cell>
        </row>
        <row r="598">
          <cell r="A598" t="str">
            <v>D-ITOT_NKEV_GAS_ELC_CHP</v>
          </cell>
          <cell r="B598" t="str">
            <v>VAR_fout</v>
          </cell>
          <cell r="C598" t="str">
            <v>ELC5</v>
          </cell>
          <cell r="D598">
            <v>7.6699067330320171E-5</v>
          </cell>
          <cell r="E598">
            <v>4.7075811033837168E-5</v>
          </cell>
          <cell r="F598">
            <v>4.6211808128674387E-5</v>
          </cell>
          <cell r="G598">
            <v>1.3441618679410478E-4</v>
          </cell>
          <cell r="H598">
            <v>2.8972690531863367E-4</v>
          </cell>
          <cell r="I598">
            <v>2.2555459189701997E-2</v>
          </cell>
        </row>
        <row r="599">
          <cell r="A599" t="str">
            <v>D-ITOT_NKEV_GAS_ELC_CHP</v>
          </cell>
          <cell r="B599" t="str">
            <v>VAR_fin</v>
          </cell>
          <cell r="C599" t="str">
            <v>ITOT_NKEV_GAS_ELC_CHP</v>
          </cell>
          <cell r="D599">
            <v>0.66996026644738682</v>
          </cell>
          <cell r="E599">
            <v>7.7717200975104664E-2</v>
          </cell>
          <cell r="F599">
            <v>4.9432759402300894E-2</v>
          </cell>
          <cell r="G599">
            <v>0.11042971721736915</v>
          </cell>
          <cell r="H599">
            <v>1.3725645209646031E-2</v>
          </cell>
          <cell r="I599">
            <v>0.25914538281071303</v>
          </cell>
        </row>
        <row r="600">
          <cell r="A600" t="str">
            <v>SCOM-SHELCBR</v>
          </cell>
          <cell r="B600" t="str">
            <v>VAR_fout</v>
          </cell>
          <cell r="C600" t="str">
            <v>SCOM-SHAELCB</v>
          </cell>
          <cell r="D600">
            <v>2.3940343638244732</v>
          </cell>
          <cell r="E600">
            <v>2.1212026398296371</v>
          </cell>
          <cell r="F600">
            <v>2.2847168612139606</v>
          </cell>
          <cell r="G600">
            <v>1.915386511986944</v>
          </cell>
          <cell r="H600">
            <v>1.1853090805606403</v>
          </cell>
          <cell r="I600">
            <v>0.67866131415797915</v>
          </cell>
        </row>
        <row r="601">
          <cell r="A601" t="str">
            <v>SCOM-SHELCBR</v>
          </cell>
          <cell r="B601" t="str">
            <v>VAR_fin</v>
          </cell>
          <cell r="C601" t="str">
            <v>SCOM_ELC</v>
          </cell>
          <cell r="D601">
            <v>2.6235993028213422</v>
          </cell>
          <cell r="E601">
            <v>2.3182542511799307</v>
          </cell>
          <cell r="F601">
            <v>2.4867666516614522</v>
          </cell>
          <cell r="G601">
            <v>2.0706881210669659</v>
          </cell>
          <cell r="H601">
            <v>1.2643296859313489</v>
          </cell>
          <cell r="I601">
            <v>0.71438033069260976</v>
          </cell>
        </row>
        <row r="602">
          <cell r="A602" t="str">
            <v>SCOM-SHELCBR</v>
          </cell>
          <cell r="B602" t="str">
            <v>VAR_ncap</v>
          </cell>
          <cell r="C602" t="str">
            <v>-</v>
          </cell>
          <cell r="D602">
            <v>4.5800160786322203E-8</v>
          </cell>
          <cell r="E602">
            <v>6.7099452339985905E-8</v>
          </cell>
          <cell r="F602">
            <v>6.2829964218596601E-8</v>
          </cell>
          <cell r="G602">
            <v>4.58230022367622E-8</v>
          </cell>
          <cell r="H602">
            <v>6.3225249773195798E-3</v>
          </cell>
          <cell r="I602">
            <v>2.4464150543018499E-2</v>
          </cell>
        </row>
        <row r="603">
          <cell r="A603" t="str">
            <v>SCOM-SHELCBR</v>
          </cell>
          <cell r="B603" t="str">
            <v>VAR_cap</v>
          </cell>
          <cell r="C603" t="str">
            <v>-</v>
          </cell>
          <cell r="D603">
            <v>0.18498809415160278</v>
          </cell>
          <cell r="E603">
            <v>0.18498814122209958</v>
          </cell>
          <cell r="F603">
            <v>0.18498816941948543</v>
          </cell>
          <cell r="G603">
            <v>0.18498814024526175</v>
          </cell>
          <cell r="H603">
            <v>0.11793074947911429</v>
          </cell>
          <cell r="I603">
            <v>7.626227003189183E-2</v>
          </cell>
        </row>
        <row r="604">
          <cell r="A604" t="str">
            <v>RHES-SHCONBR3</v>
          </cell>
          <cell r="B604" t="str">
            <v>VAR_fout</v>
          </cell>
          <cell r="C604" t="str">
            <v>RHES-SHCON</v>
          </cell>
          <cell r="D604">
            <v>0.67708238520701336</v>
          </cell>
          <cell r="E604">
            <v>1.355504785674315</v>
          </cell>
          <cell r="F604">
            <v>1.3554978926665273</v>
          </cell>
          <cell r="G604">
            <v>1.3555029701337307</v>
          </cell>
          <cell r="H604">
            <v>3.8325873863717477</v>
          </cell>
          <cell r="I604">
            <v>6.7211893127558735</v>
          </cell>
        </row>
        <row r="605">
          <cell r="A605" t="str">
            <v>RHES-SHCONBR3</v>
          </cell>
          <cell r="B605" t="str">
            <v>VAR_fin</v>
          </cell>
          <cell r="C605" t="str">
            <v>CON</v>
          </cell>
          <cell r="D605">
            <v>0.67708238520701336</v>
          </cell>
          <cell r="E605">
            <v>1.355504785674315</v>
          </cell>
          <cell r="F605">
            <v>1.3554978926665273</v>
          </cell>
          <cell r="G605">
            <v>1.3555029701337307</v>
          </cell>
          <cell r="H605">
            <v>3.8325873863717477</v>
          </cell>
          <cell r="I605">
            <v>6.7211893127558735</v>
          </cell>
        </row>
        <row r="606">
          <cell r="A606" t="str">
            <v>RHES-SHCONBR3</v>
          </cell>
          <cell r="B606" t="str">
            <v>VAR_ncap</v>
          </cell>
          <cell r="C606" t="str">
            <v>-</v>
          </cell>
          <cell r="D606">
            <v>5.4754028624984297E-2</v>
          </cell>
          <cell r="E606">
            <v>5.4754028624984297E-2</v>
          </cell>
          <cell r="H606">
            <v>0.20013665681123199</v>
          </cell>
          <cell r="I606">
            <v>0.28377300785133103</v>
          </cell>
        </row>
        <row r="607">
          <cell r="A607" t="str">
            <v>RHES-SHCONBR3</v>
          </cell>
          <cell r="B607" t="str">
            <v>VAR_cap</v>
          </cell>
          <cell r="C607" t="str">
            <v>-</v>
          </cell>
          <cell r="D607">
            <v>5.4754028624984297E-2</v>
          </cell>
          <cell r="E607">
            <v>0.109508057249969</v>
          </cell>
          <cell r="F607">
            <v>0.109508057249969</v>
          </cell>
          <cell r="G607">
            <v>0.109508057249969</v>
          </cell>
          <cell r="H607">
            <v>0.30964471406119998</v>
          </cell>
          <cell r="I607">
            <v>0.543022460283204</v>
          </cell>
        </row>
        <row r="608">
          <cell r="A608" t="str">
            <v>ITOT-SWHCONBR5</v>
          </cell>
          <cell r="B608" t="str">
            <v>VAR_fout</v>
          </cell>
          <cell r="C608" t="str">
            <v>ITOT-ELS</v>
          </cell>
          <cell r="E608">
            <v>4.0128186634106743E-2</v>
          </cell>
          <cell r="F608">
            <v>4.0127908779266197E-2</v>
          </cell>
          <cell r="G608">
            <v>4.0127996709173011E-2</v>
          </cell>
          <cell r="H608">
            <v>3.9257606749818095E-6</v>
          </cell>
          <cell r="I608">
            <v>0.50160359543854627</v>
          </cell>
        </row>
        <row r="609">
          <cell r="A609" t="str">
            <v>ITOT-SWHCONBR5</v>
          </cell>
          <cell r="B609" t="str">
            <v>VAR_fout</v>
          </cell>
          <cell r="C609" t="str">
            <v>ITOT-SWHC</v>
          </cell>
          <cell r="E609">
            <v>0.19682379871607122</v>
          </cell>
          <cell r="F609">
            <v>0.19682243587239967</v>
          </cell>
          <cell r="G609">
            <v>0.19682286715773134</v>
          </cell>
          <cell r="H609">
            <v>2.4608000943422456E-5</v>
          </cell>
          <cell r="I609">
            <v>2.460303676417344</v>
          </cell>
        </row>
        <row r="610">
          <cell r="A610" t="str">
            <v>ITOT-SWHCONBR5</v>
          </cell>
          <cell r="B610" t="str">
            <v>VAR_fin</v>
          </cell>
          <cell r="C610" t="str">
            <v>CON</v>
          </cell>
          <cell r="E610">
            <v>0.23695198535017811</v>
          </cell>
          <cell r="F610">
            <v>0.2369503446516659</v>
          </cell>
          <cell r="G610">
            <v>0.23695086386690448</v>
          </cell>
          <cell r="H610">
            <v>2.9636495992984137E-5</v>
          </cell>
          <cell r="I610">
            <v>2.9619072718558934</v>
          </cell>
        </row>
        <row r="611">
          <cell r="A611" t="str">
            <v>ITOT-SWHCONBR5</v>
          </cell>
          <cell r="B611" t="str">
            <v>VAR_ncap</v>
          </cell>
          <cell r="C611" t="str">
            <v>-</v>
          </cell>
          <cell r="E611">
            <v>1.2886153531108301E-2</v>
          </cell>
          <cell r="H611">
            <v>1.58498104232485E-6</v>
          </cell>
          <cell r="I611">
            <v>0.16110667157332401</v>
          </cell>
        </row>
        <row r="612">
          <cell r="A612" t="str">
            <v>ITOT-SWHCONBR5</v>
          </cell>
          <cell r="B612" t="str">
            <v>VAR_cap</v>
          </cell>
          <cell r="C612" t="str">
            <v>-</v>
          </cell>
          <cell r="E612">
            <v>1.2886153531108301E-2</v>
          </cell>
          <cell r="F612">
            <v>1.2886153531108301E-2</v>
          </cell>
          <cell r="G612">
            <v>1.2886153531108301E-2</v>
          </cell>
          <cell r="H612">
            <v>1.6017768327791101E-6</v>
          </cell>
          <cell r="I612">
            <v>0.16110782895173101</v>
          </cell>
        </row>
        <row r="613">
          <cell r="A613" t="str">
            <v>RHES-SHSTG-ELC</v>
          </cell>
          <cell r="B613" t="str">
            <v>VAR_fout</v>
          </cell>
          <cell r="C613" t="str">
            <v>RHES-SHAELCB</v>
          </cell>
          <cell r="E613">
            <v>0.73973035403869469</v>
          </cell>
          <cell r="F613">
            <v>0.62619345309067187</v>
          </cell>
          <cell r="G613">
            <v>0.53321069633614493</v>
          </cell>
          <cell r="H613">
            <v>9.2748083294307601E-2</v>
          </cell>
          <cell r="I613">
            <v>6.3899820861390483E-2</v>
          </cell>
        </row>
        <row r="614">
          <cell r="A614" t="str">
            <v>RHES-SHSTG-ELC</v>
          </cell>
          <cell r="B614" t="str">
            <v>VAR_fin</v>
          </cell>
          <cell r="C614" t="str">
            <v>RHES-SHAELCB</v>
          </cell>
          <cell r="E614">
            <v>0.73974984289820844</v>
          </cell>
          <cell r="F614">
            <v>0.62621250976790266</v>
          </cell>
          <cell r="G614">
            <v>0.53322933767406833</v>
          </cell>
          <cell r="H614">
            <v>9.275221306608826E-2</v>
          </cell>
          <cell r="I614">
            <v>6.3902254052147583E-2</v>
          </cell>
        </row>
        <row r="615">
          <cell r="A615" t="str">
            <v>RHES-SHSTG-ELC</v>
          </cell>
          <cell r="B615" t="str">
            <v>VAR_ncap</v>
          </cell>
          <cell r="C615" t="str">
            <v>-</v>
          </cell>
          <cell r="D615">
            <v>1.1845555728384899E-4</v>
          </cell>
          <cell r="E615">
            <v>6.0899730478941802E-2</v>
          </cell>
          <cell r="F615">
            <v>4.6902547406374898E-7</v>
          </cell>
          <cell r="G615">
            <v>6.3718209604805999E-7</v>
          </cell>
          <cell r="H615">
            <v>1.54069872528565E-2</v>
          </cell>
          <cell r="I615">
            <v>2.2082174346744099E-7</v>
          </cell>
        </row>
        <row r="616">
          <cell r="A616" t="str">
            <v>RHES-SHSTG-ELC</v>
          </cell>
          <cell r="B616" t="str">
            <v>VAR_cap</v>
          </cell>
          <cell r="C616" t="str">
            <v>-</v>
          </cell>
          <cell r="D616">
            <v>1.1845555728384899E-4</v>
          </cell>
          <cell r="E616">
            <v>6.1018084089890873E-2</v>
          </cell>
          <cell r="F616">
            <v>6.1018135707316241E-2</v>
          </cell>
          <cell r="G616">
            <v>6.101818170798088E-2</v>
          </cell>
          <cell r="H616">
            <v>1.7370497766298024E-2</v>
          </cell>
          <cell r="I616">
            <v>7.34767622531389E-3</v>
          </cell>
        </row>
        <row r="617">
          <cell r="A617" t="str">
            <v>RHES-SHCONBR4</v>
          </cell>
          <cell r="B617" t="str">
            <v>VAR_fout</v>
          </cell>
          <cell r="C617" t="str">
            <v>RHES-SHCON</v>
          </cell>
          <cell r="E617">
            <v>0.42668132093679007</v>
          </cell>
          <cell r="F617">
            <v>0.42667537021463042</v>
          </cell>
          <cell r="G617">
            <v>0.42667967191114475</v>
          </cell>
          <cell r="H617">
            <v>0.42665615226130865</v>
          </cell>
          <cell r="I617">
            <v>0.24665147151922653</v>
          </cell>
        </row>
        <row r="618">
          <cell r="A618" t="str">
            <v>RHES-SHCONBR4</v>
          </cell>
          <cell r="B618" t="str">
            <v>VAR_fin</v>
          </cell>
          <cell r="C618" t="str">
            <v>CON</v>
          </cell>
          <cell r="E618">
            <v>0.42668132093679007</v>
          </cell>
          <cell r="F618">
            <v>0.42667537021463042</v>
          </cell>
          <cell r="G618">
            <v>0.42667967191114475</v>
          </cell>
          <cell r="H618">
            <v>0.42665615226130865</v>
          </cell>
          <cell r="I618">
            <v>0.24665147151922653</v>
          </cell>
        </row>
        <row r="619">
          <cell r="A619" t="str">
            <v>RHES-SHCONBR4</v>
          </cell>
          <cell r="B619" t="str">
            <v>VAR_ncap</v>
          </cell>
          <cell r="C619" t="str">
            <v>-</v>
          </cell>
          <cell r="E619">
            <v>3.44705502602628E-2</v>
          </cell>
        </row>
        <row r="620">
          <cell r="A620" t="str">
            <v>RHES-SHCONBR4</v>
          </cell>
          <cell r="B620" t="str">
            <v>VAR_cap</v>
          </cell>
          <cell r="C620" t="str">
            <v>-</v>
          </cell>
          <cell r="E620">
            <v>3.44705502602628E-2</v>
          </cell>
          <cell r="F620">
            <v>3.44705502602628E-2</v>
          </cell>
          <cell r="G620">
            <v>3.44705502602628E-2</v>
          </cell>
          <cell r="H620">
            <v>3.44705502602628E-2</v>
          </cell>
          <cell r="I620">
            <v>1.9927460781947199E-2</v>
          </cell>
        </row>
        <row r="621">
          <cell r="A621" t="str">
            <v>ITOT-SWHCONBR6</v>
          </cell>
          <cell r="B621" t="str">
            <v>VAR_fout</v>
          </cell>
          <cell r="C621" t="str">
            <v>ITOT-SWHC</v>
          </cell>
          <cell r="E621">
            <v>8.4743976094847356E-6</v>
          </cell>
          <cell r="F621">
            <v>8.474346887403661E-6</v>
          </cell>
          <cell r="G621">
            <v>8.2481216455936561E-6</v>
          </cell>
          <cell r="H621">
            <v>1.3963763505058244E-5</v>
          </cell>
          <cell r="I621">
            <v>1.6242260921210631E-4</v>
          </cell>
        </row>
        <row r="622">
          <cell r="A622" t="str">
            <v>ITOT-SWHCONBR6</v>
          </cell>
          <cell r="B622" t="str">
            <v>VAR_fin</v>
          </cell>
          <cell r="C622" t="str">
            <v>CON</v>
          </cell>
          <cell r="E622">
            <v>8.4743976094847356E-6</v>
          </cell>
          <cell r="F622">
            <v>8.474346887403661E-6</v>
          </cell>
          <cell r="G622">
            <v>8.2481216455936561E-6</v>
          </cell>
          <cell r="H622">
            <v>1.3963763505058244E-5</v>
          </cell>
          <cell r="I622">
            <v>1.6242260921210631E-4</v>
          </cell>
        </row>
        <row r="623">
          <cell r="A623" t="str">
            <v>ITOT-SWHCONBR6</v>
          </cell>
          <cell r="B623" t="str">
            <v>VAR_ncap</v>
          </cell>
          <cell r="C623" t="str">
            <v>-</v>
          </cell>
          <cell r="E623">
            <v>4.63051305910818E-7</v>
          </cell>
          <cell r="F623">
            <v>1.48712663318022E-8</v>
          </cell>
          <cell r="H623">
            <v>1.1431133788195901E-8</v>
          </cell>
          <cell r="I623">
            <v>8.5039785899573297E-6</v>
          </cell>
        </row>
        <row r="624">
          <cell r="A624" t="str">
            <v>ITOT-SWHCONBR6</v>
          </cell>
          <cell r="B624" t="str">
            <v>VAR_cap</v>
          </cell>
          <cell r="C624" t="str">
            <v>-</v>
          </cell>
          <cell r="E624">
            <v>4.63051305910818E-7</v>
          </cell>
          <cell r="F624">
            <v>4.7792257224262099E-7</v>
          </cell>
          <cell r="G624">
            <v>4.7792257224262099E-7</v>
          </cell>
          <cell r="H624">
            <v>7.5288274319251799E-7</v>
          </cell>
          <cell r="I624">
            <v>8.8247904325144503E-6</v>
          </cell>
        </row>
        <row r="625">
          <cell r="A625" t="str">
            <v>RHNM-SHNGAHP</v>
          </cell>
          <cell r="B625" t="str">
            <v>VAR_fout</v>
          </cell>
          <cell r="C625" t="str">
            <v>CO2_R</v>
          </cell>
          <cell r="F625">
            <v>2.4287125161427201E-2</v>
          </cell>
          <cell r="G625">
            <v>3.2043039315593297E-2</v>
          </cell>
          <cell r="H625">
            <v>1.2546282694043899E-2</v>
          </cell>
          <cell r="I625">
            <v>1.11808968526859E-3</v>
          </cell>
        </row>
        <row r="626">
          <cell r="A626" t="str">
            <v>RHNM-SHNGAHP</v>
          </cell>
          <cell r="B626" t="str">
            <v>VAR_fout</v>
          </cell>
          <cell r="C626" t="str">
            <v>RHNM-SHANGAH</v>
          </cell>
          <cell r="F626">
            <v>8.6124557310025504E-4</v>
          </cell>
          <cell r="G626">
            <v>1.1817291095112454E-3</v>
          </cell>
          <cell r="H626">
            <v>4.9384304221236728E-4</v>
          </cell>
          <cell r="I626">
            <v>4.7262990443888955E-5</v>
          </cell>
        </row>
        <row r="627">
          <cell r="A627" t="str">
            <v>RHNM-SHNGAHP</v>
          </cell>
          <cell r="B627" t="str">
            <v>VAR_fin</v>
          </cell>
          <cell r="C627" t="str">
            <v>RNGA</v>
          </cell>
          <cell r="F627">
            <v>4.3062278655012746E-4</v>
          </cell>
          <cell r="G627">
            <v>5.6813899495732913E-4</v>
          </cell>
          <cell r="H627">
            <v>2.2245182081638166E-4</v>
          </cell>
          <cell r="I627">
            <v>1.9824285199797652E-5</v>
          </cell>
        </row>
        <row r="628">
          <cell r="A628" t="str">
            <v>RHNM-SHNGAHP</v>
          </cell>
          <cell r="B628" t="str">
            <v>VAR_fin</v>
          </cell>
          <cell r="C628" t="str">
            <v>RHNMELCHPC</v>
          </cell>
          <cell r="F628">
            <v>8.6124557310025504E-4</v>
          </cell>
          <cell r="G628">
            <v>1.1817291095112454E-3</v>
          </cell>
          <cell r="H628">
            <v>4.9384304221236728E-4</v>
          </cell>
          <cell r="I628">
            <v>4.7262990443888955E-5</v>
          </cell>
        </row>
        <row r="629">
          <cell r="A629" t="str">
            <v>RHNM-SHNGAHP</v>
          </cell>
          <cell r="B629" t="str">
            <v>VAR_ncap</v>
          </cell>
          <cell r="C629" t="str">
            <v>-</v>
          </cell>
          <cell r="F629">
            <v>6.7716977275339104E-5</v>
          </cell>
          <cell r="G629">
            <v>2.4659894283427302E-5</v>
          </cell>
          <cell r="H629">
            <v>2.9921203848557E-8</v>
          </cell>
        </row>
        <row r="630">
          <cell r="A630" t="str">
            <v>RHNM-SHNGAHP</v>
          </cell>
          <cell r="B630" t="str">
            <v>VAR_cap</v>
          </cell>
          <cell r="C630" t="str">
            <v>-</v>
          </cell>
          <cell r="F630">
            <v>6.7716977275339104E-5</v>
          </cell>
          <cell r="G630">
            <v>9.2376871558766494E-5</v>
          </cell>
          <cell r="H630">
            <v>3.9221649873832045E-5</v>
          </cell>
          <cell r="I630">
            <v>4.4028942422859303E-6</v>
          </cell>
        </row>
        <row r="631">
          <cell r="A631" t="str">
            <v>D-SCOM_KEV_WOD_ELC_CHP</v>
          </cell>
          <cell r="B631" t="str">
            <v>VAR_fout</v>
          </cell>
          <cell r="C631" t="str">
            <v>ELC5</v>
          </cell>
          <cell r="G631">
            <v>3.4723366505105154E-5</v>
          </cell>
          <cell r="H631">
            <v>4.4999996568582289E-5</v>
          </cell>
          <cell r="I631">
            <v>2.0863967316832937E-5</v>
          </cell>
        </row>
        <row r="632">
          <cell r="A632" t="str">
            <v>D-SCOM_KEV_WOD_ELC_CHP</v>
          </cell>
          <cell r="B632" t="str">
            <v>VAR_fout</v>
          </cell>
          <cell r="C632" t="str">
            <v>SCOM_ELC</v>
          </cell>
          <cell r="G632">
            <v>5.4022239479324286E-6</v>
          </cell>
          <cell r="H632">
            <v>4.4993752586405576E-5</v>
          </cell>
          <cell r="I632">
            <v>2.0860972130775974E-5</v>
          </cell>
        </row>
        <row r="633">
          <cell r="A633" t="str">
            <v>D-SCOM_KEV_WOD_ELC_CHP</v>
          </cell>
          <cell r="B633" t="str">
            <v>VAR_fin</v>
          </cell>
          <cell r="C633" t="str">
            <v>SCOM_KEV_WOD_ELC_CHP</v>
          </cell>
          <cell r="G633">
            <v>4.0641142659442411E-5</v>
          </cell>
          <cell r="H633">
            <v>8.9744806506716188E-5</v>
          </cell>
          <cell r="I633">
            <v>4.2025942258536006E-5</v>
          </cell>
        </row>
        <row r="634">
          <cell r="A634" t="str">
            <v>RHES-SHCONBR5</v>
          </cell>
          <cell r="B634" t="str">
            <v>VAR_fout</v>
          </cell>
          <cell r="C634" t="str">
            <v>RHES-SHCON</v>
          </cell>
          <cell r="E634">
            <v>8.5253917927348042E-5</v>
          </cell>
          <cell r="F634">
            <v>8.5200391945250558E-5</v>
          </cell>
          <cell r="G634">
            <v>8.4993986601103173E-5</v>
          </cell>
          <cell r="H634">
            <v>8.5006373894292838E-5</v>
          </cell>
          <cell r="I634">
            <v>4.916847755774207E-5</v>
          </cell>
        </row>
        <row r="635">
          <cell r="A635" t="str">
            <v>RHES-SHCONBR5</v>
          </cell>
          <cell r="B635" t="str">
            <v>VAR_fin</v>
          </cell>
          <cell r="C635" t="str">
            <v>CON</v>
          </cell>
          <cell r="E635">
            <v>8.5253917927348042E-5</v>
          </cell>
          <cell r="F635">
            <v>8.5200391945250558E-5</v>
          </cell>
          <cell r="G635">
            <v>8.4993986601103173E-5</v>
          </cell>
          <cell r="H635">
            <v>8.5006373894292838E-5</v>
          </cell>
          <cell r="I635">
            <v>4.916847755774207E-5</v>
          </cell>
        </row>
        <row r="636">
          <cell r="A636" t="str">
            <v>RHES-SHCONBR5</v>
          </cell>
          <cell r="B636" t="str">
            <v>VAR_ncap</v>
          </cell>
          <cell r="C636" t="str">
            <v>-</v>
          </cell>
          <cell r="E636">
            <v>6.8381858739306697E-6</v>
          </cell>
        </row>
        <row r="637">
          <cell r="A637" t="str">
            <v>RHES-SHCONBR5</v>
          </cell>
          <cell r="B637" t="str">
            <v>VAR_cap</v>
          </cell>
          <cell r="C637" t="str">
            <v>-</v>
          </cell>
          <cell r="E637">
            <v>6.8381858739306697E-6</v>
          </cell>
          <cell r="F637">
            <v>6.8381858739306697E-6</v>
          </cell>
          <cell r="G637">
            <v>6.8381858739306697E-6</v>
          </cell>
          <cell r="H637">
            <v>6.8381858739306697E-6</v>
          </cell>
          <cell r="I637">
            <v>3.9531623311365099E-6</v>
          </cell>
        </row>
        <row r="638">
          <cell r="A638" t="str">
            <v>RHNS-SHCONBR</v>
          </cell>
          <cell r="B638" t="str">
            <v>VAR_fout</v>
          </cell>
          <cell r="C638" t="str">
            <v>RHNS-SHCON</v>
          </cell>
          <cell r="F638">
            <v>1.443817844370277E-6</v>
          </cell>
          <cell r="G638">
            <v>1.438099521138015E-6</v>
          </cell>
          <cell r="H638">
            <v>1.6472252439755792E-6</v>
          </cell>
          <cell r="I638">
            <v>1.7009561546928572E-6</v>
          </cell>
        </row>
        <row r="639">
          <cell r="A639" t="str">
            <v>RHNS-SHCONBR</v>
          </cell>
          <cell r="B639" t="str">
            <v>VAR_fin</v>
          </cell>
          <cell r="C639" t="str">
            <v>CON</v>
          </cell>
          <cell r="F639">
            <v>1.443817844370277E-6</v>
          </cell>
          <cell r="G639">
            <v>1.438099521138015E-6</v>
          </cell>
          <cell r="H639">
            <v>1.6472252439755792E-6</v>
          </cell>
          <cell r="I639">
            <v>1.7009561546928572E-6</v>
          </cell>
        </row>
        <row r="640">
          <cell r="A640" t="str">
            <v>RHNS-SHCONBR</v>
          </cell>
          <cell r="B640" t="str">
            <v>VAR_ncap</v>
          </cell>
          <cell r="C640" t="str">
            <v>-</v>
          </cell>
          <cell r="F640">
            <v>1.4393111555741501E-7</v>
          </cell>
        </row>
        <row r="641">
          <cell r="A641" t="str">
            <v>RHNS-SHCONBR</v>
          </cell>
          <cell r="B641" t="str">
            <v>VAR_cap</v>
          </cell>
          <cell r="C641" t="str">
            <v>-</v>
          </cell>
          <cell r="F641">
            <v>1.4393111555741501E-7</v>
          </cell>
          <cell r="G641">
            <v>1.4393111555741501E-7</v>
          </cell>
          <cell r="H641">
            <v>1.7161402449391701E-7</v>
          </cell>
          <cell r="I641">
            <v>1.7161402449391701E-7</v>
          </cell>
        </row>
        <row r="642">
          <cell r="A642" t="str">
            <v>D-RHEM_SOLELC</v>
          </cell>
          <cell r="B642" t="str">
            <v>VAR_fout</v>
          </cell>
          <cell r="C642" t="str">
            <v>ELC5</v>
          </cell>
          <cell r="D642">
            <v>6.3576619446685273E-2</v>
          </cell>
          <cell r="E642">
            <v>0.58209588749265839</v>
          </cell>
          <cell r="F642">
            <v>0.59297091540963409</v>
          </cell>
          <cell r="G642">
            <v>0.73649939413913079</v>
          </cell>
          <cell r="H642">
            <v>0.98351797770068217</v>
          </cell>
          <cell r="I642">
            <v>1.2705522333238317</v>
          </cell>
        </row>
        <row r="643">
          <cell r="A643" t="str">
            <v>D-RHEM_SOLELC</v>
          </cell>
          <cell r="B643" t="str">
            <v>VAR_fout</v>
          </cell>
          <cell r="C643" t="str">
            <v>RHEM_ELC</v>
          </cell>
          <cell r="D643">
            <v>0.79890660633916311</v>
          </cell>
          <cell r="E643">
            <v>0.55333409446862825</v>
          </cell>
          <cell r="F643">
            <v>0.57684961304966242</v>
          </cell>
          <cell r="G643">
            <v>0.68608975572858621</v>
          </cell>
          <cell r="H643">
            <v>0.92832283023368656</v>
          </cell>
          <cell r="I643">
            <v>1.2988019270772713</v>
          </cell>
        </row>
        <row r="644">
          <cell r="A644" t="str">
            <v>D-RHEM_SOLELC</v>
          </cell>
          <cell r="B644" t="str">
            <v>VAR_fin</v>
          </cell>
          <cell r="C644" t="str">
            <v>RHEM_SOL_ELC</v>
          </cell>
          <cell r="D644">
            <v>0.86248322578584768</v>
          </cell>
          <cell r="E644">
            <v>1.1354299502711305</v>
          </cell>
          <cell r="F644">
            <v>1.1698204147465037</v>
          </cell>
          <cell r="G644">
            <v>1.4225889868745167</v>
          </cell>
          <cell r="H644">
            <v>1.9118406200141063</v>
          </cell>
          <cell r="I644">
            <v>2.5693539918445158</v>
          </cell>
        </row>
        <row r="645">
          <cell r="A645" t="str">
            <v>ITOT-SWHCONBR7</v>
          </cell>
          <cell r="B645" t="str">
            <v>VAR_fout</v>
          </cell>
          <cell r="C645" t="str">
            <v>ITOT-ELS</v>
          </cell>
          <cell r="E645">
            <v>0.23672765555113207</v>
          </cell>
          <cell r="F645">
            <v>0.23672823274177918</v>
          </cell>
          <cell r="G645">
            <v>0.23672706800473572</v>
          </cell>
          <cell r="H645">
            <v>5.667638510119017E-2</v>
          </cell>
          <cell r="I645">
            <v>2.9590949335409404</v>
          </cell>
        </row>
        <row r="646">
          <cell r="A646" t="str">
            <v>ITOT-SWHCONBR7</v>
          </cell>
          <cell r="B646" t="str">
            <v>VAR_fout</v>
          </cell>
          <cell r="C646" t="str">
            <v>ITOT-SWHC</v>
          </cell>
          <cell r="E646">
            <v>4.1280012532719158E-2</v>
          </cell>
          <cell r="F646">
            <v>4.1280113181868465E-2</v>
          </cell>
          <cell r="G646">
            <v>4.1279910077758573E-2</v>
          </cell>
          <cell r="H646">
            <v>9.8830949085329904E-3</v>
          </cell>
          <cell r="I646">
            <v>0.5160000239840653</v>
          </cell>
        </row>
        <row r="647">
          <cell r="A647" t="str">
            <v>ITOT-SWHCONBR7</v>
          </cell>
          <cell r="B647" t="str">
            <v>VAR_fin</v>
          </cell>
          <cell r="C647" t="str">
            <v>CON</v>
          </cell>
          <cell r="E647">
            <v>0.27800766808385136</v>
          </cell>
          <cell r="F647">
            <v>0.2780083459236477</v>
          </cell>
          <cell r="G647">
            <v>0.27800697808249397</v>
          </cell>
          <cell r="H647">
            <v>6.6559480009723199E-2</v>
          </cell>
          <cell r="I647">
            <v>3.475094957525005</v>
          </cell>
        </row>
        <row r="648">
          <cell r="A648" t="str">
            <v>ITOT-SWHCONBR7</v>
          </cell>
          <cell r="B648" t="str">
            <v>VAR_ncap</v>
          </cell>
          <cell r="C648" t="str">
            <v>-</v>
          </cell>
          <cell r="E648">
            <v>1.51188417922589E-2</v>
          </cell>
          <cell r="F648">
            <v>9.7736790301036002E-8</v>
          </cell>
          <cell r="H648">
            <v>3.61978145009217E-3</v>
          </cell>
          <cell r="I648">
            <v>0.18639490142087001</v>
          </cell>
        </row>
        <row r="649">
          <cell r="A649" t="str">
            <v>ITOT-SWHCONBR7</v>
          </cell>
          <cell r="B649" t="str">
            <v>VAR_cap</v>
          </cell>
          <cell r="C649" t="str">
            <v>-</v>
          </cell>
          <cell r="E649">
            <v>1.51188417922589E-2</v>
          </cell>
          <cell r="F649">
            <v>1.51189395290492E-2</v>
          </cell>
          <cell r="G649">
            <v>1.51189395290492E-2</v>
          </cell>
          <cell r="H649">
            <v>3.6197987614204402E-3</v>
          </cell>
          <cell r="I649">
            <v>0.189021898168306</v>
          </cell>
        </row>
        <row r="650">
          <cell r="A650" t="str">
            <v>RHNS-SHSTG-ELCHP</v>
          </cell>
          <cell r="B650" t="str">
            <v>VAR_fout</v>
          </cell>
          <cell r="C650" t="str">
            <v>RHNS-SHAELCH</v>
          </cell>
          <cell r="E650">
            <v>2.1919169090923368E-2</v>
          </cell>
          <cell r="F650">
            <v>6.470979562128E-2</v>
          </cell>
          <cell r="G650">
            <v>0.15018784697331364</v>
          </cell>
          <cell r="H650">
            <v>0.14933417152019007</v>
          </cell>
          <cell r="I650">
            <v>0.30329632044851423</v>
          </cell>
        </row>
        <row r="651">
          <cell r="A651" t="str">
            <v>RHNS-SHSTG-ELCHP</v>
          </cell>
          <cell r="B651" t="str">
            <v>VAR_fin</v>
          </cell>
          <cell r="C651" t="str">
            <v>RHNS-SHAELCH</v>
          </cell>
          <cell r="E651">
            <v>2.191989752921852E-2</v>
          </cell>
          <cell r="F651">
            <v>6.4712369728195607E-2</v>
          </cell>
          <cell r="G651">
            <v>0.15019415179562548</v>
          </cell>
          <cell r="H651">
            <v>0.14934033485017309</v>
          </cell>
          <cell r="I651">
            <v>0.30330748486165005</v>
          </cell>
        </row>
        <row r="652">
          <cell r="A652" t="str">
            <v>RHNS-SHSTG-ELCHP</v>
          </cell>
          <cell r="B652" t="str">
            <v>VAR_ncap</v>
          </cell>
          <cell r="C652" t="str">
            <v>-</v>
          </cell>
          <cell r="D652">
            <v>9.6408987166739294E-7</v>
          </cell>
          <cell r="E652">
            <v>1.81884295044732E-3</v>
          </cell>
          <cell r="F652">
            <v>4.3685332526169404E-3</v>
          </cell>
          <cell r="G652">
            <v>1.1120548274239301E-2</v>
          </cell>
          <cell r="H652">
            <v>1.37144345069135E-2</v>
          </cell>
          <cell r="I652">
            <v>2.2207997939288699E-2</v>
          </cell>
        </row>
        <row r="653">
          <cell r="A653" t="str">
            <v>RHNS-SHSTG-ELCHP</v>
          </cell>
          <cell r="B653" t="str">
            <v>VAR_cap</v>
          </cell>
          <cell r="C653" t="str">
            <v>-</v>
          </cell>
          <cell r="D653">
            <v>9.6408987166739294E-7</v>
          </cell>
          <cell r="E653">
            <v>1.8197172834601564E-3</v>
          </cell>
          <cell r="F653">
            <v>6.1880858297496989E-3</v>
          </cell>
          <cell r="G653">
            <v>1.7308431747829891E-2</v>
          </cell>
          <cell r="H653">
            <v>2.5569383656154247E-2</v>
          </cell>
          <cell r="I653">
            <v>3.3635387123133229E-2</v>
          </cell>
        </row>
        <row r="654">
          <cell r="A654" t="str">
            <v>RHNS-SHSOLBR</v>
          </cell>
          <cell r="B654" t="str">
            <v>VAR_fout</v>
          </cell>
          <cell r="C654" t="str">
            <v>RHNS-SHASOL</v>
          </cell>
          <cell r="E654">
            <v>1.3399614933747091E-2</v>
          </cell>
          <cell r="F654">
            <v>1.3399777357711567E-2</v>
          </cell>
          <cell r="G654">
            <v>1.339978711919986E-2</v>
          </cell>
          <cell r="H654">
            <v>1.3402106974127212E-2</v>
          </cell>
          <cell r="I654">
            <v>1.3402053612049282E-2</v>
          </cell>
        </row>
        <row r="655">
          <cell r="A655" t="str">
            <v>RHNS-SHSOLBR</v>
          </cell>
          <cell r="B655" t="str">
            <v>VAR_fin</v>
          </cell>
          <cell r="C655" t="str">
            <v>SOL</v>
          </cell>
          <cell r="E655">
            <v>1.3399614933747091E-2</v>
          </cell>
          <cell r="F655">
            <v>1.3399777357711567E-2</v>
          </cell>
          <cell r="G655">
            <v>1.339978711919986E-2</v>
          </cell>
          <cell r="H655">
            <v>1.3402106974127212E-2</v>
          </cell>
          <cell r="I655">
            <v>1.3402053612049282E-2</v>
          </cell>
        </row>
        <row r="656">
          <cell r="A656" t="str">
            <v>RHNS-SHSOLBR</v>
          </cell>
          <cell r="B656" t="str">
            <v>VAR_ncap</v>
          </cell>
          <cell r="C656" t="str">
            <v>-</v>
          </cell>
          <cell r="E656">
            <v>1.94601215667106E-3</v>
          </cell>
          <cell r="F656">
            <v>2.3588663625774298E-8</v>
          </cell>
          <cell r="H656">
            <v>9.9703176003914902E-4</v>
          </cell>
          <cell r="I656">
            <v>8.2122038238722995E-4</v>
          </cell>
        </row>
        <row r="657">
          <cell r="A657" t="str">
            <v>RHNS-SHSOLBR</v>
          </cell>
          <cell r="B657" t="str">
            <v>VAR_cap</v>
          </cell>
          <cell r="C657" t="str">
            <v>-</v>
          </cell>
          <cell r="E657">
            <v>1.94601215667106E-3</v>
          </cell>
          <cell r="F657">
            <v>1.9460357453346901E-3</v>
          </cell>
          <cell r="G657">
            <v>1.9460357453346901E-3</v>
          </cell>
          <cell r="H657">
            <v>1.9463778910048799E-3</v>
          </cell>
          <cell r="I657">
            <v>1.94636632338747E-3</v>
          </cell>
        </row>
        <row r="658">
          <cell r="A658" t="str">
            <v>RHES-SHPLTBR</v>
          </cell>
          <cell r="B658" t="str">
            <v>VAR_fout</v>
          </cell>
          <cell r="C658" t="str">
            <v>RHES-SHPLT</v>
          </cell>
          <cell r="D658">
            <v>1.2957558709187618</v>
          </cell>
          <cell r="E658">
            <v>1.4868835908131273</v>
          </cell>
          <cell r="F658">
            <v>1.4868836774950136</v>
          </cell>
          <cell r="G658">
            <v>1.4868836767147247</v>
          </cell>
          <cell r="H658">
            <v>1.4868836196194299</v>
          </cell>
          <cell r="I658">
            <v>1.4868836346018577</v>
          </cell>
        </row>
        <row r="659">
          <cell r="A659" t="str">
            <v>RHES-SHPLTBR</v>
          </cell>
          <cell r="B659" t="str">
            <v>VAR_fin</v>
          </cell>
          <cell r="C659" t="str">
            <v>RPLT</v>
          </cell>
          <cell r="D659">
            <v>1.4397287454652907</v>
          </cell>
          <cell r="E659">
            <v>1.6520928786812528</v>
          </cell>
          <cell r="F659">
            <v>1.6520929749944604</v>
          </cell>
          <cell r="G659">
            <v>1.6520929741274726</v>
          </cell>
          <cell r="H659">
            <v>1.6520929106882551</v>
          </cell>
          <cell r="I659">
            <v>1.652092927335397</v>
          </cell>
        </row>
        <row r="660">
          <cell r="A660" t="str">
            <v>RHES-SHPLTBR</v>
          </cell>
          <cell r="B660" t="str">
            <v>VAR_ncap</v>
          </cell>
          <cell r="C660" t="str">
            <v>-</v>
          </cell>
          <cell r="E660">
            <v>1.54411624639035E-2</v>
          </cell>
          <cell r="H660">
            <v>3.5268843721378902E-2</v>
          </cell>
          <cell r="I660">
            <v>5.8755267574560698E-2</v>
          </cell>
        </row>
        <row r="661">
          <cell r="A661" t="str">
            <v>RHES-SHPLTBR</v>
          </cell>
          <cell r="B661" t="str">
            <v>VAR_cap</v>
          </cell>
          <cell r="C661" t="str">
            <v>-</v>
          </cell>
          <cell r="D661">
            <v>0.104681131456585</v>
          </cell>
          <cell r="E661">
            <v>0.12012229392048851</v>
          </cell>
          <cell r="F661">
            <v>0.12012229392048851</v>
          </cell>
          <cell r="G661">
            <v>0.12012229392048851</v>
          </cell>
          <cell r="H661">
            <v>0.120332695715075</v>
          </cell>
          <cell r="I661">
            <v>0.120332604227499</v>
          </cell>
        </row>
        <row r="662">
          <cell r="A662" t="str">
            <v>RHES-SHCONBR6</v>
          </cell>
          <cell r="B662" t="str">
            <v>VAR_fout</v>
          </cell>
          <cell r="C662" t="str">
            <v>RHES-SHCON</v>
          </cell>
          <cell r="E662">
            <v>2.3707167097254468E-6</v>
          </cell>
          <cell r="F662">
            <v>2.3966511799139611E-6</v>
          </cell>
          <cell r="G662">
            <v>2.0001422143969689E-6</v>
          </cell>
          <cell r="H662">
            <v>1.9972315223155904E-6</v>
          </cell>
          <cell r="I662">
            <v>1.0860115849824284E-6</v>
          </cell>
        </row>
        <row r="663">
          <cell r="A663" t="str">
            <v>RHES-SHCONBR6</v>
          </cell>
          <cell r="B663" t="str">
            <v>VAR_fin</v>
          </cell>
          <cell r="C663" t="str">
            <v>CON</v>
          </cell>
          <cell r="E663">
            <v>2.3707167097254468E-6</v>
          </cell>
          <cell r="F663">
            <v>2.3966511799139611E-6</v>
          </cell>
          <cell r="G663">
            <v>2.0001422143969689E-6</v>
          </cell>
          <cell r="H663">
            <v>1.9972315223155904E-6</v>
          </cell>
          <cell r="I663">
            <v>1.0860115849824284E-6</v>
          </cell>
        </row>
        <row r="664">
          <cell r="A664" t="str">
            <v>RHES-SHCONBR6</v>
          </cell>
          <cell r="B664" t="str">
            <v>VAR_ncap</v>
          </cell>
          <cell r="C664" t="str">
            <v>-</v>
          </cell>
          <cell r="E664">
            <v>2.14627469407221E-7</v>
          </cell>
        </row>
        <row r="665">
          <cell r="A665" t="str">
            <v>RHES-SHCONBR6</v>
          </cell>
          <cell r="B665" t="str">
            <v>VAR_cap</v>
          </cell>
          <cell r="C665" t="str">
            <v>-</v>
          </cell>
          <cell r="E665">
            <v>2.14627469407221E-7</v>
          </cell>
          <cell r="F665">
            <v>2.14627469407221E-7</v>
          </cell>
          <cell r="G665">
            <v>2.14627469407221E-7</v>
          </cell>
          <cell r="H665">
            <v>2.14627469407221E-7</v>
          </cell>
          <cell r="I665">
            <v>1.2407636220044399E-7</v>
          </cell>
        </row>
        <row r="666">
          <cell r="A666" t="str">
            <v>RHSA-WHPLTBR</v>
          </cell>
          <cell r="B666" t="str">
            <v>VAR_fout</v>
          </cell>
          <cell r="C666" t="str">
            <v>RHSA-WHPLT</v>
          </cell>
          <cell r="D666">
            <v>0.16979124643980276</v>
          </cell>
          <cell r="E666">
            <v>0.19483590034792317</v>
          </cell>
          <cell r="F666">
            <v>0.12890697872443524</v>
          </cell>
          <cell r="G666">
            <v>0.13417387505845296</v>
          </cell>
          <cell r="H666">
            <v>0.13887505892616731</v>
          </cell>
          <cell r="I666">
            <v>0.14721062128115872</v>
          </cell>
        </row>
        <row r="667">
          <cell r="A667" t="str">
            <v>RHSA-WHPLTBR</v>
          </cell>
          <cell r="B667" t="str">
            <v>VAR_fin</v>
          </cell>
          <cell r="C667" t="str">
            <v>RPLT</v>
          </cell>
          <cell r="D667">
            <v>0.27166599430368443</v>
          </cell>
          <cell r="E667">
            <v>0.3117374405566769</v>
          </cell>
          <cell r="F667">
            <v>0.20625116595909651</v>
          </cell>
          <cell r="G667">
            <v>0.21467820009352453</v>
          </cell>
          <cell r="H667">
            <v>0.22220009428186771</v>
          </cell>
          <cell r="I667">
            <v>0.23553699404985404</v>
          </cell>
        </row>
        <row r="668">
          <cell r="A668" t="str">
            <v>RHSA-WHPLTBR</v>
          </cell>
          <cell r="B668" t="str">
            <v>VAR_ncap</v>
          </cell>
          <cell r="C668" t="str">
            <v>-</v>
          </cell>
          <cell r="E668">
            <v>1.9493742302767801E-3</v>
          </cell>
          <cell r="H668">
            <v>4.1469722859842203E-3</v>
          </cell>
          <cell r="I668">
            <v>4.7912866272820801E-3</v>
          </cell>
        </row>
        <row r="669">
          <cell r="A669" t="str">
            <v>RHSA-WHPLTBR</v>
          </cell>
          <cell r="B669" t="str">
            <v>VAR_cap</v>
          </cell>
          <cell r="C669" t="str">
            <v>-</v>
          </cell>
          <cell r="D669">
            <v>1.12410901121583E-2</v>
          </cell>
          <cell r="E669">
            <v>1.3190464342435081E-2</v>
          </cell>
          <cell r="F669">
            <v>1.3190384646628578E-2</v>
          </cell>
          <cell r="G669">
            <v>1.3190360189862384E-2</v>
          </cell>
          <cell r="H669">
            <v>9.4922078735229995E-3</v>
          </cell>
          <cell r="I669">
            <v>1.00618895015036E-2</v>
          </cell>
        </row>
        <row r="670">
          <cell r="A670" t="str">
            <v>ITOT-SWHCONBR8</v>
          </cell>
          <cell r="B670" t="str">
            <v>VAR_fout</v>
          </cell>
          <cell r="C670" t="str">
            <v>ITOT-ELS</v>
          </cell>
          <cell r="E670">
            <v>7.5302067750301377E-2</v>
          </cell>
          <cell r="F670">
            <v>7.5301707931109796E-2</v>
          </cell>
          <cell r="G670">
            <v>7.5301755448634475E-2</v>
          </cell>
          <cell r="H670">
            <v>1.8096754934018555E-6</v>
          </cell>
          <cell r="I670">
            <v>1.1682435517656541E-5</v>
          </cell>
        </row>
        <row r="671">
          <cell r="A671" t="str">
            <v>ITOT-SWHCONBR8</v>
          </cell>
          <cell r="B671" t="str">
            <v>VAR_fout</v>
          </cell>
          <cell r="C671" t="str">
            <v>ITOT-SWHC</v>
          </cell>
          <cell r="E671">
            <v>0.2907428448682578</v>
          </cell>
          <cell r="F671">
            <v>0.29074145559889863</v>
          </cell>
          <cell r="G671">
            <v>0.29074163906504707</v>
          </cell>
          <cell r="H671">
            <v>8.8968490028171485E-6</v>
          </cell>
          <cell r="I671">
            <v>4.5751360843421417E-5</v>
          </cell>
        </row>
        <row r="672">
          <cell r="A672" t="str">
            <v>ITOT-SWHCONBR8</v>
          </cell>
          <cell r="B672" t="str">
            <v>VAR_fin</v>
          </cell>
          <cell r="C672" t="str">
            <v>CON</v>
          </cell>
          <cell r="E672">
            <v>0.36604491261855904</v>
          </cell>
          <cell r="F672">
            <v>0.36604316353000854</v>
          </cell>
          <cell r="G672">
            <v>0.36604339451368167</v>
          </cell>
          <cell r="H672">
            <v>1.1673097012725052E-5</v>
          </cell>
          <cell r="I672">
            <v>5.7600911519245884E-5</v>
          </cell>
        </row>
        <row r="673">
          <cell r="A673" t="str">
            <v>ITOT-SWHCONBR8</v>
          </cell>
          <cell r="B673" t="str">
            <v>VAR_ncap</v>
          </cell>
          <cell r="C673" t="str">
            <v>-</v>
          </cell>
          <cell r="E673">
            <v>1.9906595083797898E-2</v>
          </cell>
          <cell r="H673">
            <v>6.28681318800901E-7</v>
          </cell>
          <cell r="I673">
            <v>2.6639204953250399E-6</v>
          </cell>
        </row>
        <row r="674">
          <cell r="A674" t="str">
            <v>ITOT-SWHCONBR8</v>
          </cell>
          <cell r="B674" t="str">
            <v>VAR_cap</v>
          </cell>
          <cell r="C674" t="str">
            <v>-</v>
          </cell>
          <cell r="E674">
            <v>1.9906595083797898E-2</v>
          </cell>
          <cell r="F674">
            <v>1.9906595083797898E-2</v>
          </cell>
          <cell r="G674">
            <v>1.9906595083797898E-2</v>
          </cell>
          <cell r="H674">
            <v>6.28681318800901E-7</v>
          </cell>
          <cell r="I674">
            <v>3.1201756042132598E-6</v>
          </cell>
        </row>
        <row r="675">
          <cell r="A675" t="str">
            <v>D-SCOM_KEV_HFC_ELC_CHP</v>
          </cell>
          <cell r="B675" t="str">
            <v>VAR_fout</v>
          </cell>
          <cell r="C675" t="str">
            <v>ELC5</v>
          </cell>
          <cell r="G675">
            <v>1.3896503654915344E-5</v>
          </cell>
          <cell r="H675">
            <v>2.1951506643297205E-5</v>
          </cell>
          <cell r="I675">
            <v>2.9781485360170432E-5</v>
          </cell>
        </row>
        <row r="676">
          <cell r="A676" t="str">
            <v>D-SCOM_KEV_HFC_ELC_CHP</v>
          </cell>
          <cell r="B676" t="str">
            <v>VAR_fout</v>
          </cell>
          <cell r="C676" t="str">
            <v>SCOM_ELC</v>
          </cell>
          <cell r="G676">
            <v>1.3897517611994146E-5</v>
          </cell>
          <cell r="H676">
            <v>2.1944036594245506E-5</v>
          </cell>
          <cell r="I676">
            <v>2.9760994758539135E-5</v>
          </cell>
        </row>
        <row r="677">
          <cell r="A677" t="str">
            <v>D-SCOM_KEV_HFC_ELC_CHP</v>
          </cell>
          <cell r="B677" t="str">
            <v>VAR_fin</v>
          </cell>
          <cell r="C677" t="str">
            <v>SCOM_KEV_HFC_ELC_CHP</v>
          </cell>
          <cell r="G677">
            <v>2.7829962450029068E-5</v>
          </cell>
          <cell r="H677">
            <v>4.4390313043686256E-5</v>
          </cell>
          <cell r="I677">
            <v>5.929611022743657E-5</v>
          </cell>
        </row>
        <row r="678">
          <cell r="A678" t="str">
            <v>D-EH2R</v>
          </cell>
          <cell r="B678" t="str">
            <v>VAR_fout</v>
          </cell>
          <cell r="C678" t="str">
            <v>EH2</v>
          </cell>
          <cell r="H678">
            <v>1.6349051214637209E-5</v>
          </cell>
          <cell r="I678">
            <v>3.4488460007511102E-4</v>
          </cell>
        </row>
        <row r="679">
          <cell r="A679" t="str">
            <v>D-EH2R</v>
          </cell>
          <cell r="B679" t="str">
            <v>VAR_fin</v>
          </cell>
          <cell r="C679" t="str">
            <v>H2</v>
          </cell>
          <cell r="H679">
            <v>1.6349051214637209E-5</v>
          </cell>
          <cell r="I679">
            <v>3.4488460007511102E-4</v>
          </cell>
        </row>
        <row r="680">
          <cell r="A680" t="str">
            <v>D-EH2R</v>
          </cell>
          <cell r="B680" t="str">
            <v>VAR_ncap</v>
          </cell>
          <cell r="C680" t="str">
            <v>-</v>
          </cell>
          <cell r="H680">
            <v>4.2648120905558398E-6</v>
          </cell>
          <cell r="I680">
            <v>1.9304896371833699E-5</v>
          </cell>
        </row>
        <row r="681">
          <cell r="A681" t="str">
            <v>D-EH2R</v>
          </cell>
          <cell r="B681" t="str">
            <v>VAR_cap</v>
          </cell>
          <cell r="C681" t="str">
            <v>-</v>
          </cell>
          <cell r="H681">
            <v>4.2676065472538301E-6</v>
          </cell>
          <cell r="I681">
            <v>2.07656851262212E-5</v>
          </cell>
        </row>
        <row r="682">
          <cell r="A682" t="str">
            <v>SCOM-ELCSPECADV</v>
          </cell>
          <cell r="B682" t="str">
            <v>VAR_fout</v>
          </cell>
          <cell r="C682" t="str">
            <v>SCOM-ELS</v>
          </cell>
          <cell r="G682">
            <v>3.5531321256863219E-6</v>
          </cell>
          <cell r="H682">
            <v>9.0545246014386479E-6</v>
          </cell>
          <cell r="I682">
            <v>7.1842184609498342E-6</v>
          </cell>
        </row>
        <row r="683">
          <cell r="A683" t="str">
            <v>SCOM-ELCSPECADV</v>
          </cell>
          <cell r="B683" t="str">
            <v>VAR_fin</v>
          </cell>
          <cell r="C683" t="str">
            <v>SCOM_ELC</v>
          </cell>
          <cell r="G683">
            <v>3.0593523954539915E-6</v>
          </cell>
          <cell r="H683">
            <v>7.4169129660177749E-6</v>
          </cell>
          <cell r="I683">
            <v>5.5985613578945383E-6</v>
          </cell>
        </row>
        <row r="684">
          <cell r="A684" t="str">
            <v>SCOM-ELCSPECADV</v>
          </cell>
          <cell r="B684" t="str">
            <v>VAR_ncap</v>
          </cell>
          <cell r="C684" t="str">
            <v>-</v>
          </cell>
          <cell r="G684">
            <v>4.6945605028820999E-7</v>
          </cell>
          <cell r="H684">
            <v>2.27961142930663E-8</v>
          </cell>
          <cell r="I684">
            <v>1.2320750964560901E-8</v>
          </cell>
        </row>
        <row r="685">
          <cell r="A685" t="str">
            <v>SCOM-ELCSPECADV</v>
          </cell>
          <cell r="B685" t="str">
            <v>VAR_cap</v>
          </cell>
          <cell r="C685" t="str">
            <v>-</v>
          </cell>
          <cell r="G685">
            <v>4.6945605028820999E-7</v>
          </cell>
          <cell r="H685">
            <v>9.5492786675719497E-7</v>
          </cell>
          <cell r="I685">
            <v>8.0426689932187301E-7</v>
          </cell>
        </row>
        <row r="686">
          <cell r="A686" t="str">
            <v>RHSA-WHLTHRD</v>
          </cell>
          <cell r="B686" t="str">
            <v>VAR_fout</v>
          </cell>
          <cell r="C686" t="str">
            <v>RHSA-WHLTHRD</v>
          </cell>
          <cell r="D686">
            <v>1.3170384735167562</v>
          </cell>
          <cell r="E686">
            <v>1.4633755763240128</v>
          </cell>
          <cell r="F686">
            <v>1.2933445319793113</v>
          </cell>
          <cell r="G686">
            <v>1.4724207349019276</v>
          </cell>
          <cell r="H686">
            <v>1.3560214130706405</v>
          </cell>
          <cell r="I686">
            <v>1.4101187437644984</v>
          </cell>
        </row>
        <row r="687">
          <cell r="A687" t="str">
            <v>RHSA-WHLTHRD</v>
          </cell>
          <cell r="B687" t="str">
            <v>VAR_fin</v>
          </cell>
          <cell r="C687" t="str">
            <v>RHSA_LTH</v>
          </cell>
          <cell r="D687">
            <v>1.7104395759957891</v>
          </cell>
          <cell r="E687">
            <v>1.8955642180362857</v>
          </cell>
          <cell r="F687">
            <v>1.6688316541668533</v>
          </cell>
          <cell r="G687">
            <v>1.8877188908999083</v>
          </cell>
          <cell r="H687">
            <v>1.7164828013552389</v>
          </cell>
          <cell r="I687">
            <v>1.7849604351449346</v>
          </cell>
        </row>
        <row r="688">
          <cell r="A688" t="str">
            <v>RHSA-WHLTHRD</v>
          </cell>
          <cell r="B688" t="str">
            <v>VAR_ncap</v>
          </cell>
          <cell r="C688" t="str">
            <v>-</v>
          </cell>
          <cell r="E688">
            <v>8.1901177204566895E-4</v>
          </cell>
          <cell r="F688">
            <v>6.2030608033836797E-3</v>
          </cell>
          <cell r="G688">
            <v>5.2984996907558396E-3</v>
          </cell>
          <cell r="H688">
            <v>4.7013733055921702E-4</v>
          </cell>
          <cell r="I688">
            <v>5.3640894534123497E-2</v>
          </cell>
        </row>
        <row r="689">
          <cell r="A689" t="str">
            <v>RHSA-WHLTHRD</v>
          </cell>
          <cell r="B689" t="str">
            <v>VAR_cap</v>
          </cell>
          <cell r="C689" t="str">
            <v>-</v>
          </cell>
          <cell r="D689">
            <v>0.13737412127568699</v>
          </cell>
          <cell r="E689">
            <v>0.12444668087682975</v>
          </cell>
          <cell r="F689">
            <v>0.13024061832960696</v>
          </cell>
          <cell r="G689">
            <v>0.13497315087795719</v>
          </cell>
          <cell r="H689">
            <v>0.11984031042901888</v>
          </cell>
          <cell r="I689">
            <v>0.17251713032849861</v>
          </cell>
        </row>
        <row r="690">
          <cell r="A690" t="str">
            <v>RHES-SHCONBR7</v>
          </cell>
          <cell r="B690" t="str">
            <v>VAR_fout</v>
          </cell>
          <cell r="C690" t="str">
            <v>RHES-SHCON</v>
          </cell>
          <cell r="E690">
            <v>2.2238987553969758E-6</v>
          </cell>
          <cell r="F690">
            <v>2.2479428276325017E-6</v>
          </cell>
          <cell r="G690">
            <v>1.8059746790590199E-6</v>
          </cell>
          <cell r="H690">
            <v>1.8032484417219978E-6</v>
          </cell>
          <cell r="I690">
            <v>1.0042129402746851E-6</v>
          </cell>
        </row>
        <row r="691">
          <cell r="A691" t="str">
            <v>RHES-SHCONBR7</v>
          </cell>
          <cell r="B691" t="str">
            <v>VAR_fin</v>
          </cell>
          <cell r="C691" t="str">
            <v>CON</v>
          </cell>
          <cell r="E691">
            <v>2.2238987553969758E-6</v>
          </cell>
          <cell r="F691">
            <v>2.2479428276325017E-6</v>
          </cell>
          <cell r="G691">
            <v>1.8059746790590199E-6</v>
          </cell>
          <cell r="H691">
            <v>1.8032484417219978E-6</v>
          </cell>
          <cell r="I691">
            <v>1.0042129402746851E-6</v>
          </cell>
        </row>
        <row r="692">
          <cell r="A692" t="str">
            <v>RHES-SHCONBR7</v>
          </cell>
          <cell r="B692" t="str">
            <v>VAR_ncap</v>
          </cell>
          <cell r="C692" t="str">
            <v>-</v>
          </cell>
          <cell r="E692">
            <v>1.9886106171002E-7</v>
          </cell>
        </row>
        <row r="693">
          <cell r="A693" t="str">
            <v>RHES-SHCONBR7</v>
          </cell>
          <cell r="B693" t="str">
            <v>VAR_cap</v>
          </cell>
          <cell r="C693" t="str">
            <v>-</v>
          </cell>
          <cell r="E693">
            <v>1.9886106171002E-7</v>
          </cell>
          <cell r="F693">
            <v>1.9886106171002E-7</v>
          </cell>
          <cell r="G693">
            <v>1.9886106171002E-7</v>
          </cell>
          <cell r="H693">
            <v>1.9886106171002E-7</v>
          </cell>
          <cell r="I693">
            <v>1.14961785592703E-7</v>
          </cell>
        </row>
        <row r="694">
          <cell r="A694" t="str">
            <v>ITOT-SWHCONBR9</v>
          </cell>
          <cell r="B694" t="str">
            <v>VAR_fout</v>
          </cell>
          <cell r="C694" t="str">
            <v>ITOT-SWHC</v>
          </cell>
          <cell r="E694">
            <v>2.3255419638533542E-6</v>
          </cell>
          <cell r="F694">
            <v>2.1875990811062929E-6</v>
          </cell>
          <cell r="G694">
            <v>2.1854904000174006E-6</v>
          </cell>
          <cell r="H694">
            <v>1.9302275719464106E-6</v>
          </cell>
          <cell r="I694">
            <v>1.4199310494336693E-6</v>
          </cell>
        </row>
        <row r="695">
          <cell r="A695" t="str">
            <v>ITOT-SWHCONBR9</v>
          </cell>
          <cell r="B695" t="str">
            <v>VAR_fin</v>
          </cell>
          <cell r="C695" t="str">
            <v>CON</v>
          </cell>
          <cell r="E695">
            <v>2.7262215559813408E-6</v>
          </cell>
          <cell r="F695">
            <v>2.5645117841154677E-6</v>
          </cell>
          <cell r="G695">
            <v>2.562039787510554E-6</v>
          </cell>
          <cell r="H695">
            <v>2.2627964132156404E-6</v>
          </cell>
          <cell r="I695">
            <v>1.6760575598325544E-6</v>
          </cell>
        </row>
        <row r="696">
          <cell r="A696" t="str">
            <v>ITOT-SWHCONBR9</v>
          </cell>
          <cell r="B696" t="str">
            <v>VAR_ncap</v>
          </cell>
          <cell r="C696" t="str">
            <v>-</v>
          </cell>
          <cell r="E696">
            <v>1.78588823541489E-7</v>
          </cell>
          <cell r="H696">
            <v>4.1615714454825599E-8</v>
          </cell>
          <cell r="I696">
            <v>3.6993813449535602E-8</v>
          </cell>
        </row>
        <row r="697">
          <cell r="A697" t="str">
            <v>ITOT-SWHCONBR9</v>
          </cell>
          <cell r="B697" t="str">
            <v>VAR_cap</v>
          </cell>
          <cell r="C697" t="str">
            <v>-</v>
          </cell>
          <cell r="E697">
            <v>1.78588823541489E-7</v>
          </cell>
          <cell r="F697">
            <v>1.78588823541489E-7</v>
          </cell>
          <cell r="G697">
            <v>1.78588823541489E-7</v>
          </cell>
          <cell r="H697">
            <v>1.5652778003136701E-7</v>
          </cell>
          <cell r="I697">
            <v>1.1580292166314E-7</v>
          </cell>
        </row>
        <row r="698">
          <cell r="A698" t="str">
            <v>SCOM-SHPLTBR</v>
          </cell>
          <cell r="B698" t="str">
            <v>VAR_fout</v>
          </cell>
          <cell r="C698" t="str">
            <v>SCOM-SHPLT</v>
          </cell>
          <cell r="D698">
            <v>1.877069786533383</v>
          </cell>
          <cell r="E698">
            <v>2.1600816666130362</v>
          </cell>
          <cell r="F698">
            <v>2.1602907413224881</v>
          </cell>
          <cell r="G698">
            <v>2.2260572305988631</v>
          </cell>
          <cell r="H698">
            <v>2.7653017782032632</v>
          </cell>
          <cell r="I698">
            <v>2.2269858045376161</v>
          </cell>
        </row>
        <row r="699">
          <cell r="A699" t="str">
            <v>SCOM-SHPLTBR</v>
          </cell>
          <cell r="B699" t="str">
            <v>VAR_fin</v>
          </cell>
          <cell r="C699" t="str">
            <v>SCOMPLTBRC</v>
          </cell>
          <cell r="D699">
            <v>1.877069786533383</v>
          </cell>
          <cell r="E699">
            <v>2.1600816666130362</v>
          </cell>
          <cell r="F699">
            <v>2.1602907413224881</v>
          </cell>
          <cell r="G699">
            <v>2.2260572305988631</v>
          </cell>
          <cell r="H699">
            <v>2.7653017782032632</v>
          </cell>
          <cell r="I699">
            <v>2.2269858045376161</v>
          </cell>
        </row>
        <row r="700">
          <cell r="A700" t="str">
            <v>SCOM-SHPLTBR</v>
          </cell>
          <cell r="B700" t="str">
            <v>VAR_fin</v>
          </cell>
          <cell r="C700" t="str">
            <v>SPLT</v>
          </cell>
          <cell r="D700">
            <v>2.0856330961482024</v>
          </cell>
          <cell r="E700">
            <v>2.4000907406811502</v>
          </cell>
          <cell r="F700">
            <v>2.4003230459138751</v>
          </cell>
          <cell r="G700">
            <v>2.4733969228876256</v>
          </cell>
          <cell r="H700">
            <v>3.0725575313369591</v>
          </cell>
          <cell r="I700">
            <v>2.4744286717084605</v>
          </cell>
        </row>
        <row r="701">
          <cell r="A701" t="str">
            <v>SCOM-SHPLTBR</v>
          </cell>
          <cell r="B701" t="str">
            <v>VAR_ncap</v>
          </cell>
          <cell r="C701" t="str">
            <v>-</v>
          </cell>
          <cell r="D701">
            <v>1.1996036492121E-7</v>
          </cell>
          <cell r="E701">
            <v>2.1928913800563901E-2</v>
          </cell>
          <cell r="F701">
            <v>1.8865005288617899E-8</v>
          </cell>
          <cell r="G701">
            <v>5.7184113349773502E-3</v>
          </cell>
          <cell r="H701">
            <v>8.3354521211748897E-2</v>
          </cell>
          <cell r="I701">
            <v>7.0972485565820906E-2</v>
          </cell>
        </row>
        <row r="702">
          <cell r="A702" t="str">
            <v>SCOM-SHPLTBR</v>
          </cell>
          <cell r="B702" t="str">
            <v>VAR_cap</v>
          </cell>
          <cell r="C702" t="str">
            <v>-</v>
          </cell>
          <cell r="D702">
            <v>0.15051098808455893</v>
          </cell>
          <cell r="E702">
            <v>0.1724399018851229</v>
          </cell>
          <cell r="F702">
            <v>0.17243992075012821</v>
          </cell>
          <cell r="G702">
            <v>0.17815833208510551</v>
          </cell>
          <cell r="H702">
            <v>0.22741881853183213</v>
          </cell>
          <cell r="I702">
            <v>0.19075203207825725</v>
          </cell>
        </row>
        <row r="703">
          <cell r="A703" t="str">
            <v>ITOT-SWHELCHP</v>
          </cell>
          <cell r="B703" t="str">
            <v>VAR_fout</v>
          </cell>
          <cell r="C703" t="str">
            <v>ITOT-SWHAELCH</v>
          </cell>
          <cell r="D703">
            <v>1.1081289563470369</v>
          </cell>
          <cell r="E703">
            <v>1.400790076925801</v>
          </cell>
          <cell r="F703">
            <v>2.5226108923294435</v>
          </cell>
          <cell r="G703">
            <v>5.0162384940838649</v>
          </cell>
          <cell r="H703">
            <v>6.1647666301991491</v>
          </cell>
          <cell r="I703">
            <v>7.2488392145344669</v>
          </cell>
        </row>
        <row r="704">
          <cell r="A704" t="str">
            <v>ITOT-SWHELCHP</v>
          </cell>
          <cell r="B704" t="str">
            <v>VAR_fin</v>
          </cell>
          <cell r="C704" t="str">
            <v>ITOT_ELC</v>
          </cell>
          <cell r="D704">
            <v>0.35966766768921798</v>
          </cell>
          <cell r="E704">
            <v>0.45106204227663799</v>
          </cell>
          <cell r="F704">
            <v>0.80277247642223926</v>
          </cell>
          <cell r="G704">
            <v>1.565731537130588</v>
          </cell>
          <cell r="H704">
            <v>1.8531995077871197</v>
          </cell>
          <cell r="I704">
            <v>2.1015150825947262</v>
          </cell>
        </row>
        <row r="705">
          <cell r="A705" t="str">
            <v>ITOT-SWHELCHP</v>
          </cell>
          <cell r="B705" t="str">
            <v>VAR_fin</v>
          </cell>
          <cell r="C705" t="str">
            <v>ITOTELCHPC</v>
          </cell>
          <cell r="D705">
            <v>1.1081289563470369</v>
          </cell>
          <cell r="E705">
            <v>1.400790076925801</v>
          </cell>
          <cell r="F705">
            <v>2.5226108923294435</v>
          </cell>
          <cell r="G705">
            <v>5.0162384940838649</v>
          </cell>
          <cell r="H705">
            <v>6.1647666301991491</v>
          </cell>
          <cell r="I705">
            <v>7.2488392145344669</v>
          </cell>
        </row>
        <row r="706">
          <cell r="A706" t="str">
            <v>ITOT-SWHELCHP</v>
          </cell>
          <cell r="B706" t="str">
            <v>VAR_ncap</v>
          </cell>
          <cell r="C706" t="str">
            <v>-</v>
          </cell>
          <cell r="E706">
            <v>1.5918089401003799E-2</v>
          </cell>
          <cell r="F706">
            <v>6.1008048229816501E-2</v>
          </cell>
          <cell r="G706">
            <v>0.13560890957702301</v>
          </cell>
          <cell r="H706">
            <v>0.12018945183068901</v>
          </cell>
          <cell r="I706">
            <v>0.26213448369368297</v>
          </cell>
        </row>
        <row r="707">
          <cell r="A707" t="str">
            <v>ITOT-SWHELCHP</v>
          </cell>
          <cell r="B707" t="str">
            <v>VAR_cap</v>
          </cell>
          <cell r="C707" t="str">
            <v>-</v>
          </cell>
          <cell r="D707">
            <v>6.02631234918991E-2</v>
          </cell>
          <cell r="E707">
            <v>7.6181212892902903E-2</v>
          </cell>
          <cell r="F707">
            <v>0.13718926112271929</v>
          </cell>
          <cell r="G707">
            <v>0.27279816021542452</v>
          </cell>
          <cell r="H707">
            <v>0.33861567049922836</v>
          </cell>
          <cell r="I707">
            <v>0.39800494869596609</v>
          </cell>
        </row>
        <row r="708">
          <cell r="A708" t="str">
            <v>RHEM-SHWODBR</v>
          </cell>
          <cell r="B708" t="str">
            <v>VAR_fout</v>
          </cell>
          <cell r="C708" t="str">
            <v>RHEM-SHWOD</v>
          </cell>
          <cell r="D708">
            <v>4.7439181186354853</v>
          </cell>
          <cell r="E708">
            <v>4.5400388851647131</v>
          </cell>
          <cell r="F708">
            <v>3.9366228075109975</v>
          </cell>
          <cell r="G708">
            <v>3.8938660843936082</v>
          </cell>
          <cell r="H708">
            <v>3.8097406080288274</v>
          </cell>
          <cell r="I708">
            <v>2.5101927297985971</v>
          </cell>
        </row>
        <row r="709">
          <cell r="A709" t="str">
            <v>RHEM-SHWODBR</v>
          </cell>
          <cell r="B709" t="str">
            <v>VAR_fin</v>
          </cell>
          <cell r="C709" t="str">
            <v>RHEMWODBRC</v>
          </cell>
          <cell r="D709">
            <v>4.7439181186354853</v>
          </cell>
          <cell r="E709">
            <v>4.5400388851647131</v>
          </cell>
          <cell r="F709">
            <v>3.9366228075109975</v>
          </cell>
          <cell r="G709">
            <v>3.8938660843936082</v>
          </cell>
          <cell r="H709">
            <v>3.8097406080288274</v>
          </cell>
          <cell r="I709">
            <v>2.5101927297985971</v>
          </cell>
        </row>
        <row r="710">
          <cell r="A710" t="str">
            <v>RHEM-SHWODBR</v>
          </cell>
          <cell r="B710" t="str">
            <v>VAR_fin</v>
          </cell>
          <cell r="C710" t="str">
            <v>RWOD</v>
          </cell>
          <cell r="D710">
            <v>6.5887751647715005</v>
          </cell>
          <cell r="E710">
            <v>6.3056095627287707</v>
          </cell>
          <cell r="F710">
            <v>5.4675316770986129</v>
          </cell>
          <cell r="G710">
            <v>5.4081473394355672</v>
          </cell>
          <cell r="H710">
            <v>5.2913064000400363</v>
          </cell>
          <cell r="I710">
            <v>3.4863787913869415</v>
          </cell>
        </row>
        <row r="711">
          <cell r="A711" t="str">
            <v>RHEM-SHWODBR</v>
          </cell>
          <cell r="B711" t="str">
            <v>VAR_ncap</v>
          </cell>
          <cell r="C711" t="str">
            <v>-</v>
          </cell>
          <cell r="H711">
            <v>8.3936231601674294E-2</v>
          </cell>
          <cell r="I711">
            <v>3.8332333115125301E-2</v>
          </cell>
        </row>
        <row r="712">
          <cell r="A712" t="str">
            <v>RHEM-SHWODBR</v>
          </cell>
          <cell r="B712" t="str">
            <v>VAR_cap</v>
          </cell>
          <cell r="C712" t="str">
            <v>-</v>
          </cell>
          <cell r="D712">
            <v>0.33507177895499302</v>
          </cell>
          <cell r="E712">
            <v>0.3350717394213093</v>
          </cell>
          <cell r="F712">
            <v>0.33507170329301228</v>
          </cell>
          <cell r="G712">
            <v>0.33507169419387278</v>
          </cell>
          <cell r="H712">
            <v>0.26950034880855556</v>
          </cell>
          <cell r="I712">
            <v>0.17774030015360101</v>
          </cell>
        </row>
        <row r="713">
          <cell r="A713" t="str">
            <v>D-RHNS_LTH_CHPNGA</v>
          </cell>
          <cell r="B713" t="str">
            <v>VAR_fout</v>
          </cell>
          <cell r="C713" t="str">
            <v>RHSA_LTH</v>
          </cell>
          <cell r="E713">
            <v>1.8441129154059964E-6</v>
          </cell>
          <cell r="F713">
            <v>1.636476123361758E-6</v>
          </cell>
          <cell r="G713">
            <v>1.980806996657271E-6</v>
          </cell>
          <cell r="H713">
            <v>5.0255031404737112E-6</v>
          </cell>
          <cell r="I713">
            <v>1.184795257634778E-7</v>
          </cell>
        </row>
        <row r="714">
          <cell r="A714" t="str">
            <v>D-RHNS_LTH_CHPNGA</v>
          </cell>
          <cell r="B714" t="str">
            <v>VAR_fout</v>
          </cell>
          <cell r="C714" t="str">
            <v>LTH</v>
          </cell>
          <cell r="H714">
            <v>1.1496970751857021E-7</v>
          </cell>
        </row>
        <row r="715">
          <cell r="A715" t="str">
            <v>D-RHNS_LTH_CHPNGA</v>
          </cell>
          <cell r="B715" t="str">
            <v>VAR_fout</v>
          </cell>
          <cell r="C715" t="str">
            <v>RHNS_LTH_CHPNGA_ON</v>
          </cell>
          <cell r="E715">
            <v>8.6793372353151637E-4</v>
          </cell>
          <cell r="F715">
            <v>8.7601720482573069E-4</v>
          </cell>
          <cell r="G715">
            <v>8.5191609489573632E-4</v>
          </cell>
          <cell r="H715">
            <v>4.4784823549008168E-4</v>
          </cell>
          <cell r="I715">
            <v>2.6707098750998105E-5</v>
          </cell>
        </row>
        <row r="716">
          <cell r="A716" t="str">
            <v>D-RHNS_LTH_CHPNGA</v>
          </cell>
          <cell r="B716" t="str">
            <v>VAR_fin</v>
          </cell>
          <cell r="C716" t="str">
            <v>RHNS_LTH_CHPNGA</v>
          </cell>
          <cell r="E716">
            <v>8.6984365136312275E-4</v>
          </cell>
          <cell r="F716">
            <v>8.7795617350518846E-4</v>
          </cell>
          <cell r="G716">
            <v>8.5459838509047755E-4</v>
          </cell>
          <cell r="H716">
            <v>4.5372687845612343E-4</v>
          </cell>
          <cell r="I716">
            <v>2.6948294804651441E-5</v>
          </cell>
        </row>
        <row r="717">
          <cell r="A717" t="str">
            <v>D-SLFO</v>
          </cell>
          <cell r="B717" t="str">
            <v>VAR_fout</v>
          </cell>
          <cell r="C717" t="str">
            <v>CO2</v>
          </cell>
          <cell r="D717">
            <v>2267.7886207963902</v>
          </cell>
          <cell r="E717">
            <v>1816.7874292189599</v>
          </cell>
          <cell r="F717">
            <v>2001.6798293490399</v>
          </cell>
          <cell r="G717">
            <v>1462.84780444999</v>
          </cell>
          <cell r="H717">
            <v>636.86916967478396</v>
          </cell>
          <cell r="I717">
            <v>3.8781890345629599E-3</v>
          </cell>
        </row>
        <row r="718">
          <cell r="A718" t="str">
            <v>D-SLFO</v>
          </cell>
          <cell r="B718" t="str">
            <v>VAR_fout</v>
          </cell>
          <cell r="C718" t="str">
            <v>SLFO</v>
          </cell>
          <cell r="D718">
            <v>30.256633757919012</v>
          </cell>
          <cell r="E718">
            <v>24.239416036299403</v>
          </cell>
          <cell r="F718">
            <v>26.70623769544142</v>
          </cell>
          <cell r="G718">
            <v>19.517195990937967</v>
          </cell>
          <cell r="H718">
            <v>8.4970603886646945</v>
          </cell>
          <cell r="I718">
            <v>0.87202123578615987</v>
          </cell>
        </row>
        <row r="719">
          <cell r="A719" t="str">
            <v>D-SLFO</v>
          </cell>
          <cell r="B719" t="str">
            <v>VAR_fin</v>
          </cell>
          <cell r="C719" t="str">
            <v>LFO</v>
          </cell>
          <cell r="D719">
            <v>30.770537595609031</v>
          </cell>
          <cell r="E719">
            <v>24.651118442591006</v>
          </cell>
          <cell r="F719">
            <v>27.159834862266461</v>
          </cell>
          <cell r="G719">
            <v>19.848681200135601</v>
          </cell>
          <cell r="H719">
            <v>8.6413727228600337</v>
          </cell>
          <cell r="I719">
            <v>5.2621289478466185E-5</v>
          </cell>
        </row>
        <row r="720">
          <cell r="A720" t="str">
            <v>D-SLFO</v>
          </cell>
          <cell r="B720" t="str">
            <v>VAR_fin</v>
          </cell>
          <cell r="C720" t="str">
            <v>BDS</v>
          </cell>
          <cell r="F720">
            <v>4.1660260409868468E-6</v>
          </cell>
          <cell r="G720">
            <v>1.197479432192327E-5</v>
          </cell>
          <cell r="H720">
            <v>9.5551302657041658E-6</v>
          </cell>
          <cell r="I720">
            <v>0.88678013656778554</v>
          </cell>
        </row>
        <row r="721">
          <cell r="A721" t="str">
            <v>D-RCOA</v>
          </cell>
          <cell r="B721" t="str">
            <v>VAR_fout</v>
          </cell>
          <cell r="C721" t="str">
            <v>CO2</v>
          </cell>
          <cell r="D721">
            <v>9.2700016258185407</v>
          </cell>
          <cell r="E721">
            <v>9.2700004548739798</v>
          </cell>
          <cell r="F721">
            <v>2.69349243886447E-3</v>
          </cell>
          <cell r="G721">
            <v>1.4335998575195799E-3</v>
          </cell>
        </row>
        <row r="722">
          <cell r="A722" t="str">
            <v>D-RCOA</v>
          </cell>
          <cell r="B722" t="str">
            <v>VAR_fout</v>
          </cell>
          <cell r="C722" t="str">
            <v>RCOA</v>
          </cell>
          <cell r="D722">
            <v>0.10000001753849549</v>
          </cell>
          <cell r="E722">
            <v>0.10000000490694694</v>
          </cell>
          <cell r="F722">
            <v>2.9056013364233708E-5</v>
          </cell>
          <cell r="G722">
            <v>1.5464939131818579E-5</v>
          </cell>
        </row>
        <row r="723">
          <cell r="A723" t="str">
            <v>D-RCOA</v>
          </cell>
          <cell r="B723" t="str">
            <v>VAR_fin</v>
          </cell>
          <cell r="C723" t="str">
            <v>COA</v>
          </cell>
          <cell r="D723">
            <v>0.10000001753849549</v>
          </cell>
          <cell r="E723">
            <v>0.10000000490694694</v>
          </cell>
          <cell r="F723">
            <v>2.9056013364233708E-5</v>
          </cell>
          <cell r="G723">
            <v>1.5464939131818579E-5</v>
          </cell>
        </row>
        <row r="724">
          <cell r="A724" t="str">
            <v>RHES-SHSTG-SOL</v>
          </cell>
          <cell r="B724" t="str">
            <v>VAR_fout</v>
          </cell>
          <cell r="C724" t="str">
            <v>RHES-SHASOL</v>
          </cell>
          <cell r="D724">
            <v>3.8383288817066487E-7</v>
          </cell>
          <cell r="F724">
            <v>5.9287446641117646E-2</v>
          </cell>
          <cell r="G724">
            <v>3.0374618043510025E-2</v>
          </cell>
          <cell r="H724">
            <v>7.0232444737418964E-2</v>
          </cell>
          <cell r="I724">
            <v>6.6243977174796534E-2</v>
          </cell>
        </row>
        <row r="725">
          <cell r="A725" t="str">
            <v>RHES-SHSTG-SOL</v>
          </cell>
          <cell r="B725" t="str">
            <v>VAR_fin</v>
          </cell>
          <cell r="C725" t="str">
            <v>RHES-SHASOL</v>
          </cell>
          <cell r="D725">
            <v>1.8434076887299599E-7</v>
          </cell>
          <cell r="F725">
            <v>5.9290680640196804E-2</v>
          </cell>
          <cell r="G725">
            <v>3.0376062208167007E-2</v>
          </cell>
          <cell r="H725">
            <v>7.0238182670349134E-2</v>
          </cell>
          <cell r="I725">
            <v>6.6249281868979243E-2</v>
          </cell>
        </row>
        <row r="726">
          <cell r="A726" t="str">
            <v>RHES-SHSTG-SOL</v>
          </cell>
          <cell r="B726" t="str">
            <v>VAR_ncap</v>
          </cell>
          <cell r="C726" t="str">
            <v>-</v>
          </cell>
          <cell r="D726">
            <v>1.0006436799947599E-4</v>
          </cell>
          <cell r="E726">
            <v>1.10602000357588E-2</v>
          </cell>
          <cell r="H726">
            <v>5.3473932833202203E-3</v>
          </cell>
          <cell r="I726">
            <v>3.74649315549642E-3</v>
          </cell>
        </row>
        <row r="727">
          <cell r="A727" t="str">
            <v>RHES-SHSTG-SOL</v>
          </cell>
          <cell r="B727" t="str">
            <v>VAR_cap</v>
          </cell>
          <cell r="C727" t="str">
            <v>-</v>
          </cell>
          <cell r="D727">
            <v>1.0006436799947599E-4</v>
          </cell>
          <cell r="E727">
            <v>1.11602644037582E-2</v>
          </cell>
          <cell r="F727">
            <v>1.11602644037582E-2</v>
          </cell>
          <cell r="G727">
            <v>1.11602644037582E-2</v>
          </cell>
          <cell r="H727">
            <v>1.04503619440658E-2</v>
          </cell>
          <cell r="I727">
            <v>9.7858041760181605E-3</v>
          </cell>
        </row>
        <row r="728">
          <cell r="A728" t="str">
            <v>D-ITOT_LTH</v>
          </cell>
          <cell r="B728" t="str">
            <v>VAR_fout</v>
          </cell>
          <cell r="C728" t="str">
            <v>ITOT_LTH_DH</v>
          </cell>
          <cell r="D728">
            <v>7.120000426938879</v>
          </cell>
          <cell r="E728">
            <v>7.6289058815658795</v>
          </cell>
          <cell r="F728">
            <v>7.3111242850993632</v>
          </cell>
          <cell r="G728">
            <v>8.2190659196386076</v>
          </cell>
          <cell r="H728">
            <v>9.615350101523866</v>
          </cell>
          <cell r="I728">
            <v>12.526470838008533</v>
          </cell>
        </row>
        <row r="729">
          <cell r="A729" t="str">
            <v>D-ITOT_LTH</v>
          </cell>
          <cell r="B729" t="str">
            <v>VAR_fin</v>
          </cell>
          <cell r="C729" t="str">
            <v>LTH</v>
          </cell>
          <cell r="D729">
            <v>7.7403361546790235</v>
          </cell>
          <cell r="E729">
            <v>8.2914007505805465</v>
          </cell>
          <cell r="F729">
            <v>7.9428917398968739</v>
          </cell>
          <cell r="G729">
            <v>8.9234295984300847</v>
          </cell>
          <cell r="H729">
            <v>10.425687992650165</v>
          </cell>
          <cell r="I729">
            <v>13.564362387954592</v>
          </cell>
        </row>
        <row r="730">
          <cell r="A730" t="str">
            <v>D-ITOT_LTH</v>
          </cell>
          <cell r="B730" t="str">
            <v>VAR_ncap</v>
          </cell>
          <cell r="C730" t="str">
            <v>-</v>
          </cell>
          <cell r="D730">
            <v>0.79547229337228997</v>
          </cell>
        </row>
        <row r="731">
          <cell r="A731" t="str">
            <v>D-ITOT_LTH</v>
          </cell>
          <cell r="B731" t="str">
            <v>VAR_cap</v>
          </cell>
          <cell r="C731" t="str">
            <v>-</v>
          </cell>
          <cell r="D731">
            <v>0.79547229337228997</v>
          </cell>
          <cell r="E731">
            <v>0.79547229337228997</v>
          </cell>
          <cell r="F731">
            <v>0.79547229337228997</v>
          </cell>
          <cell r="G731">
            <v>0.79547229337228997</v>
          </cell>
          <cell r="H731">
            <v>0.79547229337228997</v>
          </cell>
          <cell r="I731">
            <v>0.79547229337228997</v>
          </cell>
        </row>
        <row r="732">
          <cell r="A732" t="str">
            <v>D-IH2</v>
          </cell>
          <cell r="B732" t="str">
            <v>VAR_fout</v>
          </cell>
          <cell r="C732" t="str">
            <v>IH2</v>
          </cell>
          <cell r="G732">
            <v>0.51126982357260742</v>
          </cell>
          <cell r="H732">
            <v>1.6343399420532494</v>
          </cell>
          <cell r="I732">
            <v>8.7475460633038029</v>
          </cell>
        </row>
        <row r="733">
          <cell r="A733" t="str">
            <v>D-IH2</v>
          </cell>
          <cell r="B733" t="str">
            <v>VAR_fin</v>
          </cell>
          <cell r="C733" t="str">
            <v>H2</v>
          </cell>
          <cell r="G733">
            <v>0.51516487547065848</v>
          </cell>
          <cell r="H733">
            <v>1.6467909778857031</v>
          </cell>
          <cell r="I733">
            <v>8.8141882634224729</v>
          </cell>
        </row>
        <row r="734">
          <cell r="A734" t="str">
            <v>D-IH2</v>
          </cell>
          <cell r="B734" t="str">
            <v>VAR_ncap</v>
          </cell>
          <cell r="C734" t="str">
            <v>-</v>
          </cell>
          <cell r="G734">
            <v>3.1529961748531302E-2</v>
          </cell>
          <cell r="H734">
            <v>1.09060241088677E-2</v>
          </cell>
          <cell r="I734">
            <v>0.233382862068857</v>
          </cell>
        </row>
        <row r="735">
          <cell r="A735" t="str">
            <v>D-IH2</v>
          </cell>
          <cell r="B735" t="str">
            <v>VAR_cap</v>
          </cell>
          <cell r="C735" t="str">
            <v>-</v>
          </cell>
          <cell r="G735">
            <v>3.1529961748531302E-2</v>
          </cell>
          <cell r="H735">
            <v>0.117280341115008</v>
          </cell>
          <cell r="I735">
            <v>0.35066320318386501</v>
          </cell>
        </row>
        <row r="736">
          <cell r="A736" t="str">
            <v>RHNS-SHWODBR</v>
          </cell>
          <cell r="B736" t="str">
            <v>VAR_fout</v>
          </cell>
          <cell r="C736" t="str">
            <v>RHNS-SHWOD</v>
          </cell>
          <cell r="E736">
            <v>2.6568061054314144E-2</v>
          </cell>
          <cell r="F736">
            <v>9.481695417248677E-2</v>
          </cell>
          <cell r="G736">
            <v>0.10912658885834794</v>
          </cell>
          <cell r="H736">
            <v>0.11846122583085421</v>
          </cell>
          <cell r="I736">
            <v>4.3834080383974607E-2</v>
          </cell>
        </row>
        <row r="737">
          <cell r="A737" t="str">
            <v>RHNS-SHWODBR</v>
          </cell>
          <cell r="B737" t="str">
            <v>VAR_fin</v>
          </cell>
          <cell r="C737" t="str">
            <v>RHNSWODBRC</v>
          </cell>
          <cell r="E737">
            <v>2.6568061054314144E-2</v>
          </cell>
          <cell r="F737">
            <v>9.481695417248677E-2</v>
          </cell>
          <cell r="G737">
            <v>0.10912658885834794</v>
          </cell>
          <cell r="H737">
            <v>0.11846122583085421</v>
          </cell>
          <cell r="I737">
            <v>4.3834080383974607E-2</v>
          </cell>
        </row>
        <row r="738">
          <cell r="A738" t="str">
            <v>RHNS-SHWODBR</v>
          </cell>
          <cell r="B738" t="str">
            <v>VAR_fin</v>
          </cell>
          <cell r="C738" t="str">
            <v>RWOD</v>
          </cell>
          <cell r="E738">
            <v>3.6900084797658501E-2</v>
          </cell>
          <cell r="F738">
            <v>0.13169021412845383</v>
          </cell>
          <cell r="G738">
            <v>0.15156470674770547</v>
          </cell>
          <cell r="H738">
            <v>0.16452948032063078</v>
          </cell>
          <cell r="I738">
            <v>6.0880667199964718E-2</v>
          </cell>
        </row>
        <row r="739">
          <cell r="A739" t="str">
            <v>RHNS-SHWODBR</v>
          </cell>
          <cell r="B739" t="str">
            <v>VAR_ncap</v>
          </cell>
          <cell r="C739" t="str">
            <v>-</v>
          </cell>
          <cell r="E739">
            <v>1.9631015408740301E-3</v>
          </cell>
          <cell r="F739">
            <v>5.98666657923608E-3</v>
          </cell>
        </row>
        <row r="740">
          <cell r="A740" t="str">
            <v>RHNS-SHWODBR</v>
          </cell>
          <cell r="B740" t="str">
            <v>VAR_cap</v>
          </cell>
          <cell r="C740" t="str">
            <v>-</v>
          </cell>
          <cell r="E740">
            <v>1.9631015408740301E-3</v>
          </cell>
          <cell r="F740">
            <v>7.9497681201101001E-3</v>
          </cell>
          <cell r="G740">
            <v>7.9497681201101001E-3</v>
          </cell>
          <cell r="H740">
            <v>8.6328128449656913E-3</v>
          </cell>
          <cell r="I740">
            <v>3.20310427523865E-3</v>
          </cell>
        </row>
        <row r="741">
          <cell r="A741" t="str">
            <v>D-RHNM_NKEV_GAS_ELC_CHP</v>
          </cell>
          <cell r="B741" t="str">
            <v>VAR_fout</v>
          </cell>
          <cell r="C741" t="str">
            <v>ELC5</v>
          </cell>
          <cell r="E741">
            <v>6.0133211143772959E-4</v>
          </cell>
          <cell r="F741">
            <v>7.4810472266087079E-4</v>
          </cell>
          <cell r="G741">
            <v>7.4693063102819663E-4</v>
          </cell>
          <cell r="H741">
            <v>9.5310176417415108E-5</v>
          </cell>
          <cell r="I741">
            <v>1.7841752772057051E-5</v>
          </cell>
        </row>
        <row r="742">
          <cell r="A742" t="str">
            <v>D-RHNM_NKEV_GAS_ELC_CHP</v>
          </cell>
          <cell r="B742" t="str">
            <v>VAR_fout</v>
          </cell>
          <cell r="C742" t="str">
            <v>RHNM_ELC</v>
          </cell>
          <cell r="E742">
            <v>6.0151908223843884E-4</v>
          </cell>
          <cell r="F742">
            <v>7.4793243512445457E-4</v>
          </cell>
          <cell r="G742">
            <v>7.4648630183462216E-4</v>
          </cell>
          <cell r="H742">
            <v>9.5247297311956431E-5</v>
          </cell>
          <cell r="I742">
            <v>1.782995383941629E-5</v>
          </cell>
        </row>
        <row r="743">
          <cell r="A743" t="str">
            <v>D-RHNM_NKEV_GAS_ELC_CHP</v>
          </cell>
          <cell r="B743" t="str">
            <v>VAR_fin</v>
          </cell>
          <cell r="C743" t="str">
            <v>RHNM_NKEV_GAS_ELC_CHP</v>
          </cell>
          <cell r="E743">
            <v>1.2028511936761689E-3</v>
          </cell>
          <cell r="F743">
            <v>1.4958754969061417E-3</v>
          </cell>
          <cell r="G743">
            <v>1.4934169328628206E-3</v>
          </cell>
          <cell r="H743">
            <v>1.9055747372937167E-4</v>
          </cell>
          <cell r="I743">
            <v>3.6063342221237849E-5</v>
          </cell>
        </row>
        <row r="744">
          <cell r="A744" t="str">
            <v>D-RLFO</v>
          </cell>
          <cell r="B744" t="str">
            <v>VAR_fout</v>
          </cell>
          <cell r="C744" t="str">
            <v>CO2</v>
          </cell>
          <cell r="D744">
            <v>4514.4818909444402</v>
          </cell>
          <cell r="E744">
            <v>4127.0322115123899</v>
          </cell>
          <cell r="F744">
            <v>3965.8858428804201</v>
          </cell>
          <cell r="G744">
            <v>2886.9356774462199</v>
          </cell>
          <cell r="H744">
            <v>1505.71992282121</v>
          </cell>
          <cell r="I744">
            <v>3.5436563666100701E-3</v>
          </cell>
        </row>
        <row r="745">
          <cell r="A745" t="str">
            <v>D-RLFO</v>
          </cell>
          <cell r="B745" t="str">
            <v>VAR_fout</v>
          </cell>
          <cell r="C745" t="str">
            <v>RLFO</v>
          </cell>
          <cell r="D745">
            <v>60.23181522671883</v>
          </cell>
          <cell r="E745">
            <v>55.062496118802358</v>
          </cell>
          <cell r="F745">
            <v>52.912499622546989</v>
          </cell>
          <cell r="G745">
            <v>38.517249988781309</v>
          </cell>
          <cell r="H745">
            <v>20.089190190068056</v>
          </cell>
          <cell r="I745">
            <v>0.21593030083073581</v>
          </cell>
        </row>
        <row r="746">
          <cell r="A746" t="str">
            <v>D-RLFO</v>
          </cell>
          <cell r="B746" t="str">
            <v>VAR_fin</v>
          </cell>
          <cell r="C746" t="str">
            <v>LFO</v>
          </cell>
          <cell r="D746">
            <v>61.254842482285333</v>
          </cell>
          <cell r="E746">
            <v>55.997723358377144</v>
          </cell>
          <cell r="F746">
            <v>53.811205466491359</v>
          </cell>
          <cell r="G746">
            <v>39.171447455172661</v>
          </cell>
          <cell r="H746">
            <v>20.430392439907873</v>
          </cell>
          <cell r="I746">
            <v>4.8082175937721387E-5</v>
          </cell>
        </row>
        <row r="747">
          <cell r="A747" t="str">
            <v>D-RLFO</v>
          </cell>
          <cell r="B747" t="str">
            <v>VAR_fin</v>
          </cell>
          <cell r="C747" t="str">
            <v>BDS</v>
          </cell>
          <cell r="F747">
            <v>4.1373398209056876E-6</v>
          </cell>
          <cell r="G747">
            <v>1.1548670055566774E-5</v>
          </cell>
          <cell r="H747">
            <v>9.2679894997502774E-6</v>
          </cell>
          <cell r="I747">
            <v>0.21954977098242992</v>
          </cell>
        </row>
        <row r="748">
          <cell r="A748" t="str">
            <v>D-SCOM_LTH_CHPBIO</v>
          </cell>
          <cell r="B748" t="str">
            <v>VAR_fout</v>
          </cell>
          <cell r="C748" t="str">
            <v>SCOM_LTH_CHPBIO_ON</v>
          </cell>
          <cell r="D748">
            <v>1.4243075797905964</v>
          </cell>
          <cell r="E748">
            <v>1.542797322528439</v>
          </cell>
          <cell r="F748">
            <v>1.4755409577676732</v>
          </cell>
          <cell r="G748">
            <v>1.2453860121158469</v>
          </cell>
          <cell r="H748">
            <v>1.0606902094063622</v>
          </cell>
          <cell r="I748">
            <v>1.2891660855670866</v>
          </cell>
        </row>
        <row r="749">
          <cell r="A749" t="str">
            <v>D-SCOM_LTH_CHPBIO</v>
          </cell>
          <cell r="B749" t="str">
            <v>VAR_fout</v>
          </cell>
          <cell r="C749" t="str">
            <v>LTH</v>
          </cell>
          <cell r="E749">
            <v>3.5512064647059201E-2</v>
          </cell>
          <cell r="F749">
            <v>9.7135632802233599E-2</v>
          </cell>
          <cell r="G749">
            <v>0.15910086804397594</v>
          </cell>
          <cell r="H749">
            <v>0.3106780417831862</v>
          </cell>
          <cell r="I749">
            <v>0.65695835791037049</v>
          </cell>
        </row>
        <row r="750">
          <cell r="A750" t="str">
            <v>D-SCOM_LTH_CHPBIO</v>
          </cell>
          <cell r="B750" t="str">
            <v>VAR_fin</v>
          </cell>
          <cell r="C750" t="str">
            <v>SCOM_LTH_CHPBIO</v>
          </cell>
          <cell r="D750">
            <v>1.4243075797905964</v>
          </cell>
          <cell r="E750">
            <v>1.5783093871754981</v>
          </cell>
          <cell r="F750">
            <v>1.5726765905699063</v>
          </cell>
          <cell r="G750">
            <v>1.4044868801598243</v>
          </cell>
          <cell r="H750">
            <v>1.3713682511895471</v>
          </cell>
          <cell r="I750">
            <v>1.9461244434774563</v>
          </cell>
        </row>
        <row r="751">
          <cell r="A751" t="str">
            <v>D-SCOM_LTH_CHPHFC</v>
          </cell>
          <cell r="B751" t="str">
            <v>VAR_fout</v>
          </cell>
          <cell r="C751" t="str">
            <v>SCOM_LTH_CHPHFC_ON</v>
          </cell>
          <cell r="G751">
            <v>1.5225986485096832E-5</v>
          </cell>
          <cell r="H751">
            <v>2.0648293822926448E-5</v>
          </cell>
          <cell r="I751">
            <v>2.9953950524860003E-5</v>
          </cell>
        </row>
        <row r="752">
          <cell r="A752" t="str">
            <v>D-SCOM_LTH_CHPHFC</v>
          </cell>
          <cell r="B752" t="str">
            <v>VAR_fin</v>
          </cell>
          <cell r="C752" t="str">
            <v>SCOM_LTH_CHPHFC</v>
          </cell>
          <cell r="G752">
            <v>1.5244398888475058E-5</v>
          </cell>
          <cell r="H752">
            <v>2.0732253139172537E-5</v>
          </cell>
          <cell r="I752">
            <v>3.0034800576470911E-5</v>
          </cell>
        </row>
        <row r="753">
          <cell r="A753" t="str">
            <v>D-SCOM_NKEV_GAS_ELC_CHP</v>
          </cell>
          <cell r="B753" t="str">
            <v>VAR_fout</v>
          </cell>
          <cell r="C753" t="str">
            <v>ELC5</v>
          </cell>
          <cell r="D753">
            <v>0.13961214553507165</v>
          </cell>
          <cell r="E753">
            <v>0.31240423938906875</v>
          </cell>
          <cell r="F753">
            <v>0.26026430631284597</v>
          </cell>
          <cell r="G753">
            <v>0.24994881299426849</v>
          </cell>
          <cell r="H753">
            <v>9.245194009824291E-2</v>
          </cell>
          <cell r="I753">
            <v>4.2909959232119976E-5</v>
          </cell>
        </row>
        <row r="754">
          <cell r="A754" t="str">
            <v>D-SCOM_NKEV_GAS_ELC_CHP</v>
          </cell>
          <cell r="B754" t="str">
            <v>VAR_fout</v>
          </cell>
          <cell r="C754" t="str">
            <v>SCOM_ELC</v>
          </cell>
          <cell r="D754">
            <v>0.45478412077472141</v>
          </cell>
          <cell r="E754">
            <v>0.31345558213704755</v>
          </cell>
          <cell r="F754">
            <v>0.26353514632663072</v>
          </cell>
          <cell r="G754">
            <v>0.2505244848013003</v>
          </cell>
          <cell r="H754">
            <v>9.2448101999569696E-2</v>
          </cell>
          <cell r="I754">
            <v>4.2902995435536358E-5</v>
          </cell>
        </row>
        <row r="755">
          <cell r="A755" t="str">
            <v>D-SCOM_NKEV_GAS_ELC_CHP</v>
          </cell>
          <cell r="B755" t="str">
            <v>VAR_fin</v>
          </cell>
          <cell r="C755" t="str">
            <v>SCOM_NKEV_GAS_ELC_CHP</v>
          </cell>
          <cell r="D755">
            <v>0.59439626630979303</v>
          </cell>
          <cell r="E755">
            <v>0.62585982152611519</v>
          </cell>
          <cell r="F755">
            <v>0.52379928583919666</v>
          </cell>
          <cell r="G755">
            <v>0.50047329779556904</v>
          </cell>
          <cell r="H755">
            <v>0.18490004209781269</v>
          </cell>
          <cell r="I755">
            <v>8.5812954667656354E-5</v>
          </cell>
        </row>
        <row r="756">
          <cell r="A756" t="str">
            <v>RHEM-SHLTHDH</v>
          </cell>
          <cell r="B756" t="str">
            <v>VAR_fout</v>
          </cell>
          <cell r="C756" t="str">
            <v>RHEM-SHLTHD</v>
          </cell>
          <cell r="D756">
            <v>2.0113933452084036</v>
          </cell>
          <cell r="E756">
            <v>3.7212158809936371</v>
          </cell>
          <cell r="F756">
            <v>3.4100849603391756</v>
          </cell>
          <cell r="G756">
            <v>4.073225199090599</v>
          </cell>
          <cell r="H756">
            <v>3.4314727739876831</v>
          </cell>
          <cell r="I756">
            <v>2.9563869320044049</v>
          </cell>
        </row>
        <row r="757">
          <cell r="A757" t="str">
            <v>RHEM-SHLTHDH</v>
          </cell>
          <cell r="B757" t="str">
            <v>VAR_fin</v>
          </cell>
          <cell r="C757" t="str">
            <v>RHEMLTHDHC</v>
          </cell>
          <cell r="D757">
            <v>2.0113933452084036</v>
          </cell>
          <cell r="E757">
            <v>3.7212158809936371</v>
          </cell>
          <cell r="F757">
            <v>3.4100849603391756</v>
          </cell>
          <cell r="G757">
            <v>4.073225199090599</v>
          </cell>
          <cell r="H757">
            <v>3.4314727739876831</v>
          </cell>
          <cell r="I757">
            <v>2.9563869320044049</v>
          </cell>
        </row>
        <row r="758">
          <cell r="A758" t="str">
            <v>RHEM-SHLTHDH</v>
          </cell>
          <cell r="B758" t="str">
            <v>VAR_fin</v>
          </cell>
          <cell r="C758" t="str">
            <v>RHEM_LTH_DH</v>
          </cell>
          <cell r="D758">
            <v>2.0317104497054577</v>
          </cell>
          <cell r="E758">
            <v>3.758803920195593</v>
          </cell>
          <cell r="F758">
            <v>3.4445302629688599</v>
          </cell>
          <cell r="G758">
            <v>4.1143688879703024</v>
          </cell>
          <cell r="H758">
            <v>3.4661341151390714</v>
          </cell>
          <cell r="I758">
            <v>2.9862494262670771</v>
          </cell>
        </row>
        <row r="759">
          <cell r="A759" t="str">
            <v>RHEM-SHLTHDH</v>
          </cell>
          <cell r="B759" t="str">
            <v>VAR_cap</v>
          </cell>
          <cell r="C759" t="str">
            <v>-</v>
          </cell>
          <cell r="D759">
            <v>0.31562546711168799</v>
          </cell>
          <cell r="E759">
            <v>0.31562546711168799</v>
          </cell>
          <cell r="F759">
            <v>0.31562546711168799</v>
          </cell>
          <cell r="G759">
            <v>0.31562546711168799</v>
          </cell>
          <cell r="H759">
            <v>0.31562546711168799</v>
          </cell>
          <cell r="I759">
            <v>0.31562546711168799</v>
          </cell>
        </row>
        <row r="760">
          <cell r="A760" t="str">
            <v>D-ITOT_SOLELC</v>
          </cell>
          <cell r="B760" t="str">
            <v>VAR_fout</v>
          </cell>
          <cell r="C760" t="str">
            <v>ITOT_ELC</v>
          </cell>
          <cell r="D760">
            <v>3.5179086578752758</v>
          </cell>
          <cell r="E760">
            <v>5.2836554775086908</v>
          </cell>
          <cell r="F760">
            <v>6.9759741109305011</v>
          </cell>
          <cell r="G760">
            <v>16.884731234748898</v>
          </cell>
          <cell r="H760">
            <v>27.719566843876191</v>
          </cell>
          <cell r="I760">
            <v>35.767444554565792</v>
          </cell>
        </row>
        <row r="761">
          <cell r="A761" t="str">
            <v>D-ITOT_SOLELC</v>
          </cell>
          <cell r="B761" t="str">
            <v>VAR_fout</v>
          </cell>
          <cell r="C761" t="str">
            <v>ELC5</v>
          </cell>
          <cell r="D761">
            <v>4.5341832255391317E-5</v>
          </cell>
          <cell r="E761">
            <v>2.9031002136887212E-5</v>
          </cell>
          <cell r="F761">
            <v>2.9134030405657998E-5</v>
          </cell>
          <cell r="G761">
            <v>0.43650189513994886</v>
          </cell>
          <cell r="H761">
            <v>7.8050287660805893</v>
          </cell>
          <cell r="I761">
            <v>16.344672981426324</v>
          </cell>
        </row>
        <row r="762">
          <cell r="A762" t="str">
            <v>D-ITOT_SOLELC</v>
          </cell>
          <cell r="B762" t="str">
            <v>VAR_fin</v>
          </cell>
          <cell r="C762" t="str">
            <v>ITOT_SOL_ELC</v>
          </cell>
          <cell r="D762">
            <v>3.517953999707534</v>
          </cell>
          <cell r="E762">
            <v>5.2836844775526357</v>
          </cell>
          <cell r="F762">
            <v>6.9760031413777854</v>
          </cell>
          <cell r="G762">
            <v>17.321232970106955</v>
          </cell>
          <cell r="H762">
            <v>35.524595502046708</v>
          </cell>
          <cell r="I762">
            <v>52.112117460693973</v>
          </cell>
        </row>
        <row r="763">
          <cell r="A763" t="str">
            <v>D-SWOD</v>
          </cell>
          <cell r="B763" t="str">
            <v>VAR_fout</v>
          </cell>
          <cell r="C763" t="str">
            <v>SWOD</v>
          </cell>
          <cell r="D763">
            <v>8.5743671085762596</v>
          </cell>
          <cell r="E763">
            <v>9.9817474089615832</v>
          </cell>
          <cell r="F763">
            <v>8.562172450234975</v>
          </cell>
          <cell r="G763">
            <v>8.097167723864084</v>
          </cell>
          <cell r="H763">
            <v>2.4737721418081606</v>
          </cell>
          <cell r="I763">
            <v>0.53428270685903101</v>
          </cell>
        </row>
        <row r="764">
          <cell r="A764" t="str">
            <v>D-SWOD</v>
          </cell>
          <cell r="B764" t="str">
            <v>VAR_fin</v>
          </cell>
          <cell r="C764" t="str">
            <v>WOD</v>
          </cell>
          <cell r="D764">
            <v>8.5743671085762596</v>
          </cell>
          <cell r="E764">
            <v>9.9817474089615832</v>
          </cell>
          <cell r="F764">
            <v>8.562172450234975</v>
          </cell>
          <cell r="G764">
            <v>8.097167723864084</v>
          </cell>
          <cell r="H764">
            <v>2.4737721418081606</v>
          </cell>
          <cell r="I764">
            <v>0.53428270685903101</v>
          </cell>
        </row>
        <row r="765">
          <cell r="A765" t="str">
            <v>ITOT-PROCESSCO2CCS</v>
          </cell>
          <cell r="B765" t="str">
            <v>VAR_fout</v>
          </cell>
          <cell r="C765" t="str">
            <v>CO2_O</v>
          </cell>
          <cell r="H765">
            <v>1.5140228159956537E-3</v>
          </cell>
          <cell r="I765">
            <v>1646.4541519359389</v>
          </cell>
        </row>
        <row r="766">
          <cell r="A766" t="str">
            <v>ITOT-PROCESSCO2CCS</v>
          </cell>
          <cell r="B766" t="str">
            <v>VAR_fout</v>
          </cell>
          <cell r="C766" t="str">
            <v>CO2</v>
          </cell>
          <cell r="H766">
            <v>-1.51402281599565E-3</v>
          </cell>
          <cell r="I766">
            <v>-1646.45415193594</v>
          </cell>
        </row>
        <row r="767">
          <cell r="A767" t="str">
            <v>ITOT-PROCESSCO2CCS</v>
          </cell>
          <cell r="B767" t="str">
            <v>VAR_fin</v>
          </cell>
          <cell r="C767" t="str">
            <v>ITOT_ELC</v>
          </cell>
          <cell r="H767">
            <v>3.2061659632849133E-6</v>
          </cell>
          <cell r="I767">
            <v>3.4866087923349305</v>
          </cell>
        </row>
        <row r="768">
          <cell r="A768" t="str">
            <v>ITOT-PROCESSCO2CCS</v>
          </cell>
          <cell r="B768" t="str">
            <v>VAR_fin</v>
          </cell>
          <cell r="C768" t="str">
            <v>ITOT_LTH_DH</v>
          </cell>
          <cell r="H768">
            <v>1.2468423190552432E-6</v>
          </cell>
          <cell r="I768">
            <v>1.3559034192413619</v>
          </cell>
        </row>
        <row r="769">
          <cell r="A769" t="str">
            <v>ITOT-PROCESSCO2CCS</v>
          </cell>
          <cell r="B769" t="str">
            <v>VAR_ncap</v>
          </cell>
          <cell r="C769" t="str">
            <v>-</v>
          </cell>
          <cell r="H769">
            <v>4.4481199337497003E-3</v>
          </cell>
          <cell r="I769">
            <v>4843.05823448908</v>
          </cell>
        </row>
        <row r="770">
          <cell r="A770" t="str">
            <v>ITOT-PROCESSCO2CCS</v>
          </cell>
          <cell r="B770" t="str">
            <v>VAR_cap</v>
          </cell>
          <cell r="C770" t="str">
            <v>-</v>
          </cell>
          <cell r="H770">
            <v>4.4481199337497003E-3</v>
          </cell>
          <cell r="I770">
            <v>4843.0626826090102</v>
          </cell>
        </row>
        <row r="771">
          <cell r="A771" t="str">
            <v>D-RSH2R</v>
          </cell>
          <cell r="B771" t="str">
            <v>VAR_fout</v>
          </cell>
          <cell r="C771" t="str">
            <v>RSH2</v>
          </cell>
          <cell r="G771">
            <v>3.3464627037456039E-5</v>
          </cell>
          <cell r="H771">
            <v>4.0527928537496458E-5</v>
          </cell>
          <cell r="I771">
            <v>4.4552421055025658E-4</v>
          </cell>
        </row>
        <row r="772">
          <cell r="A772" t="str">
            <v>D-RSH2R</v>
          </cell>
          <cell r="B772" t="str">
            <v>VAR_fin</v>
          </cell>
          <cell r="C772" t="str">
            <v>H2</v>
          </cell>
          <cell r="G772">
            <v>3.3464627037456039E-5</v>
          </cell>
          <cell r="H772">
            <v>4.0527928537496458E-5</v>
          </cell>
          <cell r="I772">
            <v>4.4552421055025658E-4</v>
          </cell>
        </row>
        <row r="773">
          <cell r="A773" t="str">
            <v>D-RSH2R</v>
          </cell>
          <cell r="B773" t="str">
            <v>VAR_ncap</v>
          </cell>
          <cell r="C773" t="str">
            <v>-</v>
          </cell>
          <cell r="G773">
            <v>1.84745736167769E-6</v>
          </cell>
          <cell r="H773">
            <v>2.0018611363277199E-6</v>
          </cell>
          <cell r="I773">
            <v>1.7549975243487401E-5</v>
          </cell>
        </row>
        <row r="774">
          <cell r="A774" t="str">
            <v>D-RSH2R</v>
          </cell>
          <cell r="B774" t="str">
            <v>VAR_cap</v>
          </cell>
          <cell r="C774" t="str">
            <v>-</v>
          </cell>
          <cell r="G774">
            <v>1.84745736167769E-6</v>
          </cell>
          <cell r="H774">
            <v>2.4387752151111602E-6</v>
          </cell>
          <cell r="I774">
            <v>1.82356552157114E-5</v>
          </cell>
        </row>
        <row r="775">
          <cell r="A775" t="str">
            <v>SCOM-SHLTHCHPBIO</v>
          </cell>
          <cell r="B775" t="str">
            <v>VAR_fout</v>
          </cell>
          <cell r="C775" t="str">
            <v>SCOM-SHLTHC-BIO</v>
          </cell>
          <cell r="D775">
            <v>1.4100645039926922</v>
          </cell>
          <cell r="E775">
            <v>1.527369349303155</v>
          </cell>
          <cell r="F775">
            <v>1.4607855481899965</v>
          </cell>
          <cell r="G775">
            <v>1.232932151994689</v>
          </cell>
          <cell r="H775">
            <v>1.0500833073122982</v>
          </cell>
          <cell r="I775">
            <v>1.2762744247114151</v>
          </cell>
        </row>
        <row r="776">
          <cell r="A776" t="str">
            <v>SCOM-SHLTHCHPBIO</v>
          </cell>
          <cell r="B776" t="str">
            <v>VAR_fin</v>
          </cell>
          <cell r="C776" t="str">
            <v>SCOM_LTH_CHPBIO_ON</v>
          </cell>
          <cell r="D776">
            <v>1.4243075797905964</v>
          </cell>
          <cell r="E776">
            <v>1.542797322528439</v>
          </cell>
          <cell r="F776">
            <v>1.4755409577676732</v>
          </cell>
          <cell r="G776">
            <v>1.2453860121158469</v>
          </cell>
          <cell r="H776">
            <v>1.0606902094063622</v>
          </cell>
          <cell r="I776">
            <v>1.2891660855670866</v>
          </cell>
        </row>
        <row r="777">
          <cell r="A777" t="str">
            <v>SCOM-SHLTHCHPBIO</v>
          </cell>
          <cell r="B777" t="str">
            <v>VAR_fin</v>
          </cell>
          <cell r="C777" t="str">
            <v>SCOMLTHCHPC</v>
          </cell>
          <cell r="D777">
            <v>1.4100645039926922</v>
          </cell>
          <cell r="E777">
            <v>1.527369349303155</v>
          </cell>
          <cell r="F777">
            <v>1.4607855481899965</v>
          </cell>
          <cell r="G777">
            <v>1.232932151994689</v>
          </cell>
          <cell r="H777">
            <v>1.0500833073122982</v>
          </cell>
          <cell r="I777">
            <v>1.2762744247114151</v>
          </cell>
        </row>
        <row r="778">
          <cell r="A778" t="str">
            <v>SCOM-SHLTHCHPBIO</v>
          </cell>
          <cell r="B778" t="str">
            <v>VAR_ncap</v>
          </cell>
          <cell r="C778" t="str">
            <v>-</v>
          </cell>
          <cell r="E778">
            <v>1.21167151775708E-2</v>
          </cell>
          <cell r="F778">
            <v>1.50360638896027E-3</v>
          </cell>
          <cell r="G778">
            <v>1.0683389212878E-3</v>
          </cell>
          <cell r="H778">
            <v>4.0504267304713203E-2</v>
          </cell>
          <cell r="I778">
            <v>7.0909809096593099E-2</v>
          </cell>
        </row>
        <row r="779">
          <cell r="A779" t="str">
            <v>SCOM-SHLTHCHPBIO</v>
          </cell>
          <cell r="B779" t="str">
            <v>VAR_cap</v>
          </cell>
          <cell r="C779" t="str">
            <v>-</v>
          </cell>
          <cell r="D779">
            <v>0.109139687579039</v>
          </cell>
          <cell r="E779">
            <v>0.12094029194130643</v>
          </cell>
          <cell r="F779">
            <v>0.12055589110383076</v>
          </cell>
          <cell r="G779">
            <v>0.1076295373570746</v>
          </cell>
          <cell r="H779">
            <v>0.10524852914354065</v>
          </cell>
          <cell r="I779">
            <v>0.12689813524088339</v>
          </cell>
        </row>
        <row r="780">
          <cell r="A780" t="str">
            <v>D-RSH2</v>
          </cell>
          <cell r="B780" t="str">
            <v>VAR_fout</v>
          </cell>
          <cell r="C780" t="str">
            <v>RSH2</v>
          </cell>
          <cell r="G780">
            <v>4.416165105272482E-5</v>
          </cell>
          <cell r="H780">
            <v>6.1270138903275154E-5</v>
          </cell>
          <cell r="I780">
            <v>1.5622645057861975E-4</v>
          </cell>
        </row>
        <row r="781">
          <cell r="A781" t="str">
            <v>D-RSH2</v>
          </cell>
          <cell r="B781" t="str">
            <v>VAR_fin</v>
          </cell>
          <cell r="C781" t="str">
            <v>H2</v>
          </cell>
          <cell r="G781">
            <v>4.4498091645975564E-5</v>
          </cell>
          <cell r="H781">
            <v>6.1736918595378711E-5</v>
          </cell>
          <cell r="I781">
            <v>1.5741664429785792E-4</v>
          </cell>
        </row>
        <row r="782">
          <cell r="A782" t="str">
            <v>D-RSH2</v>
          </cell>
          <cell r="B782" t="str">
            <v>VAR_ncap</v>
          </cell>
          <cell r="C782" t="str">
            <v>-</v>
          </cell>
          <cell r="G782">
            <v>2.7505751894265299E-6</v>
          </cell>
          <cell r="H782">
            <v>3.7447780217754299E-8</v>
          </cell>
          <cell r="I782">
            <v>1.01422367938382E-5</v>
          </cell>
        </row>
        <row r="783">
          <cell r="A783" t="str">
            <v>D-RSH2</v>
          </cell>
          <cell r="B783" t="str">
            <v>VAR_cap</v>
          </cell>
          <cell r="C783" t="str">
            <v>-</v>
          </cell>
          <cell r="G783">
            <v>2.7505751894265299E-6</v>
          </cell>
          <cell r="H783">
            <v>4.3686836607306902E-6</v>
          </cell>
          <cell r="I783">
            <v>1.45109204545689E-5</v>
          </cell>
        </row>
        <row r="784">
          <cell r="A784" t="str">
            <v>RHES-SHNGABR</v>
          </cell>
          <cell r="B784" t="str">
            <v>VAR_fout</v>
          </cell>
          <cell r="C784" t="str">
            <v>CO2_R</v>
          </cell>
          <cell r="D784">
            <v>1043.13503706953</v>
          </cell>
          <cell r="E784">
            <v>1202.55007874323</v>
          </cell>
          <cell r="F784">
            <v>1099.87399865612</v>
          </cell>
          <cell r="G784">
            <v>1201.96719458795</v>
          </cell>
          <cell r="H784">
            <v>977.14853912496994</v>
          </cell>
          <cell r="I784">
            <v>461.07981167427698</v>
          </cell>
        </row>
        <row r="785">
          <cell r="A785" t="str">
            <v>RHES-SHNGABR</v>
          </cell>
          <cell r="B785" t="str">
            <v>VAR_fout</v>
          </cell>
          <cell r="C785" t="str">
            <v>RHES-SHNGA</v>
          </cell>
          <cell r="D785">
            <v>17.570536971915772</v>
          </cell>
          <cell r="E785">
            <v>20.255719411455168</v>
          </cell>
          <cell r="F785">
            <v>18.526246431264372</v>
          </cell>
          <cell r="G785">
            <v>20.245901327279363</v>
          </cell>
          <cell r="H785">
            <v>16.459062272495061</v>
          </cell>
          <cell r="I785">
            <v>7.7664152675631835</v>
          </cell>
        </row>
        <row r="786">
          <cell r="A786" t="str">
            <v>RHES-SHNGABR</v>
          </cell>
          <cell r="B786" t="str">
            <v>VAR_fin</v>
          </cell>
          <cell r="C786" t="str">
            <v>RNGA</v>
          </cell>
          <cell r="D786">
            <v>18.495302075700785</v>
          </cell>
          <cell r="E786">
            <v>21.321809906794936</v>
          </cell>
          <cell r="F786">
            <v>19.501312032909865</v>
          </cell>
          <cell r="G786">
            <v>21.311475081346693</v>
          </cell>
          <cell r="H786">
            <v>17.325328707889536</v>
          </cell>
          <cell r="I786">
            <v>8.1751739658559774</v>
          </cell>
        </row>
        <row r="787">
          <cell r="A787" t="str">
            <v>RHES-SHNGABR</v>
          </cell>
          <cell r="B787" t="str">
            <v>VAR_ncap</v>
          </cell>
          <cell r="C787" t="str">
            <v>-</v>
          </cell>
          <cell r="E787">
            <v>0.21449414463804001</v>
          </cell>
          <cell r="G787">
            <v>1.2382883521632901E-8</v>
          </cell>
          <cell r="H787">
            <v>0.25192880984161897</v>
          </cell>
        </row>
        <row r="788">
          <cell r="A788" t="str">
            <v>RHES-SHNGABR</v>
          </cell>
          <cell r="B788" t="str">
            <v>VAR_cap</v>
          </cell>
          <cell r="C788" t="str">
            <v>-</v>
          </cell>
          <cell r="D788">
            <v>1.4219190615860799</v>
          </cell>
          <cell r="E788">
            <v>1.6364132062241199</v>
          </cell>
          <cell r="F788">
            <v>1.6364132062241199</v>
          </cell>
          <cell r="G788">
            <v>1.6364132186070039</v>
          </cell>
          <cell r="H788">
            <v>1.3320209954025</v>
          </cell>
          <cell r="I788">
            <v>0.6397063659664981</v>
          </cell>
        </row>
        <row r="789">
          <cell r="A789" t="str">
            <v>SCOM-SHLTHCHPHFC</v>
          </cell>
          <cell r="B789" t="str">
            <v>VAR_fout</v>
          </cell>
          <cell r="C789" t="str">
            <v>SCOM-SHLTHC-HFC</v>
          </cell>
          <cell r="G789">
            <v>1.5073726620245865E-5</v>
          </cell>
          <cell r="H789">
            <v>2.0421901425223148E-5</v>
          </cell>
          <cell r="I789">
            <v>2.965441101961139E-5</v>
          </cell>
        </row>
        <row r="790">
          <cell r="A790" t="str">
            <v>SCOM-SHLTHCHPHFC</v>
          </cell>
          <cell r="B790" t="str">
            <v>VAR_fin</v>
          </cell>
          <cell r="C790" t="str">
            <v>SCOM_LTH_CHPHFC_ON</v>
          </cell>
          <cell r="G790">
            <v>1.5225986485096832E-5</v>
          </cell>
          <cell r="H790">
            <v>2.0648293822926448E-5</v>
          </cell>
          <cell r="I790">
            <v>2.9953950524860003E-5</v>
          </cell>
        </row>
        <row r="791">
          <cell r="A791" t="str">
            <v>SCOM-SHLTHCHPHFC</v>
          </cell>
          <cell r="B791" t="str">
            <v>VAR_fin</v>
          </cell>
          <cell r="C791" t="str">
            <v>SCOMLTHCHPC</v>
          </cell>
          <cell r="G791">
            <v>1.5073726620245865E-5</v>
          </cell>
          <cell r="H791">
            <v>2.0421901425223148E-5</v>
          </cell>
          <cell r="I791">
            <v>2.965441101961139E-5</v>
          </cell>
        </row>
        <row r="792">
          <cell r="A792" t="str">
            <v>SCOM-SHLTHCHPHFC</v>
          </cell>
          <cell r="B792" t="str">
            <v>VAR_ncap</v>
          </cell>
          <cell r="C792" t="str">
            <v>-</v>
          </cell>
          <cell r="G792">
            <v>1.2652637064352901E-6</v>
          </cell>
          <cell r="H792">
            <v>1.18724300760826E-6</v>
          </cell>
          <cell r="I792">
            <v>1.8273975556758201E-6</v>
          </cell>
        </row>
        <row r="793">
          <cell r="A793" t="str">
            <v>SCOM-SHLTHCHPHFC</v>
          </cell>
          <cell r="B793" t="str">
            <v>VAR_cap</v>
          </cell>
          <cell r="C793" t="str">
            <v>-</v>
          </cell>
          <cell r="G793">
            <v>1.2652637064352901E-6</v>
          </cell>
          <cell r="H793">
            <v>1.8525534655506399E-6</v>
          </cell>
          <cell r="I793">
            <v>2.3120894428244598E-6</v>
          </cell>
        </row>
        <row r="794">
          <cell r="A794" t="str">
            <v>RHSA-WHNGABR</v>
          </cell>
          <cell r="B794" t="str">
            <v>VAR_fout</v>
          </cell>
          <cell r="C794" t="str">
            <v>RHSA-WHNGA</v>
          </cell>
          <cell r="D794">
            <v>6.3804486570766779</v>
          </cell>
          <cell r="E794">
            <v>4.9006544783601411</v>
          </cell>
          <cell r="F794">
            <v>6.3803747079836519</v>
          </cell>
          <cell r="G794">
            <v>5.1088326967430335</v>
          </cell>
          <cell r="H794">
            <v>4.1016602602368621</v>
          </cell>
          <cell r="I794">
            <v>2.7208822719316488</v>
          </cell>
        </row>
        <row r="795">
          <cell r="A795" t="str">
            <v>RHSA-WHNGABR</v>
          </cell>
          <cell r="B795" t="str">
            <v>VAR_fout</v>
          </cell>
          <cell r="C795" t="str">
            <v>CO2_R</v>
          </cell>
          <cell r="D795">
            <v>479.80973901216601</v>
          </cell>
          <cell r="E795">
            <v>366.57415461473698</v>
          </cell>
          <cell r="F795">
            <v>473.490965171418</v>
          </cell>
          <cell r="G795">
            <v>374.205407917282</v>
          </cell>
          <cell r="H795">
            <v>292.827390730834</v>
          </cell>
          <cell r="I795">
            <v>191.82220017118101</v>
          </cell>
        </row>
        <row r="796">
          <cell r="A796" t="str">
            <v>RHSA-WHNGABR</v>
          </cell>
          <cell r="B796" t="str">
            <v>VAR_fin</v>
          </cell>
          <cell r="C796" t="str">
            <v>RNGA</v>
          </cell>
          <cell r="D796">
            <v>8.5072648761022425</v>
          </cell>
          <cell r="E796">
            <v>6.4995417484882481</v>
          </cell>
          <cell r="F796">
            <v>8.3952298789258517</v>
          </cell>
          <cell r="G796">
            <v>6.6348476581078319</v>
          </cell>
          <cell r="H796">
            <v>5.1919750129580571</v>
          </cell>
          <cell r="I796">
            <v>3.4011028399145595</v>
          </cell>
        </row>
        <row r="797">
          <cell r="A797" t="str">
            <v>RHSA-WHNGABR</v>
          </cell>
          <cell r="B797" t="str">
            <v>VAR_ncap</v>
          </cell>
          <cell r="C797" t="str">
            <v>-</v>
          </cell>
          <cell r="H797">
            <v>6.8973400286605896E-2</v>
          </cell>
          <cell r="I797">
            <v>5.8606702489465E-2</v>
          </cell>
        </row>
        <row r="798">
          <cell r="A798" t="str">
            <v>RHSA-WHNGABR</v>
          </cell>
          <cell r="B798" t="str">
            <v>VAR_cap</v>
          </cell>
          <cell r="C798" t="str">
            <v>-</v>
          </cell>
          <cell r="D798">
            <v>0.43610075802020798</v>
          </cell>
          <cell r="E798">
            <v>0.43610073344480027</v>
          </cell>
          <cell r="F798">
            <v>0.43610071111362853</v>
          </cell>
          <cell r="G798">
            <v>0.43610069849679711</v>
          </cell>
          <cell r="H798">
            <v>0.28208125990045968</v>
          </cell>
          <cell r="I798">
            <v>0.19880649216414503</v>
          </cell>
        </row>
        <row r="799">
          <cell r="A799" t="str">
            <v>ITOT-SWHWSTBR</v>
          </cell>
          <cell r="B799" t="str">
            <v>VAR_fout</v>
          </cell>
          <cell r="C799" t="str">
            <v>ITOT-SWH</v>
          </cell>
          <cell r="D799">
            <v>4.1173651468928307</v>
          </cell>
          <cell r="E799">
            <v>4.266313939936988</v>
          </cell>
          <cell r="F799">
            <v>2.961162166203529</v>
          </cell>
          <cell r="G799">
            <v>2.9280920016022227</v>
          </cell>
          <cell r="H799">
            <v>2.8804087723393592</v>
          </cell>
          <cell r="I799">
            <v>4.1366096656265546E-6</v>
          </cell>
        </row>
        <row r="800">
          <cell r="A800" t="str">
            <v>ITOT-SWHWSTBR</v>
          </cell>
          <cell r="B800" t="str">
            <v>VAR_fout</v>
          </cell>
          <cell r="C800" t="str">
            <v>CO2_I</v>
          </cell>
          <cell r="D800">
            <v>723.658116726618</v>
          </cell>
          <cell r="E800">
            <v>749.83699550407596</v>
          </cell>
          <cell r="F800">
            <v>520.44668375698404</v>
          </cell>
          <cell r="G800">
            <v>514.634351796754</v>
          </cell>
          <cell r="H800">
            <v>506.25366301721999</v>
          </cell>
          <cell r="I800">
            <v>7.0565694295982397E-4</v>
          </cell>
        </row>
        <row r="801">
          <cell r="A801" t="str">
            <v>ITOT-SWHWSTBR</v>
          </cell>
          <cell r="B801" t="str">
            <v>VAR_fin</v>
          </cell>
          <cell r="C801" t="str">
            <v>IWST</v>
          </cell>
          <cell r="D801">
            <v>7.7980400509333849</v>
          </cell>
          <cell r="E801">
            <v>8.080140037759449</v>
          </cell>
          <cell r="F801">
            <v>5.6082616784157748</v>
          </cell>
          <cell r="G801">
            <v>5.5456287909132955</v>
          </cell>
          <cell r="H801">
            <v>5.4553196445821177</v>
          </cell>
          <cell r="I801">
            <v>7.6040618853429301E-6</v>
          </cell>
        </row>
        <row r="802">
          <cell r="A802" t="str">
            <v>ITOT-SWHWSTBR</v>
          </cell>
          <cell r="B802" t="str">
            <v>VAR_ncap</v>
          </cell>
          <cell r="C802" t="str">
            <v>-</v>
          </cell>
          <cell r="E802">
            <v>6.5985335395465696E-8</v>
          </cell>
          <cell r="F802">
            <v>5.5367775775120599E-8</v>
          </cell>
          <cell r="G802">
            <v>1.57010919961057E-7</v>
          </cell>
          <cell r="H802">
            <v>4.10205445334825E-2</v>
          </cell>
          <cell r="I802">
            <v>4.5892388306222398E-8</v>
          </cell>
        </row>
        <row r="803">
          <cell r="A803" t="str">
            <v>ITOT-SWHWSTBR</v>
          </cell>
          <cell r="B803" t="str">
            <v>VAR_cap</v>
          </cell>
          <cell r="C803" t="str">
            <v>-</v>
          </cell>
          <cell r="D803">
            <v>0.35954682816669398</v>
          </cell>
          <cell r="E803">
            <v>0.3592504953728784</v>
          </cell>
          <cell r="F803">
            <v>0.33023011209126785</v>
          </cell>
          <cell r="G803">
            <v>0.26191101185695204</v>
          </cell>
          <cell r="H803">
            <v>0.17212035880233309</v>
          </cell>
          <cell r="I803">
            <v>4.6216459219372563E-7</v>
          </cell>
        </row>
        <row r="804">
          <cell r="A804" t="str">
            <v>SCOM-SHSTG-ELC</v>
          </cell>
          <cell r="B804" t="str">
            <v>VAR_fout</v>
          </cell>
          <cell r="C804" t="str">
            <v>SCOM-SHAELCB</v>
          </cell>
          <cell r="F804">
            <v>6.7586318894292174E-2</v>
          </cell>
          <cell r="G804">
            <v>1.977623406426061E-5</v>
          </cell>
          <cell r="H804">
            <v>0.15439054404960451</v>
          </cell>
          <cell r="I804">
            <v>0.1202174473564125</v>
          </cell>
        </row>
        <row r="805">
          <cell r="A805" t="str">
            <v>SCOM-SHSTG-ELC</v>
          </cell>
          <cell r="B805" t="str">
            <v>VAR_fin</v>
          </cell>
          <cell r="C805" t="str">
            <v>SCOM-SHAELCB</v>
          </cell>
          <cell r="F805">
            <v>8.7219604898057801E-2</v>
          </cell>
          <cell r="G805">
            <v>2.6296981493895825E-5</v>
          </cell>
          <cell r="H805">
            <v>0.18164061399419074</v>
          </cell>
          <cell r="I805">
            <v>0.13357844033802233</v>
          </cell>
        </row>
        <row r="806">
          <cell r="A806" t="str">
            <v>SCOM-SHSTG-ELC</v>
          </cell>
          <cell r="B806" t="str">
            <v>VAR_ncap</v>
          </cell>
          <cell r="C806" t="str">
            <v>-</v>
          </cell>
          <cell r="D806">
            <v>2.0329051445559901E-4</v>
          </cell>
          <cell r="E806">
            <v>4.3323564585329398E-2</v>
          </cell>
          <cell r="F806">
            <v>7.9183016245198697E-7</v>
          </cell>
          <cell r="G806">
            <v>9.3778017404114697E-7</v>
          </cell>
          <cell r="H806">
            <v>1.24482802289143E-2</v>
          </cell>
          <cell r="I806">
            <v>2.4390608526832099E-3</v>
          </cell>
        </row>
        <row r="807">
          <cell r="A807" t="str">
            <v>SCOM-SHSTG-ELC</v>
          </cell>
          <cell r="B807" t="str">
            <v>VAR_cap</v>
          </cell>
          <cell r="C807" t="str">
            <v>-</v>
          </cell>
          <cell r="D807">
            <v>2.0329051445559901E-4</v>
          </cell>
          <cell r="E807">
            <v>4.3526664279301575E-2</v>
          </cell>
          <cell r="F807">
            <v>4.3526678782158067E-2</v>
          </cell>
          <cell r="G807">
            <v>4.3526671185833636E-2</v>
          </cell>
          <cell r="H807">
            <v>2.7748402400849439E-2</v>
          </cell>
          <cell r="I807">
            <v>1.7944071213359374E-2</v>
          </cell>
        </row>
        <row r="808">
          <cell r="A808" t="str">
            <v>SCOM-SHNGABR</v>
          </cell>
          <cell r="B808" t="str">
            <v>VAR_fout</v>
          </cell>
          <cell r="C808" t="str">
            <v>CO2_S</v>
          </cell>
          <cell r="D808">
            <v>1440.9459319202499</v>
          </cell>
          <cell r="E808">
            <v>1508.68761127278</v>
          </cell>
          <cell r="F808">
            <v>1463.18619477674</v>
          </cell>
          <cell r="G808">
            <v>1456.5974591643001</v>
          </cell>
          <cell r="H808">
            <v>1153.69803262554</v>
          </cell>
          <cell r="I808">
            <v>581.37490140248599</v>
          </cell>
        </row>
        <row r="809">
          <cell r="A809" t="str">
            <v>SCOM-SHNGABR</v>
          </cell>
          <cell r="B809" t="str">
            <v>VAR_fout</v>
          </cell>
          <cell r="C809" t="str">
            <v>SCOM-SHNGA</v>
          </cell>
          <cell r="D809">
            <v>24.189714037441973</v>
          </cell>
          <cell r="E809">
            <v>25.326919685241769</v>
          </cell>
          <cell r="F809">
            <v>24.563069891189492</v>
          </cell>
          <cell r="G809">
            <v>24.452462250192987</v>
          </cell>
          <cell r="H809">
            <v>19.367572978661716</v>
          </cell>
          <cell r="I809">
            <v>9.7597642645279183</v>
          </cell>
        </row>
        <row r="810">
          <cell r="A810" t="str">
            <v>SCOM-SHNGABR</v>
          </cell>
          <cell r="B810" t="str">
            <v>VAR_fin</v>
          </cell>
          <cell r="C810" t="str">
            <v>SNGA</v>
          </cell>
          <cell r="D810">
            <v>25.548686736174627</v>
          </cell>
          <cell r="E810">
            <v>26.749780341716011</v>
          </cell>
          <cell r="F810">
            <v>25.943017637885468</v>
          </cell>
          <cell r="G810">
            <v>25.826196084473459</v>
          </cell>
          <cell r="H810">
            <v>20.455638876339322</v>
          </cell>
          <cell r="I810">
            <v>10.308065627703659</v>
          </cell>
        </row>
        <row r="811">
          <cell r="A811" t="str">
            <v>SCOM-SHNGABR</v>
          </cell>
          <cell r="B811" t="str">
            <v>VAR_ncap</v>
          </cell>
          <cell r="C811" t="str">
            <v>-</v>
          </cell>
          <cell r="F811">
            <v>1.27349498079583E-8</v>
          </cell>
          <cell r="G811">
            <v>2.51227911960688E-8</v>
          </cell>
          <cell r="H811">
            <v>0.35532173693214097</v>
          </cell>
          <cell r="I811">
            <v>0.58860181803212996</v>
          </cell>
        </row>
        <row r="812">
          <cell r="A812" t="str">
            <v>SCOM-SHNGABR</v>
          </cell>
          <cell r="B812" t="str">
            <v>VAR_cap</v>
          </cell>
          <cell r="C812" t="str">
            <v>-</v>
          </cell>
          <cell r="D812">
            <v>2.7746814978752199</v>
          </cell>
          <cell r="E812">
            <v>2.7746811694241558</v>
          </cell>
          <cell r="F812">
            <v>2.7746809689319609</v>
          </cell>
          <cell r="G812">
            <v>2.7746808797998526</v>
          </cell>
          <cell r="H812">
            <v>1.7521490758731113</v>
          </cell>
          <cell r="I812">
            <v>1.4373208880198582</v>
          </cell>
        </row>
        <row r="813">
          <cell r="A813" t="str">
            <v>RHEM-SHELCHP</v>
          </cell>
          <cell r="B813" t="str">
            <v>VAR_fout</v>
          </cell>
          <cell r="C813" t="str">
            <v>RHEM-SHAELCH</v>
          </cell>
          <cell r="D813">
            <v>9.9025208511905394</v>
          </cell>
          <cell r="E813">
            <v>11.655190511480772</v>
          </cell>
          <cell r="F813">
            <v>11.655190509948483</v>
          </cell>
          <cell r="G813">
            <v>11.655190510208843</v>
          </cell>
          <cell r="H813">
            <v>14.044335679194969</v>
          </cell>
          <cell r="I813">
            <v>20.98497089079823</v>
          </cell>
        </row>
        <row r="814">
          <cell r="A814" t="str">
            <v>RHEM-SHELCHP</v>
          </cell>
          <cell r="B814" t="str">
            <v>VAR_fin</v>
          </cell>
          <cell r="C814" t="str">
            <v>RHEMELCHPC</v>
          </cell>
          <cell r="D814">
            <v>9.9025208511905394</v>
          </cell>
          <cell r="E814">
            <v>11.655190511480772</v>
          </cell>
          <cell r="F814">
            <v>11.655190509948483</v>
          </cell>
          <cell r="G814">
            <v>11.655190510208843</v>
          </cell>
          <cell r="H814">
            <v>14.044335679194969</v>
          </cell>
          <cell r="I814">
            <v>20.98497089079823</v>
          </cell>
        </row>
        <row r="815">
          <cell r="A815" t="str">
            <v>RHEM-SHELCHP</v>
          </cell>
          <cell r="B815" t="str">
            <v>VAR_fin</v>
          </cell>
          <cell r="C815" t="str">
            <v>RHEM_ELC</v>
          </cell>
          <cell r="D815">
            <v>3.0945377452185894</v>
          </cell>
          <cell r="E815">
            <v>3.5825380363086281</v>
          </cell>
          <cell r="F815">
            <v>3.4965571529845443</v>
          </cell>
          <cell r="G815">
            <v>3.3620741856371628</v>
          </cell>
          <cell r="H815">
            <v>3.7957663997824218</v>
          </cell>
          <cell r="I815">
            <v>5.3807617668713448</v>
          </cell>
        </row>
        <row r="816">
          <cell r="A816" t="str">
            <v>RHEM-SHELCHP</v>
          </cell>
          <cell r="B816" t="str">
            <v>VAR_ncap</v>
          </cell>
          <cell r="C816" t="str">
            <v>-</v>
          </cell>
          <cell r="D816">
            <v>1.8384683561172299E-7</v>
          </cell>
          <cell r="E816">
            <v>0.123762236019145</v>
          </cell>
          <cell r="F816">
            <v>4.5799536962211598E-8</v>
          </cell>
          <cell r="H816">
            <v>0.41375450849859102</v>
          </cell>
          <cell r="I816">
            <v>0.93895443386796495</v>
          </cell>
        </row>
        <row r="817">
          <cell r="A817" t="str">
            <v>RHEM-SHELCHP</v>
          </cell>
          <cell r="B817" t="str">
            <v>VAR_cap</v>
          </cell>
          <cell r="C817" t="str">
            <v>-</v>
          </cell>
          <cell r="D817">
            <v>0.6992521342388347</v>
          </cell>
          <cell r="E817">
            <v>0.82301437025797908</v>
          </cell>
          <cell r="F817">
            <v>0.82301441605751602</v>
          </cell>
          <cell r="G817">
            <v>0.82301441605751602</v>
          </cell>
          <cell r="H817">
            <v>0.99348589307327895</v>
          </cell>
          <cell r="I817">
            <v>1.48445322279973</v>
          </cell>
        </row>
        <row r="818">
          <cell r="A818" t="str">
            <v>RHNM-SHSTG-ELC</v>
          </cell>
          <cell r="B818" t="str">
            <v>VAR_fout</v>
          </cell>
          <cell r="C818" t="str">
            <v>RHNM-SHAELCB</v>
          </cell>
          <cell r="F818">
            <v>2.6382241163338174E-2</v>
          </cell>
          <cell r="G818">
            <v>3.0900312022253086E-6</v>
          </cell>
          <cell r="H818">
            <v>8.0201121175577787E-7</v>
          </cell>
          <cell r="I818">
            <v>3.4100267368788552E-7</v>
          </cell>
        </row>
        <row r="819">
          <cell r="A819" t="str">
            <v>RHNM-SHSTG-ELC</v>
          </cell>
          <cell r="B819" t="str">
            <v>VAR_fin</v>
          </cell>
          <cell r="C819" t="str">
            <v>RHNM-SHAELCB</v>
          </cell>
          <cell r="F819">
            <v>2.638331317732865E-2</v>
          </cell>
          <cell r="G819">
            <v>2.9935289561272635E-6</v>
          </cell>
          <cell r="H819">
            <v>7.9499182095764601E-7</v>
          </cell>
          <cell r="I819">
            <v>2.4187183851936649E-7</v>
          </cell>
        </row>
        <row r="820">
          <cell r="A820" t="str">
            <v>RHNM-SHSTG-ELC</v>
          </cell>
          <cell r="B820" t="str">
            <v>VAR_ncap</v>
          </cell>
          <cell r="C820" t="str">
            <v>-</v>
          </cell>
          <cell r="D820">
            <v>3.25590379869761E-6</v>
          </cell>
          <cell r="E820">
            <v>2.8161513413582999E-3</v>
          </cell>
          <cell r="F820">
            <v>1.04927258167996E-6</v>
          </cell>
          <cell r="G820">
            <v>3.0836858890944002E-7</v>
          </cell>
          <cell r="H820">
            <v>2.65215903968452E-7</v>
          </cell>
          <cell r="I820">
            <v>1.3635200305598399E-7</v>
          </cell>
        </row>
        <row r="821">
          <cell r="A821" t="str">
            <v>RHNM-SHSTG-ELC</v>
          </cell>
          <cell r="B821" t="str">
            <v>VAR_cap</v>
          </cell>
          <cell r="C821" t="str">
            <v>-</v>
          </cell>
          <cell r="D821">
            <v>3.25590379869761E-6</v>
          </cell>
          <cell r="E821">
            <v>2.8193065811421905E-3</v>
          </cell>
          <cell r="F821">
            <v>2.8200911684232782E-3</v>
          </cell>
          <cell r="G821">
            <v>1.3983086405199366E-6</v>
          </cell>
          <cell r="H821">
            <v>4.9196534124043291E-7</v>
          </cell>
          <cell r="I821">
            <v>2.1374323743294098E-7</v>
          </cell>
        </row>
        <row r="822">
          <cell r="A822" t="str">
            <v>D-RWOD</v>
          </cell>
          <cell r="B822" t="str">
            <v>VAR_fout</v>
          </cell>
          <cell r="C822" t="str">
            <v>RWOD</v>
          </cell>
          <cell r="D822">
            <v>13.722983032506315</v>
          </cell>
          <cell r="E822">
            <v>13.742946837316778</v>
          </cell>
          <cell r="F822">
            <v>12.328155422961308</v>
          </cell>
          <cell r="G822">
            <v>12.155906964467924</v>
          </cell>
          <cell r="H822">
            <v>12.253391100390797</v>
          </cell>
          <cell r="I822">
            <v>6.739349163127712</v>
          </cell>
        </row>
        <row r="823">
          <cell r="A823" t="str">
            <v>D-RWOD</v>
          </cell>
          <cell r="B823" t="str">
            <v>VAR_fin</v>
          </cell>
          <cell r="C823" t="str">
            <v>WOD</v>
          </cell>
          <cell r="D823">
            <v>13.722983032506315</v>
          </cell>
          <cell r="E823">
            <v>13.742946837316778</v>
          </cell>
          <cell r="F823">
            <v>12.328155422961308</v>
          </cell>
          <cell r="G823">
            <v>12.155906964467924</v>
          </cell>
          <cell r="H823">
            <v>12.253391100390797</v>
          </cell>
          <cell r="I823">
            <v>6.739349163127712</v>
          </cell>
        </row>
        <row r="824">
          <cell r="A824" t="str">
            <v>RHNS-SHLTHCHPWOD</v>
          </cell>
          <cell r="B824" t="str">
            <v>VAR_fout</v>
          </cell>
          <cell r="C824" t="str">
            <v>RHNS-SHLTHC-WOD</v>
          </cell>
          <cell r="G824">
            <v>3.4994635811065504E-5</v>
          </cell>
          <cell r="H824">
            <v>6.367775902558485E-5</v>
          </cell>
          <cell r="I824">
            <v>2.976227369190211E-5</v>
          </cell>
        </row>
        <row r="825">
          <cell r="A825" t="str">
            <v>RHNS-SHLTHCHPWOD</v>
          </cell>
          <cell r="B825" t="str">
            <v>VAR_fin</v>
          </cell>
          <cell r="C825" t="str">
            <v>RHNS_LTH_CHPWOD_ON</v>
          </cell>
          <cell r="G825">
            <v>3.5348116980874282E-5</v>
          </cell>
          <cell r="H825">
            <v>6.4320968712711942E-5</v>
          </cell>
          <cell r="I825">
            <v>3.0062902719093037E-5</v>
          </cell>
        </row>
        <row r="826">
          <cell r="A826" t="str">
            <v>RHNS-SHLTHCHPWOD</v>
          </cell>
          <cell r="B826" t="str">
            <v>VAR_fin</v>
          </cell>
          <cell r="C826" t="str">
            <v>RHNSLTHCHPC</v>
          </cell>
          <cell r="G826">
            <v>3.4994635811065504E-5</v>
          </cell>
          <cell r="H826">
            <v>6.367775902558485E-5</v>
          </cell>
          <cell r="I826">
            <v>2.976227369190211E-5</v>
          </cell>
        </row>
        <row r="827">
          <cell r="A827" t="str">
            <v>RHNS-SHLTHCHPWOD</v>
          </cell>
          <cell r="B827" t="str">
            <v>VAR_ncap</v>
          </cell>
          <cell r="C827" t="str">
            <v>-</v>
          </cell>
          <cell r="G827">
            <v>3.78800242379247E-6</v>
          </cell>
          <cell r="H827">
            <v>5.2462660049685296E-6</v>
          </cell>
          <cell r="I827">
            <v>1.73472729341403E-6</v>
          </cell>
        </row>
        <row r="828">
          <cell r="A828" t="str">
            <v>RHNS-SHLTHCHPWOD</v>
          </cell>
          <cell r="B828" t="str">
            <v>VAR_cap</v>
          </cell>
          <cell r="C828" t="str">
            <v>-</v>
          </cell>
          <cell r="G828">
            <v>3.78800242379247E-6</v>
          </cell>
          <cell r="H828">
            <v>6.6034544289107703E-6</v>
          </cell>
          <cell r="I828">
            <v>2.9660687926147898E-6</v>
          </cell>
        </row>
        <row r="829">
          <cell r="A829" t="str">
            <v>RHNM-SHELCBR</v>
          </cell>
          <cell r="B829" t="str">
            <v>VAR_fout</v>
          </cell>
          <cell r="C829" t="str">
            <v>RHNM-SHAELCB</v>
          </cell>
          <cell r="E829">
            <v>0.15438565663693879</v>
          </cell>
          <cell r="F829">
            <v>0.15232422712581509</v>
          </cell>
          <cell r="G829">
            <v>4.0009049731229229E-5</v>
          </cell>
          <cell r="H829">
            <v>1.4106252658727516E-5</v>
          </cell>
          <cell r="I829">
            <v>5.9284327285337908E-6</v>
          </cell>
        </row>
        <row r="830">
          <cell r="A830" t="str">
            <v>RHNM-SHELCBR</v>
          </cell>
          <cell r="B830" t="str">
            <v>VAR_fin</v>
          </cell>
          <cell r="C830" t="str">
            <v>RHNM_ELC</v>
          </cell>
          <cell r="E830">
            <v>0.16251121751256711</v>
          </cell>
          <cell r="F830">
            <v>0.16034129171138445</v>
          </cell>
          <cell r="G830">
            <v>4.2114789190767597E-5</v>
          </cell>
          <cell r="H830">
            <v>1.4848687009186847E-5</v>
          </cell>
          <cell r="I830">
            <v>6.240455503719778E-6</v>
          </cell>
        </row>
        <row r="831">
          <cell r="A831" t="str">
            <v>RHNM-SHELCBR</v>
          </cell>
          <cell r="B831" t="str">
            <v>VAR_ncap</v>
          </cell>
          <cell r="C831" t="str">
            <v>-</v>
          </cell>
          <cell r="E831">
            <v>1.19854231460685E-2</v>
          </cell>
        </row>
        <row r="832">
          <cell r="A832" t="str">
            <v>RHNM-SHELCBR</v>
          </cell>
          <cell r="B832" t="str">
            <v>VAR_cap</v>
          </cell>
          <cell r="C832" t="str">
            <v>-</v>
          </cell>
          <cell r="E832">
            <v>1.19854231460685E-2</v>
          </cell>
          <cell r="F832">
            <v>1.1985408701396555E-2</v>
          </cell>
          <cell r="G832">
            <v>5.9502994522991209E-6</v>
          </cell>
          <cell r="H832">
            <v>2.1295470566786501E-6</v>
          </cell>
          <cell r="I832">
            <v>8.9445184010173233E-7</v>
          </cell>
        </row>
        <row r="833">
          <cell r="A833" t="str">
            <v>RHNS-SHSTG-NGAHP</v>
          </cell>
          <cell r="B833" t="str">
            <v>VAR_fout</v>
          </cell>
          <cell r="C833" t="str">
            <v>RHNS-SHANGAH</v>
          </cell>
          <cell r="F833">
            <v>2.8372643479729366E-5</v>
          </cell>
          <cell r="G833">
            <v>3.9649170833119548E-5</v>
          </cell>
          <cell r="H833">
            <v>6.0332229595136556E-3</v>
          </cell>
          <cell r="I833">
            <v>1.9116943576038672E-2</v>
          </cell>
        </row>
        <row r="834">
          <cell r="A834" t="str">
            <v>RHNS-SHSTG-NGAHP</v>
          </cell>
          <cell r="B834" t="str">
            <v>VAR_fin</v>
          </cell>
          <cell r="C834" t="str">
            <v>RHNS-SHANGAH</v>
          </cell>
          <cell r="F834">
            <v>2.8252084549456205E-5</v>
          </cell>
          <cell r="G834">
            <v>3.9454919259592301E-5</v>
          </cell>
          <cell r="H834">
            <v>6.033859568802296E-3</v>
          </cell>
          <cell r="I834">
            <v>1.9117623230312023E-2</v>
          </cell>
        </row>
        <row r="835">
          <cell r="A835" t="str">
            <v>RHNS-SHSTG-NGAHP</v>
          </cell>
          <cell r="B835" t="str">
            <v>VAR_ncap</v>
          </cell>
          <cell r="C835" t="str">
            <v>-</v>
          </cell>
          <cell r="D835">
            <v>1.0105333201614599E-7</v>
          </cell>
          <cell r="E835">
            <v>1.53907252374059E-7</v>
          </cell>
          <cell r="F835">
            <v>7.9344324935959705E-6</v>
          </cell>
          <cell r="G835">
            <v>4.0241731564809898E-7</v>
          </cell>
          <cell r="H835">
            <v>7.1573988852115803E-7</v>
          </cell>
          <cell r="I835">
            <v>1.1324221852016499E-3</v>
          </cell>
        </row>
        <row r="836">
          <cell r="A836" t="str">
            <v>RHNS-SHSTG-NGAHP</v>
          </cell>
          <cell r="B836" t="str">
            <v>VAR_cap</v>
          </cell>
          <cell r="C836" t="str">
            <v>-</v>
          </cell>
          <cell r="D836">
            <v>1.0105333201614599E-7</v>
          </cell>
          <cell r="E836">
            <v>1.2207199563311988E-8</v>
          </cell>
          <cell r="F836">
            <v>7.903773208526657E-6</v>
          </cell>
          <cell r="G836">
            <v>7.960457119155513E-6</v>
          </cell>
          <cell r="H836">
            <v>1.7416421528351905E-3</v>
          </cell>
          <cell r="I836">
            <v>1.8684567693303771E-3</v>
          </cell>
        </row>
        <row r="837">
          <cell r="A837" t="str">
            <v>RHNS-SHLTHDH</v>
          </cell>
          <cell r="B837" t="str">
            <v>VAR_fout</v>
          </cell>
          <cell r="C837" t="str">
            <v>RHNS-SHLTHD</v>
          </cell>
          <cell r="E837">
            <v>5.3907907358039027E-2</v>
          </cell>
          <cell r="F837">
            <v>7.1751094047341674E-2</v>
          </cell>
          <cell r="G837">
            <v>0.11555504798438654</v>
          </cell>
          <cell r="H837">
            <v>0.29971939632288075</v>
          </cell>
          <cell r="I837">
            <v>0.45010355918124462</v>
          </cell>
        </row>
        <row r="838">
          <cell r="A838" t="str">
            <v>RHNS-SHLTHDH</v>
          </cell>
          <cell r="B838" t="str">
            <v>VAR_fin</v>
          </cell>
          <cell r="C838" t="str">
            <v>RHNS_LTH_DH</v>
          </cell>
          <cell r="E838">
            <v>5.4452431674786958E-2</v>
          </cell>
          <cell r="F838">
            <v>7.2475852573072444E-2</v>
          </cell>
          <cell r="G838">
            <v>0.11672227069129953</v>
          </cell>
          <cell r="H838">
            <v>0.30274686497260678</v>
          </cell>
          <cell r="I838">
            <v>0.45465005977903472</v>
          </cell>
        </row>
        <row r="839">
          <cell r="A839" t="str">
            <v>RHNS-SHLTHDH</v>
          </cell>
          <cell r="B839" t="str">
            <v>VAR_fin</v>
          </cell>
          <cell r="C839" t="str">
            <v>RHNSLTHDHC</v>
          </cell>
          <cell r="E839">
            <v>5.3907907358039027E-2</v>
          </cell>
          <cell r="F839">
            <v>7.1751094047341674E-2</v>
          </cell>
          <cell r="G839">
            <v>0.11555504798438654</v>
          </cell>
          <cell r="H839">
            <v>0.29971939632288075</v>
          </cell>
          <cell r="I839">
            <v>0.45010355918124462</v>
          </cell>
        </row>
        <row r="840">
          <cell r="A840" t="str">
            <v>RHNS-SHLTHDH</v>
          </cell>
          <cell r="B840" t="str">
            <v>VAR_ncap</v>
          </cell>
          <cell r="C840" t="str">
            <v>-</v>
          </cell>
          <cell r="E840">
            <v>4.6036632359239896E-3</v>
          </cell>
          <cell r="F840">
            <v>1.07010582342854E-3</v>
          </cell>
          <cell r="G840">
            <v>3.5362720061626E-3</v>
          </cell>
          <cell r="H840">
            <v>8.8029248522708999E-3</v>
          </cell>
          <cell r="I840">
            <v>1.0859945309525E-2</v>
          </cell>
        </row>
        <row r="841">
          <cell r="A841" t="str">
            <v>RHNS-SHLTHDH</v>
          </cell>
          <cell r="B841" t="str">
            <v>VAR_cap</v>
          </cell>
          <cell r="C841" t="str">
            <v>-</v>
          </cell>
          <cell r="E841">
            <v>4.6036632359239896E-3</v>
          </cell>
          <cell r="F841">
            <v>5.6737690593525198E-3</v>
          </cell>
          <cell r="G841">
            <v>9.2100410655151302E-3</v>
          </cell>
          <cell r="H841">
            <v>2.32255971382185E-2</v>
          </cell>
          <cell r="I841">
            <v>3.4085542447743498E-2</v>
          </cell>
        </row>
        <row r="842">
          <cell r="A842" t="str">
            <v>ITOT-SWHNGAHP</v>
          </cell>
          <cell r="B842" t="str">
            <v>VAR_fout</v>
          </cell>
          <cell r="C842" t="str">
            <v>ITOT-SWHANGAH</v>
          </cell>
          <cell r="F842">
            <v>2.6084165597955409E-4</v>
          </cell>
          <cell r="G842">
            <v>2.3141308045877728E-4</v>
          </cell>
          <cell r="H842">
            <v>1.5422524370052473E-4</v>
          </cell>
          <cell r="I842">
            <v>1.471878216067389E-4</v>
          </cell>
        </row>
        <row r="843">
          <cell r="A843" t="str">
            <v>ITOT-SWHNGAHP</v>
          </cell>
          <cell r="B843" t="str">
            <v>VAR_fout</v>
          </cell>
          <cell r="C843" t="str">
            <v>CO2_I</v>
          </cell>
          <cell r="F843">
            <v>7.8027377347735603E-3</v>
          </cell>
          <cell r="G843">
            <v>6.7897671350715602E-3</v>
          </cell>
          <cell r="H843">
            <v>4.3580163384486902E-3</v>
          </cell>
          <cell r="I843">
            <v>4.0111026448618496E-3</v>
          </cell>
        </row>
        <row r="844">
          <cell r="A844" t="str">
            <v>ITOT-SWHNGAHP</v>
          </cell>
          <cell r="B844" t="str">
            <v>VAR_fin</v>
          </cell>
          <cell r="C844" t="str">
            <v>ITOTELCHPC</v>
          </cell>
          <cell r="F844">
            <v>2.6084165597955409E-4</v>
          </cell>
          <cell r="G844">
            <v>2.3141308045877728E-4</v>
          </cell>
          <cell r="H844">
            <v>1.5422524370052473E-4</v>
          </cell>
          <cell r="I844">
            <v>1.471878216067389E-4</v>
          </cell>
        </row>
        <row r="845">
          <cell r="A845" t="str">
            <v>ITOT-SWHNGAHP</v>
          </cell>
          <cell r="B845" t="str">
            <v>VAR_fin</v>
          </cell>
          <cell r="C845" t="str">
            <v>INGA</v>
          </cell>
          <cell r="F845">
            <v>1.3834641373711986E-4</v>
          </cell>
          <cell r="G845">
            <v>1.2038594211119791E-4</v>
          </cell>
          <cell r="H845">
            <v>7.7269793234905829E-5</v>
          </cell>
          <cell r="I845">
            <v>7.1118841220954812E-5</v>
          </cell>
        </row>
        <row r="846">
          <cell r="A846" t="str">
            <v>ITOT-SWHNGAHP</v>
          </cell>
          <cell r="B846" t="str">
            <v>VAR_ncap</v>
          </cell>
          <cell r="C846" t="str">
            <v>-</v>
          </cell>
          <cell r="E846">
            <v>1.16854010230619E-6</v>
          </cell>
          <cell r="F846">
            <v>1.46196684306076E-5</v>
          </cell>
          <cell r="G846">
            <v>3.66705269365816E-8</v>
          </cell>
          <cell r="H846">
            <v>1.00871804140781E-5</v>
          </cell>
          <cell r="I846">
            <v>2.4152794255393802E-6</v>
          </cell>
        </row>
        <row r="847">
          <cell r="A847" t="str">
            <v>ITOT-SWHNGAHP</v>
          </cell>
          <cell r="B847" t="str">
            <v>VAR_cap</v>
          </cell>
          <cell r="C847" t="str">
            <v>-</v>
          </cell>
          <cell r="E847">
            <v>1.16854010230619E-6</v>
          </cell>
          <cell r="F847">
            <v>1.57882085329137E-5</v>
          </cell>
          <cell r="G847">
            <v>1.5809597193699207E-5</v>
          </cell>
          <cell r="H847">
            <v>1.2763480959475694E-5</v>
          </cell>
          <cell r="I847">
            <v>9.7654848420311935E-6</v>
          </cell>
        </row>
        <row r="848">
          <cell r="A848" t="str">
            <v>RHSA-WHLFOBR</v>
          </cell>
          <cell r="B848" t="str">
            <v>VAR_fout</v>
          </cell>
          <cell r="C848" t="str">
            <v>CO2_R</v>
          </cell>
          <cell r="D848">
            <v>726.71205541220297</v>
          </cell>
          <cell r="E848">
            <v>659.85400550488498</v>
          </cell>
          <cell r="F848">
            <v>545.27463519534501</v>
          </cell>
          <cell r="G848">
            <v>2.39835697362378E-3</v>
          </cell>
          <cell r="H848">
            <v>6.9119572582955599E-4</v>
          </cell>
          <cell r="I848">
            <v>1.65780389196233E-4</v>
          </cell>
        </row>
        <row r="849">
          <cell r="A849" t="str">
            <v>RHSA-WHLFOBR</v>
          </cell>
          <cell r="B849" t="str">
            <v>VAR_fout</v>
          </cell>
          <cell r="C849" t="str">
            <v>RHSA-WHLFO</v>
          </cell>
          <cell r="D849">
            <v>6.9844555303072315</v>
          </cell>
          <cell r="E849">
            <v>6.3978381922256817</v>
          </cell>
          <cell r="F849">
            <v>5.3562566635680176</v>
          </cell>
          <cell r="G849">
            <v>2.4067636975249963E-5</v>
          </cell>
          <cell r="H849">
            <v>7.0827241806087169E-6</v>
          </cell>
          <cell r="I849">
            <v>1.6987616204102886E-6</v>
          </cell>
        </row>
        <row r="850">
          <cell r="A850" t="str">
            <v>RHSA-WHLFOBR</v>
          </cell>
          <cell r="B850" t="str">
            <v>VAR_fin</v>
          </cell>
          <cell r="C850" t="str">
            <v>RLFO</v>
          </cell>
          <cell r="D850">
            <v>9.8604078074925727</v>
          </cell>
          <cell r="E850">
            <v>8.953242951219611</v>
          </cell>
          <cell r="F850">
            <v>7.3985703554320885</v>
          </cell>
          <cell r="G850">
            <v>3.2542157036957671E-5</v>
          </cell>
          <cell r="H850">
            <v>9.3785037425991313E-6</v>
          </cell>
          <cell r="I850">
            <v>2.2493946973708659E-6</v>
          </cell>
        </row>
        <row r="851">
          <cell r="A851" t="str">
            <v>RHSA-WHLFOBR</v>
          </cell>
          <cell r="B851" t="str">
            <v>VAR_cap</v>
          </cell>
          <cell r="C851" t="str">
            <v>-</v>
          </cell>
          <cell r="D851">
            <v>0.47738433216181703</v>
          </cell>
          <cell r="E851">
            <v>0.47738433216181703</v>
          </cell>
          <cell r="F851">
            <v>0.39934763371874304</v>
          </cell>
          <cell r="G851">
            <v>2.8849654590268337E-6</v>
          </cell>
          <cell r="H851">
            <v>7.6961755616353745E-7</v>
          </cell>
          <cell r="I851">
            <v>3.1653532124979067E-7</v>
          </cell>
        </row>
        <row r="852">
          <cell r="A852" t="str">
            <v>D-IWST</v>
          </cell>
          <cell r="B852" t="str">
            <v>VAR_fout</v>
          </cell>
          <cell r="C852" t="str">
            <v>CO2</v>
          </cell>
          <cell r="D852">
            <v>1068.12800945046</v>
          </cell>
          <cell r="E852">
            <v>1060.6139174586999</v>
          </cell>
          <cell r="F852">
            <v>1024.6410418196899</v>
          </cell>
          <cell r="G852">
            <v>1013.19791902905</v>
          </cell>
          <cell r="H852">
            <v>996.69823811663298</v>
          </cell>
          <cell r="I852">
            <v>986.585117560448</v>
          </cell>
        </row>
        <row r="853">
          <cell r="A853" t="str">
            <v>D-IWST</v>
          </cell>
          <cell r="B853" t="str">
            <v>VAR_fout</v>
          </cell>
          <cell r="C853" t="str">
            <v>IWST</v>
          </cell>
          <cell r="D853">
            <v>11.510000101836887</v>
          </cell>
          <cell r="E853">
            <v>11.429029282960183</v>
          </cell>
          <cell r="F853">
            <v>11.041390536850139</v>
          </cell>
          <cell r="G853">
            <v>10.91808102401996</v>
          </cell>
          <cell r="H853">
            <v>10.74028273832579</v>
          </cell>
          <cell r="I853">
            <v>10.631305146125529</v>
          </cell>
        </row>
        <row r="854">
          <cell r="A854" t="str">
            <v>D-IWST</v>
          </cell>
          <cell r="B854" t="str">
            <v>VAR_fin</v>
          </cell>
          <cell r="C854" t="str">
            <v>WSTNREN</v>
          </cell>
          <cell r="D854">
            <v>11.510000101836887</v>
          </cell>
          <cell r="E854">
            <v>11.429029282960183</v>
          </cell>
          <cell r="F854">
            <v>11.041390536850139</v>
          </cell>
          <cell r="G854">
            <v>10.91808102401996</v>
          </cell>
          <cell r="H854">
            <v>10.74028273832579</v>
          </cell>
          <cell r="I854">
            <v>10.631305146125529</v>
          </cell>
        </row>
        <row r="855">
          <cell r="A855" t="str">
            <v>RHES-SHLFOBR</v>
          </cell>
          <cell r="B855" t="str">
            <v>VAR_fout</v>
          </cell>
          <cell r="C855" t="str">
            <v>CO2_R</v>
          </cell>
          <cell r="D855">
            <v>1783.6624178562299</v>
          </cell>
          <cell r="E855">
            <v>1640.9694253377299</v>
          </cell>
          <cell r="F855">
            <v>1780.5265794336699</v>
          </cell>
          <cell r="G855">
            <v>1363.3524266013001</v>
          </cell>
          <cell r="H855">
            <v>662.79365245910299</v>
          </cell>
          <cell r="I855">
            <v>2.2976011112780799E-3</v>
          </cell>
        </row>
        <row r="856">
          <cell r="A856" t="str">
            <v>RHES-SHLFOBR</v>
          </cell>
          <cell r="B856" t="str">
            <v>VAR_fout</v>
          </cell>
          <cell r="C856" t="str">
            <v>RHES-SHLFO</v>
          </cell>
          <cell r="D856">
            <v>21.680654672042589</v>
          </cell>
          <cell r="E856">
            <v>19.946202309340315</v>
          </cell>
          <cell r="F856">
            <v>21.642538137620939</v>
          </cell>
          <cell r="G856">
            <v>16.571730648986811</v>
          </cell>
          <cell r="H856">
            <v>8.0563452780815918</v>
          </cell>
          <cell r="I856">
            <v>2.7927648062233616E-5</v>
          </cell>
        </row>
        <row r="857">
          <cell r="A857" t="str">
            <v>RHES-SHLFOBR</v>
          </cell>
          <cell r="B857" t="str">
            <v>VAR_fin</v>
          </cell>
          <cell r="C857" t="str">
            <v>RLFO</v>
          </cell>
          <cell r="D857">
            <v>24.201661029256854</v>
          </cell>
          <cell r="E857">
            <v>22.265528159263624</v>
          </cell>
          <cell r="F857">
            <v>24.159112339669864</v>
          </cell>
          <cell r="G857">
            <v>18.498676073287577</v>
          </cell>
          <cell r="H857">
            <v>8.9931296127422353</v>
          </cell>
          <cell r="I857">
            <v>3.1175048999702596E-5</v>
          </cell>
        </row>
        <row r="858">
          <cell r="A858" t="str">
            <v>RHES-SHLFOBR</v>
          </cell>
          <cell r="B858" t="str">
            <v>VAR_cap</v>
          </cell>
          <cell r="C858" t="str">
            <v>-</v>
          </cell>
          <cell r="D858">
            <v>1.7515307393373001</v>
          </cell>
          <cell r="E858">
            <v>1.7515307225878611</v>
          </cell>
          <cell r="F858">
            <v>1.7515307120759815</v>
          </cell>
          <cell r="G858">
            <v>1.7515306910651101</v>
          </cell>
          <cell r="H858">
            <v>0.65199487431682002</v>
          </cell>
          <cell r="I858">
            <v>3.8517654279979219E-6</v>
          </cell>
        </row>
        <row r="859">
          <cell r="A859" t="str">
            <v>ITOT-SWHSTG</v>
          </cell>
          <cell r="B859" t="str">
            <v>VAR_fout</v>
          </cell>
          <cell r="C859" t="str">
            <v>ITOT-SWH</v>
          </cell>
          <cell r="F859">
            <v>4.5962620420399549E-5</v>
          </cell>
          <cell r="G859">
            <v>2.1223958903442659E-5</v>
          </cell>
          <cell r="H859">
            <v>2.0469162116774613E-4</v>
          </cell>
          <cell r="I859">
            <v>2.0621245082570105</v>
          </cell>
        </row>
        <row r="860">
          <cell r="A860" t="str">
            <v>ITOT-SWHSTG</v>
          </cell>
          <cell r="B860" t="str">
            <v>VAR_fout</v>
          </cell>
          <cell r="C860" t="str">
            <v>AUX_ITOT-STG_OUT</v>
          </cell>
          <cell r="F860">
            <v>4.5903994629047002E-5</v>
          </cell>
          <cell r="G860">
            <v>2.1223958903442709E-5</v>
          </cell>
          <cell r="H860">
            <v>2.0469162116774653E-4</v>
          </cell>
          <cell r="I860">
            <v>2.0621245082570105</v>
          </cell>
        </row>
        <row r="861">
          <cell r="A861" t="str">
            <v>ITOT-SWHSTG</v>
          </cell>
          <cell r="B861" t="str">
            <v>VAR_fin</v>
          </cell>
          <cell r="C861" t="str">
            <v>AUX_ITOT-STG_IN</v>
          </cell>
          <cell r="F861">
            <v>5.471740336669541E-5</v>
          </cell>
          <cell r="G861">
            <v>2.4395351659289043E-5</v>
          </cell>
          <cell r="H861">
            <v>2.2009845441873068E-4</v>
          </cell>
          <cell r="I861">
            <v>2.0829539366228804</v>
          </cell>
        </row>
        <row r="862">
          <cell r="A862" t="str">
            <v>ITOT-SWHSTG</v>
          </cell>
          <cell r="B862" t="str">
            <v>VAR_fin</v>
          </cell>
          <cell r="C862" t="str">
            <v>ITOT-SWH</v>
          </cell>
          <cell r="F862">
            <v>5.471740336669541E-5</v>
          </cell>
          <cell r="G862">
            <v>2.4395351659289043E-5</v>
          </cell>
          <cell r="H862">
            <v>2.2009845441873068E-4</v>
          </cell>
          <cell r="I862">
            <v>2.0829539366228804</v>
          </cell>
        </row>
        <row r="863">
          <cell r="A863" t="str">
            <v>ITOT-SWHSTG</v>
          </cell>
          <cell r="B863" t="str">
            <v>VAR_ncap</v>
          </cell>
          <cell r="C863" t="str">
            <v>-</v>
          </cell>
          <cell r="D863">
            <v>1.4231440940293901E-5</v>
          </cell>
          <cell r="E863">
            <v>5.7726773569887203E-8</v>
          </cell>
          <cell r="F863">
            <v>7.44743053027034E-8</v>
          </cell>
          <cell r="G863">
            <v>6.2879164557138094E-8</v>
          </cell>
          <cell r="H863">
            <v>4.06315728857686E-5</v>
          </cell>
          <cell r="I863">
            <v>0.46842616237537898</v>
          </cell>
        </row>
        <row r="864">
          <cell r="A864" t="str">
            <v>ITOT-SWHSTG</v>
          </cell>
          <cell r="B864" t="str">
            <v>VAR_cap</v>
          </cell>
          <cell r="C864" t="str">
            <v>-</v>
          </cell>
          <cell r="D864">
            <v>1.4231440940293901E-5</v>
          </cell>
          <cell r="E864">
            <v>1.4276270897230604E-5</v>
          </cell>
          <cell r="F864">
            <v>1.4338590913376497E-5</v>
          </cell>
          <cell r="G864">
            <v>1.4362131330720996E-5</v>
          </cell>
          <cell r="H864">
            <v>5.9140568945121626E-5</v>
          </cell>
          <cell r="I864">
            <v>0.46846340456923846</v>
          </cell>
        </row>
        <row r="865">
          <cell r="A865" t="str">
            <v>SCOM-SHLFOBR</v>
          </cell>
          <cell r="B865" t="str">
            <v>VAR_fout</v>
          </cell>
          <cell r="C865" t="str">
            <v>CO2_S</v>
          </cell>
          <cell r="D865">
            <v>2229.9139079586298</v>
          </cell>
          <cell r="E865">
            <v>1786.4449618752701</v>
          </cell>
          <cell r="F865">
            <v>1968.24971815403</v>
          </cell>
          <cell r="G865">
            <v>1438.4173445321301</v>
          </cell>
          <cell r="H865">
            <v>626.23335064458797</v>
          </cell>
          <cell r="I865">
            <v>64.267965077439996</v>
          </cell>
        </row>
        <row r="866">
          <cell r="A866" t="str">
            <v>SCOM-SHLFOBR</v>
          </cell>
          <cell r="B866" t="str">
            <v>VAR_fout</v>
          </cell>
          <cell r="C866" t="str">
            <v>SCOM-SHLFO</v>
          </cell>
          <cell r="D866">
            <v>24.843069384565862</v>
          </cell>
          <cell r="E866">
            <v>19.941872511711868</v>
          </cell>
          <cell r="F866">
            <v>22.036469793225752</v>
          </cell>
          <cell r="G866">
            <v>16.183813507337163</v>
          </cell>
          <cell r="H866">
            <v>7.1162880755066844</v>
          </cell>
          <cell r="I866">
            <v>0.73031778497090816</v>
          </cell>
        </row>
        <row r="867">
          <cell r="A867" t="str">
            <v>SCOM-SHLFOBR</v>
          </cell>
          <cell r="B867" t="str">
            <v>VAR_fin</v>
          </cell>
          <cell r="C867" t="str">
            <v>SLFO</v>
          </cell>
          <cell r="D867">
            <v>30.256633757919012</v>
          </cell>
          <cell r="E867">
            <v>24.239416036299403</v>
          </cell>
          <cell r="F867">
            <v>26.70623769544142</v>
          </cell>
          <cell r="G867">
            <v>19.517195990937967</v>
          </cell>
          <cell r="H867">
            <v>8.4970603886646945</v>
          </cell>
          <cell r="I867">
            <v>0.87202123578615987</v>
          </cell>
        </row>
        <row r="868">
          <cell r="A868" t="str">
            <v>SCOM-SHLFOBR</v>
          </cell>
          <cell r="B868" t="str">
            <v>VAR_ncap</v>
          </cell>
          <cell r="C868" t="str">
            <v>-</v>
          </cell>
          <cell r="G868">
            <v>1.42045126000783E-8</v>
          </cell>
          <cell r="H868">
            <v>0.10973491021732</v>
          </cell>
          <cell r="I868">
            <v>1.3619781279076099E-8</v>
          </cell>
        </row>
        <row r="869">
          <cell r="A869" t="str">
            <v>SCOM-SHLFOBR</v>
          </cell>
          <cell r="B869" t="str">
            <v>VAR_cap</v>
          </cell>
          <cell r="C869" t="str">
            <v>-</v>
          </cell>
          <cell r="D869">
            <v>1.92857365722512</v>
          </cell>
          <cell r="E869">
            <v>1.9285734896496793</v>
          </cell>
          <cell r="F869">
            <v>1.9285732186451419</v>
          </cell>
          <cell r="G869">
            <v>1.9285730992591259</v>
          </cell>
          <cell r="H869">
            <v>0.55960654606600035</v>
          </cell>
          <cell r="I869">
            <v>0.121211850290462</v>
          </cell>
        </row>
        <row r="870">
          <cell r="A870" t="str">
            <v>RHNM-SHPLTBR</v>
          </cell>
          <cell r="B870" t="str">
            <v>VAR_fout</v>
          </cell>
          <cell r="C870" t="str">
            <v>RHNM-SHPLT</v>
          </cell>
          <cell r="E870">
            <v>7.3538092501795743E-2</v>
          </cell>
          <cell r="F870">
            <v>7.6573135339644202E-2</v>
          </cell>
          <cell r="G870">
            <v>0.20610264968759864</v>
          </cell>
          <cell r="H870">
            <v>0.32164081282910911</v>
          </cell>
          <cell r="I870">
            <v>0.46137905888580732</v>
          </cell>
        </row>
        <row r="871">
          <cell r="A871" t="str">
            <v>RHNM-SHPLTBR</v>
          </cell>
          <cell r="B871" t="str">
            <v>VAR_fin</v>
          </cell>
          <cell r="C871" t="str">
            <v>RPLT</v>
          </cell>
          <cell r="E871">
            <v>8.1708991668661995E-2</v>
          </cell>
          <cell r="F871">
            <v>8.5081261488493584E-2</v>
          </cell>
          <cell r="G871">
            <v>0.22900294409733191</v>
          </cell>
          <cell r="H871">
            <v>0.35737868092123254</v>
          </cell>
          <cell r="I871">
            <v>0.51264339876200815</v>
          </cell>
        </row>
        <row r="872">
          <cell r="A872" t="str">
            <v>RHNM-SHPLTBR</v>
          </cell>
          <cell r="B872" t="str">
            <v>VAR_fin</v>
          </cell>
          <cell r="C872" t="str">
            <v>RHNMPLTBRC</v>
          </cell>
          <cell r="E872">
            <v>7.3538092501795743E-2</v>
          </cell>
          <cell r="F872">
            <v>7.6573135339644202E-2</v>
          </cell>
          <cell r="G872">
            <v>0.20610264968759864</v>
          </cell>
          <cell r="H872">
            <v>0.32164081282910911</v>
          </cell>
          <cell r="I872">
            <v>0.46137905888580732</v>
          </cell>
        </row>
        <row r="873">
          <cell r="A873" t="str">
            <v>RHNM-SHPLTBR</v>
          </cell>
          <cell r="B873" t="str">
            <v>VAR_ncap</v>
          </cell>
          <cell r="C873" t="str">
            <v>-</v>
          </cell>
          <cell r="E873">
            <v>5.9646030169972298E-3</v>
          </cell>
          <cell r="F873">
            <v>5.3395986007572302E-8</v>
          </cell>
          <cell r="G873">
            <v>1.00333609212167E-2</v>
          </cell>
          <cell r="H873">
            <v>1.06596962458311E-2</v>
          </cell>
          <cell r="I873">
            <v>2.50312928706924E-2</v>
          </cell>
        </row>
        <row r="874">
          <cell r="A874" t="str">
            <v>RHNM-SHPLTBR</v>
          </cell>
          <cell r="B874" t="str">
            <v>VAR_cap</v>
          </cell>
          <cell r="C874" t="str">
            <v>-</v>
          </cell>
          <cell r="E874">
            <v>5.9646030169972298E-3</v>
          </cell>
          <cell r="F874">
            <v>5.9646564129832297E-3</v>
          </cell>
          <cell r="G874">
            <v>1.5998017334200001E-2</v>
          </cell>
          <cell r="H874">
            <v>2.496752357441373E-2</v>
          </cell>
          <cell r="I874">
            <v>3.5920889913801803E-2</v>
          </cell>
        </row>
        <row r="875">
          <cell r="A875" t="str">
            <v>D-RHES_NKEV_GAS_ELC_CHP</v>
          </cell>
          <cell r="B875" t="str">
            <v>VAR_fout</v>
          </cell>
          <cell r="C875" t="str">
            <v>RHES_ELC</v>
          </cell>
          <cell r="D875">
            <v>8.1999150868520745E-3</v>
          </cell>
          <cell r="E875">
            <v>2.9792558787625135E-7</v>
          </cell>
          <cell r="F875">
            <v>2.0744677048069271E-5</v>
          </cell>
          <cell r="G875">
            <v>2.1668763947790868E-5</v>
          </cell>
          <cell r="H875">
            <v>3.2204683934488514E-4</v>
          </cell>
          <cell r="I875">
            <v>3.0728233798023807E-4</v>
          </cell>
        </row>
        <row r="876">
          <cell r="A876" t="str">
            <v>D-RHES_NKEV_GAS_ELC_CHP</v>
          </cell>
          <cell r="B876" t="str">
            <v>VAR_fout</v>
          </cell>
          <cell r="C876" t="str">
            <v>ELC5</v>
          </cell>
          <cell r="D876">
            <v>4.3873582170816626E-3</v>
          </cell>
          <cell r="E876">
            <v>2.9792249063231305E-7</v>
          </cell>
          <cell r="F876">
            <v>2.0748073738796395E-5</v>
          </cell>
          <cell r="G876">
            <v>2.1685656068911278E-5</v>
          </cell>
          <cell r="H876">
            <v>3.2220151440981947E-4</v>
          </cell>
          <cell r="I876">
            <v>3.0736310110356834E-4</v>
          </cell>
        </row>
        <row r="877">
          <cell r="A877" t="str">
            <v>D-RHES_NKEV_GAS_ELC_CHP</v>
          </cell>
          <cell r="B877" t="str">
            <v>VAR_fin</v>
          </cell>
          <cell r="C877" t="str">
            <v>RHES_NKEV_GAS_ELC_CHP</v>
          </cell>
          <cell r="D877">
            <v>1.2587273303933739E-2</v>
          </cell>
          <cell r="E877">
            <v>4.4867788232735196E-6</v>
          </cell>
          <cell r="F877">
            <v>4.1341118455326768E-5</v>
          </cell>
          <cell r="G877">
            <v>4.3833322784813416E-5</v>
          </cell>
          <cell r="H877">
            <v>6.4424835375470515E-4</v>
          </cell>
          <cell r="I877">
            <v>6.147896166991822E-4</v>
          </cell>
        </row>
        <row r="878">
          <cell r="A878" t="str">
            <v>SCOM-SHSTG-SOL</v>
          </cell>
          <cell r="B878" t="str">
            <v>VAR_fout</v>
          </cell>
          <cell r="C878" t="str">
            <v>SCOM-SHASOL</v>
          </cell>
          <cell r="D878">
            <v>1.2127045722174286E-6</v>
          </cell>
          <cell r="F878">
            <v>2.1205395573913044E-4</v>
          </cell>
          <cell r="G878">
            <v>1.8644579648748647E-5</v>
          </cell>
          <cell r="H878">
            <v>6.7731316172639131</v>
          </cell>
          <cell r="I878">
            <v>9.75397591207056</v>
          </cell>
        </row>
        <row r="879">
          <cell r="A879" t="str">
            <v>SCOM-SHSTG-SOL</v>
          </cell>
          <cell r="B879" t="str">
            <v>VAR_fin</v>
          </cell>
          <cell r="C879" t="str">
            <v>SCOM-SHASOL</v>
          </cell>
          <cell r="D879">
            <v>6.0902539698133894E-7</v>
          </cell>
          <cell r="F879">
            <v>2.776040471833232E-4</v>
          </cell>
          <cell r="G879">
            <v>2.3953061508085896E-5</v>
          </cell>
          <cell r="H879">
            <v>7.968410860120354</v>
          </cell>
          <cell r="I879">
            <v>10.837777521917046</v>
          </cell>
        </row>
        <row r="880">
          <cell r="A880" t="str">
            <v>SCOM-SHSTG-SOL</v>
          </cell>
          <cell r="B880" t="str">
            <v>VAR_ncap</v>
          </cell>
          <cell r="C880" t="str">
            <v>-</v>
          </cell>
          <cell r="D880">
            <v>2.1273774157347801E-4</v>
          </cell>
          <cell r="E880">
            <v>2.32744168083719E-2</v>
          </cell>
          <cell r="G880">
            <v>3.3638565206468602E-4</v>
          </cell>
          <cell r="H880">
            <v>4.7116231578180297E-2</v>
          </cell>
          <cell r="I880">
            <v>9.2616534869665604E-2</v>
          </cell>
        </row>
        <row r="881">
          <cell r="A881" t="str">
            <v>SCOM-SHSTG-SOL</v>
          </cell>
          <cell r="B881" t="str">
            <v>VAR_cap</v>
          </cell>
          <cell r="C881" t="str">
            <v>-</v>
          </cell>
          <cell r="D881">
            <v>2.1273774157347801E-4</v>
          </cell>
          <cell r="E881">
            <v>2.3487154549945401E-2</v>
          </cell>
          <cell r="F881">
            <v>2.3487154549945401E-2</v>
          </cell>
          <cell r="G881">
            <v>2.38235402020101E-2</v>
          </cell>
          <cell r="H881">
            <v>0.18506459145029</v>
          </cell>
          <cell r="I881">
            <v>0.18506460036663699</v>
          </cell>
        </row>
        <row r="882">
          <cell r="A882" t="str">
            <v>RHNM-SHELCBRA</v>
          </cell>
          <cell r="B882" t="str">
            <v>VAR_fout</v>
          </cell>
          <cell r="C882" t="str">
            <v>RHNM-SHELCB</v>
          </cell>
          <cell r="E882">
            <v>0.15438573685688317</v>
          </cell>
          <cell r="F882">
            <v>0.15232315511182462</v>
          </cell>
          <cell r="G882">
            <v>4.0064793543631076E-5</v>
          </cell>
          <cell r="H882">
            <v>1.4136180630014098E-5</v>
          </cell>
          <cell r="I882">
            <v>6.0231251822864895E-6</v>
          </cell>
        </row>
        <row r="883">
          <cell r="A883" t="str">
            <v>RHNM-SHELCBRA</v>
          </cell>
          <cell r="B883" t="str">
            <v>VAR_fin</v>
          </cell>
          <cell r="C883" t="str">
            <v>RHNM-SHAELCB</v>
          </cell>
          <cell r="E883">
            <v>0.15438573685688317</v>
          </cell>
          <cell r="F883">
            <v>0.15232315511182462</v>
          </cell>
          <cell r="G883">
            <v>4.0064793543631076E-5</v>
          </cell>
          <cell r="H883">
            <v>1.4136180630014098E-5</v>
          </cell>
          <cell r="I883">
            <v>6.0231251822864895E-6</v>
          </cell>
        </row>
        <row r="884">
          <cell r="A884" t="str">
            <v>RHNM-SHELCBRA</v>
          </cell>
          <cell r="B884" t="str">
            <v>VAR_ncap</v>
          </cell>
          <cell r="C884" t="str">
            <v>-</v>
          </cell>
          <cell r="E884">
            <v>1.19854231460685E-2</v>
          </cell>
        </row>
        <row r="885">
          <cell r="A885" t="str">
            <v>RHNM-SHELCBRA</v>
          </cell>
          <cell r="B885" t="str">
            <v>VAR_cap</v>
          </cell>
          <cell r="C885" t="str">
            <v>-</v>
          </cell>
          <cell r="E885">
            <v>1.19854231460685E-2</v>
          </cell>
          <cell r="F885">
            <v>1.19854231460685E-2</v>
          </cell>
          <cell r="G885">
            <v>5.854128083800092E-6</v>
          </cell>
          <cell r="H885">
            <v>2.0946306351658699E-6</v>
          </cell>
          <cell r="I885">
            <v>8.8320493187958491E-7</v>
          </cell>
        </row>
        <row r="886">
          <cell r="A886" t="str">
            <v>RHNM-SHSTG-SOL</v>
          </cell>
          <cell r="B886" t="str">
            <v>VAR_fout</v>
          </cell>
          <cell r="C886" t="str">
            <v>RHNM-SHASOL</v>
          </cell>
          <cell r="F886">
            <v>5.0411392780846135E-3</v>
          </cell>
          <cell r="G886">
            <v>4.8947154270616256E-3</v>
          </cell>
          <cell r="H886">
            <v>7.5636954290615475E-6</v>
          </cell>
          <cell r="I886">
            <v>5.748135942592133E-6</v>
          </cell>
        </row>
        <row r="887">
          <cell r="A887" t="str">
            <v>RHNM-SHSTG-SOL</v>
          </cell>
          <cell r="B887" t="str">
            <v>VAR_fin</v>
          </cell>
          <cell r="C887" t="str">
            <v>RHNM-SHASOL</v>
          </cell>
          <cell r="F887">
            <v>5.041252835931152E-3</v>
          </cell>
          <cell r="G887">
            <v>4.8948495458567779E-3</v>
          </cell>
          <cell r="H887">
            <v>7.2547439612359638E-6</v>
          </cell>
          <cell r="I887">
            <v>5.7615382979246925E-6</v>
          </cell>
        </row>
        <row r="888">
          <cell r="A888" t="str">
            <v>RHNM-SHSTG-SOL</v>
          </cell>
          <cell r="B888" t="str">
            <v>VAR_ncap</v>
          </cell>
          <cell r="C888" t="str">
            <v>-</v>
          </cell>
          <cell r="D888">
            <v>7.3598088938078799E-4</v>
          </cell>
          <cell r="E888">
            <v>-3.0625946730901397E-8</v>
          </cell>
          <cell r="F888">
            <v>2.4455775783035802E-8</v>
          </cell>
          <cell r="H888">
            <v>1.47522367129536E-6</v>
          </cell>
        </row>
        <row r="889">
          <cell r="A889" t="str">
            <v>RHNM-SHSTG-SOL</v>
          </cell>
          <cell r="B889" t="str">
            <v>VAR_cap</v>
          </cell>
          <cell r="C889" t="str">
            <v>-</v>
          </cell>
          <cell r="D889">
            <v>7.3598088938078799E-4</v>
          </cell>
          <cell r="E889">
            <v>7.3595026343405698E-4</v>
          </cell>
          <cell r="F889">
            <v>7.3597471920984004E-4</v>
          </cell>
          <cell r="G889">
            <v>7.3597471920984004E-4</v>
          </cell>
          <cell r="H889">
            <v>1.4795553253369E-6</v>
          </cell>
          <cell r="I889">
            <v>1.07061927347408E-6</v>
          </cell>
        </row>
        <row r="890">
          <cell r="A890" t="str">
            <v>RHNS-SHELCHP</v>
          </cell>
          <cell r="B890" t="str">
            <v>VAR_fout</v>
          </cell>
          <cell r="C890" t="str">
            <v>RHNS-SHAELCH</v>
          </cell>
          <cell r="E890">
            <v>0.14135584232604589</v>
          </cell>
          <cell r="F890">
            <v>0.48112289321442803</v>
          </cell>
          <cell r="G890">
            <v>1.3440046180595944</v>
          </cell>
          <cell r="H890">
            <v>1.988989372576111</v>
          </cell>
          <cell r="I890">
            <v>2.6122075833295924</v>
          </cell>
        </row>
        <row r="891">
          <cell r="A891" t="str">
            <v>RHNS-SHELCHP</v>
          </cell>
          <cell r="B891" t="str">
            <v>VAR_fin</v>
          </cell>
          <cell r="C891" t="str">
            <v>RHNS_ELC</v>
          </cell>
          <cell r="E891">
            <v>4.3449541698579619E-2</v>
          </cell>
          <cell r="F891">
            <v>0.1443368679643286</v>
          </cell>
          <cell r="G891">
            <v>0.38769363982488292</v>
          </cell>
          <cell r="H891">
            <v>0.53756469529084105</v>
          </cell>
          <cell r="I891">
            <v>0.66979681623835696</v>
          </cell>
        </row>
        <row r="892">
          <cell r="A892" t="str">
            <v>RHNS-SHELCHP</v>
          </cell>
          <cell r="B892" t="str">
            <v>VAR_fin</v>
          </cell>
          <cell r="C892" t="str">
            <v>RHNSELCHPC</v>
          </cell>
          <cell r="E892">
            <v>0.14135584232604589</v>
          </cell>
          <cell r="F892">
            <v>0.48112289321442803</v>
          </cell>
          <cell r="G892">
            <v>1.3440046180595944</v>
          </cell>
          <cell r="H892">
            <v>1.988989372576111</v>
          </cell>
          <cell r="I892">
            <v>2.6122075833295924</v>
          </cell>
        </row>
        <row r="893">
          <cell r="A893" t="str">
            <v>RHNS-SHELCHP</v>
          </cell>
          <cell r="B893" t="str">
            <v>VAR_ncap</v>
          </cell>
          <cell r="C893" t="str">
            <v>-</v>
          </cell>
          <cell r="E893">
            <v>1.0328918511139099E-2</v>
          </cell>
          <cell r="F893">
            <v>2.4736963678005298E-2</v>
          </cell>
          <cell r="G893">
            <v>6.3015135716082596E-2</v>
          </cell>
          <cell r="H893">
            <v>7.7711170909734506E-2</v>
          </cell>
          <cell r="I893">
            <v>0.125843542457036</v>
          </cell>
        </row>
        <row r="894">
          <cell r="A894" t="str">
            <v>RHNS-SHELCHP</v>
          </cell>
          <cell r="B894" t="str">
            <v>VAR_cap</v>
          </cell>
          <cell r="C894" t="str">
            <v>-</v>
          </cell>
          <cell r="E894">
            <v>1.0328918511139099E-2</v>
          </cell>
          <cell r="F894">
            <v>3.5065882189144401E-2</v>
          </cell>
          <cell r="G894">
            <v>9.80810179052269E-2</v>
          </cell>
          <cell r="H894">
            <v>0.14489318668902601</v>
          </cell>
          <cell r="I894">
            <v>0.190600399436645</v>
          </cell>
        </row>
        <row r="895">
          <cell r="A895" t="str">
            <v>SCOM-SHBIOBR</v>
          </cell>
          <cell r="B895" t="str">
            <v>VAR_fout</v>
          </cell>
          <cell r="C895" t="str">
            <v>SCOM-SHBIO</v>
          </cell>
          <cell r="D895">
            <v>1.2230654916144612</v>
          </cell>
          <cell r="E895">
            <v>1.3407655884015368</v>
          </cell>
          <cell r="F895">
            <v>1.2570336247100018</v>
          </cell>
          <cell r="G895">
            <v>1.3788328891838599</v>
          </cell>
          <cell r="H895">
            <v>4.270168853514078</v>
          </cell>
          <cell r="I895">
            <v>5.9059423246837026</v>
          </cell>
        </row>
        <row r="896">
          <cell r="A896" t="str">
            <v>SCOM-SHBIOBR</v>
          </cell>
          <cell r="B896" t="str">
            <v>VAR_fin</v>
          </cell>
          <cell r="C896" t="str">
            <v>SBIO</v>
          </cell>
          <cell r="D896">
            <v>1.4022764178106648</v>
          </cell>
          <cell r="E896">
            <v>1.5372226420563371</v>
          </cell>
          <cell r="F896">
            <v>1.4412217664641154</v>
          </cell>
          <cell r="G896">
            <v>1.5808677931482</v>
          </cell>
          <cell r="H896">
            <v>4.8958597265696797</v>
          </cell>
          <cell r="I896">
            <v>6.7713165841363256</v>
          </cell>
        </row>
        <row r="897">
          <cell r="A897" t="str">
            <v>SCOM-SHBIOBR</v>
          </cell>
          <cell r="B897" t="str">
            <v>VAR_ncap</v>
          </cell>
          <cell r="C897" t="str">
            <v>-</v>
          </cell>
          <cell r="D897">
            <v>1.50673556071083E-8</v>
          </cell>
          <cell r="E897">
            <v>5.0564208059709697E-8</v>
          </cell>
          <cell r="F897">
            <v>4.3771408338958001E-8</v>
          </cell>
          <cell r="G897">
            <v>1.2418808435301E-3</v>
          </cell>
          <cell r="H897">
            <v>0.157879573021206</v>
          </cell>
          <cell r="I897">
            <v>0.28735099224184601</v>
          </cell>
        </row>
        <row r="898">
          <cell r="A898" t="str">
            <v>SCOM-SHBIOBR</v>
          </cell>
          <cell r="B898" t="str">
            <v>VAR_cap</v>
          </cell>
          <cell r="C898" t="str">
            <v>-</v>
          </cell>
          <cell r="D898">
            <v>0.10534094053603162</v>
          </cell>
          <cell r="E898">
            <v>0.1053409791575024</v>
          </cell>
          <cell r="F898">
            <v>0.1053410047005289</v>
          </cell>
          <cell r="G898">
            <v>0.1065828872708097</v>
          </cell>
          <cell r="H898">
            <v>0.43725595969169173</v>
          </cell>
          <cell r="I898">
            <v>0.51974542631207465</v>
          </cell>
        </row>
        <row r="899">
          <cell r="A899" t="str">
            <v>RHES-SHDEM</v>
          </cell>
          <cell r="B899" t="str">
            <v>VAR_fout</v>
          </cell>
          <cell r="C899" t="str">
            <v>RHES-SHD</v>
          </cell>
          <cell r="D899">
            <v>62.024837503894084</v>
          </cell>
          <cell r="E899">
            <v>67.866381410603879</v>
          </cell>
          <cell r="F899">
            <v>67.456507908702321</v>
          </cell>
          <cell r="G899">
            <v>65.34780028529029</v>
          </cell>
          <cell r="H899">
            <v>63.061647228615477</v>
          </cell>
          <cell r="I899">
            <v>60.89469723139927</v>
          </cell>
        </row>
        <row r="900">
          <cell r="A900" t="str">
            <v>RHES-SHDEM</v>
          </cell>
          <cell r="B900" t="str">
            <v>VAR_fin</v>
          </cell>
          <cell r="C900" t="str">
            <v>RHES-SHPLT</v>
          </cell>
          <cell r="D900">
            <v>1.2780277126222646</v>
          </cell>
          <cell r="E900">
            <v>1.4868838662397517</v>
          </cell>
          <cell r="F900">
            <v>1.4867811929542405</v>
          </cell>
          <cell r="G900">
            <v>1.4867486033974207</v>
          </cell>
          <cell r="H900">
            <v>1.4848455397805627</v>
          </cell>
          <cell r="I900">
            <v>1.4813934656439665</v>
          </cell>
        </row>
        <row r="901">
          <cell r="A901" t="str">
            <v>RHES-SHDEM</v>
          </cell>
          <cell r="B901" t="str">
            <v>VAR_fin</v>
          </cell>
          <cell r="C901" t="str">
            <v>RHES-SHLTHC-NGA</v>
          </cell>
          <cell r="D901">
            <v>7.6563919136852551E-2</v>
          </cell>
          <cell r="E901">
            <v>4.5240365102872533E-6</v>
          </cell>
          <cell r="F901">
            <v>1.638011114696595E-4</v>
          </cell>
          <cell r="G901">
            <v>2.0958339530461625E-4</v>
          </cell>
          <cell r="H901">
            <v>3.7972058808494924E-3</v>
          </cell>
          <cell r="I901">
            <v>8.5004210346452547E-3</v>
          </cell>
        </row>
        <row r="902">
          <cell r="A902" t="str">
            <v>RHES-SHDEM</v>
          </cell>
          <cell r="B902" t="str">
            <v>VAR_fin</v>
          </cell>
          <cell r="C902" t="str">
            <v>RHES-SHSOL</v>
          </cell>
          <cell r="D902">
            <v>0.36844978431492459</v>
          </cell>
          <cell r="E902">
            <v>0.43546076334562001</v>
          </cell>
          <cell r="F902">
            <v>0.43532535406488515</v>
          </cell>
          <cell r="G902">
            <v>0.43527399412192336</v>
          </cell>
          <cell r="H902">
            <v>0.40522562189155692</v>
          </cell>
          <cell r="I902">
            <v>0.36968409229319438</v>
          </cell>
        </row>
        <row r="903">
          <cell r="A903" t="str">
            <v>RHES-SHDEM</v>
          </cell>
          <cell r="B903" t="str">
            <v>VAR_fin</v>
          </cell>
          <cell r="C903" t="str">
            <v>RHES-SHLTHC-WOD</v>
          </cell>
          <cell r="D903">
            <v>1.7993654391312192E-2</v>
          </cell>
          <cell r="G903">
            <v>1.5796824062628079E-4</v>
          </cell>
          <cell r="H903">
            <v>2.5670363453896834E-3</v>
          </cell>
          <cell r="I903">
            <v>7.3583743149351396E-3</v>
          </cell>
        </row>
        <row r="904">
          <cell r="A904" t="str">
            <v>RHES-SHDEM</v>
          </cell>
          <cell r="B904" t="str">
            <v>VAR_fin</v>
          </cell>
          <cell r="C904" t="str">
            <v>RHES-SHNGA</v>
          </cell>
          <cell r="D904">
            <v>17.497005552904074</v>
          </cell>
          <cell r="E904">
            <v>20.255719685789735</v>
          </cell>
          <cell r="F904">
            <v>18.526140086604066</v>
          </cell>
          <cell r="G904">
            <v>20.245761451329777</v>
          </cell>
          <cell r="H904">
            <v>16.45652664652189</v>
          </cell>
          <cell r="I904">
            <v>7.7520898254984925</v>
          </cell>
        </row>
        <row r="905">
          <cell r="A905" t="str">
            <v>RHES-SHDEM</v>
          </cell>
          <cell r="B905" t="str">
            <v>VAR_fin</v>
          </cell>
          <cell r="C905" t="str">
            <v>RHES-SHNGAH</v>
          </cell>
          <cell r="D905">
            <v>1.6247933673860793E-2</v>
          </cell>
          <cell r="F905">
            <v>1.3037551474807322E-4</v>
          </cell>
          <cell r="G905">
            <v>1.534809420828517E-4</v>
          </cell>
          <cell r="H905">
            <v>2.6423871001276847E-3</v>
          </cell>
          <cell r="I905">
            <v>7.3546751300055018E-3</v>
          </cell>
        </row>
        <row r="906">
          <cell r="A906" t="str">
            <v>RHES-SHDEM</v>
          </cell>
          <cell r="B906" t="str">
            <v>VAR_fin</v>
          </cell>
          <cell r="C906" t="str">
            <v>RHES-SHCOA</v>
          </cell>
          <cell r="D906">
            <v>0.11038512918056854</v>
          </cell>
          <cell r="E906">
            <v>7.2000105970122519E-2</v>
          </cell>
          <cell r="F906">
            <v>1.3402465556171267E-4</v>
          </cell>
          <cell r="G906">
            <v>1.4928553956622653E-4</v>
          </cell>
          <cell r="H906">
            <v>5.32368832542948E-5</v>
          </cell>
          <cell r="I906">
            <v>2.4923563721145126E-3</v>
          </cell>
        </row>
        <row r="907">
          <cell r="A907" t="str">
            <v>RHES-SHDEM</v>
          </cell>
          <cell r="B907" t="str">
            <v>VAR_fin</v>
          </cell>
          <cell r="C907" t="str">
            <v>RHES-SHLFO</v>
          </cell>
          <cell r="D907">
            <v>21.591974249471335</v>
          </cell>
          <cell r="E907">
            <v>19.946202531741584</v>
          </cell>
          <cell r="F907">
            <v>21.642431570971763</v>
          </cell>
          <cell r="G907">
            <v>16.571590693747019</v>
          </cell>
          <cell r="H907">
            <v>8.0538905799878755</v>
          </cell>
          <cell r="I907">
            <v>7.3107254546508774E-3</v>
          </cell>
        </row>
        <row r="908">
          <cell r="A908" t="str">
            <v>RHES-SHDEM</v>
          </cell>
          <cell r="B908" t="str">
            <v>VAR_fin</v>
          </cell>
          <cell r="C908" t="str">
            <v>RHES-SHCON</v>
          </cell>
          <cell r="D908">
            <v>1.6502682546318337</v>
          </cell>
          <cell r="E908">
            <v>3.7305696812158087</v>
          </cell>
          <cell r="F908">
            <v>3.7305455638590508</v>
          </cell>
          <cell r="G908">
            <v>5.9334784784386061</v>
          </cell>
          <cell r="H908">
            <v>14.852423507220742</v>
          </cell>
          <cell r="I908">
            <v>18.05016183954044</v>
          </cell>
        </row>
        <row r="909">
          <cell r="A909" t="str">
            <v>RHES-SHDEM</v>
          </cell>
          <cell r="B909" t="str">
            <v>VAR_fin</v>
          </cell>
          <cell r="C909" t="str">
            <v>RHES-SHWOD</v>
          </cell>
          <cell r="D909">
            <v>4.3412650810790714</v>
          </cell>
          <cell r="E909">
            <v>4.3871508221133455</v>
          </cell>
          <cell r="F909">
            <v>4.2727589927282033</v>
          </cell>
          <cell r="G909">
            <v>4.1839202120936028</v>
          </cell>
          <cell r="H909">
            <v>4.3226883094058657</v>
          </cell>
          <cell r="I909">
            <v>1.9881739834630543</v>
          </cell>
        </row>
        <row r="910">
          <cell r="A910" t="str">
            <v>RHES-SHDEM</v>
          </cell>
          <cell r="B910" t="str">
            <v>VAR_fin</v>
          </cell>
          <cell r="C910" t="str">
            <v>RHES-SHLTHD</v>
          </cell>
          <cell r="D910">
            <v>1.7446921626675387</v>
          </cell>
          <cell r="E910">
            <v>3.5037942161124151</v>
          </cell>
          <cell r="F910">
            <v>3.5499548165144508</v>
          </cell>
          <cell r="G910">
            <v>3.3097296633184374</v>
          </cell>
          <cell r="H910">
            <v>2.6835091108924547</v>
          </cell>
          <cell r="I910">
            <v>2.3779993249505984</v>
          </cell>
        </row>
        <row r="911">
          <cell r="A911" t="str">
            <v>RHES-SHDEM</v>
          </cell>
          <cell r="B911" t="str">
            <v>VAR_fin</v>
          </cell>
          <cell r="C911" t="str">
            <v>RHES-SHELCB</v>
          </cell>
          <cell r="D911">
            <v>4.2346679282974771</v>
          </cell>
          <cell r="E911">
            <v>3.7727117068369385</v>
          </cell>
          <cell r="F911">
            <v>3.5363795806030294</v>
          </cell>
          <cell r="G911">
            <v>2.9048514065887221</v>
          </cell>
          <cell r="H911">
            <v>1.2059330141104321</v>
          </cell>
          <cell r="I911">
            <v>0.39730902337960194</v>
          </cell>
        </row>
        <row r="912">
          <cell r="A912" t="str">
            <v>RHES-SHDEM</v>
          </cell>
          <cell r="B912" t="str">
            <v>VAR_fin</v>
          </cell>
          <cell r="C912" t="str">
            <v>RHES-SHELCH</v>
          </cell>
          <cell r="D912">
            <v>9.0963205335911645</v>
          </cell>
          <cell r="E912">
            <v>10.275892843253208</v>
          </cell>
          <cell r="F912">
            <v>10.27570535639093</v>
          </cell>
          <cell r="G912">
            <v>10.275712743095079</v>
          </cell>
          <cell r="H912">
            <v>13.586217138829671</v>
          </cell>
          <cell r="I912">
            <v>28.443366798020641</v>
          </cell>
        </row>
        <row r="913">
          <cell r="A913" t="str">
            <v>RHES-SHDEM</v>
          </cell>
          <cell r="B913" t="str">
            <v>VAR_fin</v>
          </cell>
          <cell r="C913" t="str">
            <v>RHES-SHNST</v>
          </cell>
          <cell r="D913">
            <v>9.8412316476116776E-4</v>
          </cell>
          <cell r="F913">
            <v>6.9086954388543641E-5</v>
          </cell>
          <cell r="G913">
            <v>7.272884062481654E-5</v>
          </cell>
          <cell r="H913">
            <v>1.336804440974925E-3</v>
          </cell>
          <cell r="I913">
            <v>1.5101790243289121E-3</v>
          </cell>
        </row>
        <row r="914">
          <cell r="A914" t="str">
            <v>D-RHEM_LTH_CHPNGA</v>
          </cell>
          <cell r="B914" t="str">
            <v>VAR_fout</v>
          </cell>
          <cell r="C914" t="str">
            <v>RHSA_LTH</v>
          </cell>
          <cell r="D914">
            <v>5.0770877940811026E-4</v>
          </cell>
          <cell r="E914">
            <v>4.1720254934712498E-8</v>
          </cell>
          <cell r="F914">
            <v>6.3253334046045993E-6</v>
          </cell>
          <cell r="G914">
            <v>3.3336888634644458E-6</v>
          </cell>
          <cell r="H914">
            <v>1.0890600805071556E-4</v>
          </cell>
          <cell r="I914">
            <v>7.6003192448090935E-5</v>
          </cell>
        </row>
        <row r="915">
          <cell r="A915" t="str">
            <v>D-RHEM_LTH_CHPNGA</v>
          </cell>
          <cell r="B915" t="str">
            <v>VAR_fout</v>
          </cell>
          <cell r="C915" t="str">
            <v>RHEM_LTH_CHPNGA_ON</v>
          </cell>
          <cell r="D915">
            <v>4.4210950816907353E-2</v>
          </cell>
          <cell r="E915">
            <v>1.4300760295610196E-6</v>
          </cell>
          <cell r="F915">
            <v>4.1337693981011858E-4</v>
          </cell>
          <cell r="G915">
            <v>0.50508903505594516</v>
          </cell>
          <cell r="H915">
            <v>0.77305912928553733</v>
          </cell>
          <cell r="I915">
            <v>0.7737204727552125</v>
          </cell>
        </row>
        <row r="916">
          <cell r="A916" t="str">
            <v>D-RHEM_LTH_CHPNGA</v>
          </cell>
          <cell r="B916" t="str">
            <v>VAR_fout</v>
          </cell>
          <cell r="C916" t="str">
            <v>LTH</v>
          </cell>
          <cell r="G916">
            <v>4.1316419146681842E-5</v>
          </cell>
          <cell r="H916">
            <v>4.0052074816133705E-4</v>
          </cell>
          <cell r="I916">
            <v>3.082249330663031E-5</v>
          </cell>
        </row>
        <row r="917">
          <cell r="A917" t="str">
            <v>D-RHEM_LTH_CHPNGA</v>
          </cell>
          <cell r="B917" t="str">
            <v>VAR_fin</v>
          </cell>
          <cell r="C917" t="str">
            <v>RHEM_LTH_CHPNGA</v>
          </cell>
          <cell r="D917">
            <v>4.4718659596315456E-2</v>
          </cell>
          <cell r="E917">
            <v>2.7717871223239087E-6</v>
          </cell>
          <cell r="F917">
            <v>4.1987038864704253E-4</v>
          </cell>
          <cell r="G917">
            <v>0.50513368741293641</v>
          </cell>
          <cell r="H917">
            <v>0.77356856584960465</v>
          </cell>
          <cell r="I917">
            <v>0.77382914197433528</v>
          </cell>
        </row>
        <row r="918">
          <cell r="A918" t="str">
            <v>RHEM-SHLTHCHPNGA</v>
          </cell>
          <cell r="B918" t="str">
            <v>VAR_fout</v>
          </cell>
          <cell r="C918" t="str">
            <v>RHEM-SHLTHC-NGA</v>
          </cell>
          <cell r="D918">
            <v>4.3324621815223958E-2</v>
          </cell>
          <cell r="E918">
            <v>1.0823654398988312E-6</v>
          </cell>
          <cell r="F918">
            <v>4.0091423393894161E-4</v>
          </cell>
          <cell r="G918">
            <v>0.50003435098250681</v>
          </cell>
          <cell r="H918">
            <v>0.76514965806066859</v>
          </cell>
          <cell r="I918">
            <v>0.76598291960241793</v>
          </cell>
        </row>
        <row r="919">
          <cell r="A919" t="str">
            <v>RHEM-SHLTHCHPNGA</v>
          </cell>
          <cell r="B919" t="str">
            <v>VAR_fin</v>
          </cell>
          <cell r="C919" t="str">
            <v>RHEM_LTH_CHPNGA_ON</v>
          </cell>
          <cell r="D919">
            <v>4.3762244257801987E-2</v>
          </cell>
          <cell r="E919">
            <v>1.1134328877885688E-6</v>
          </cell>
          <cell r="F919">
            <v>4.0496387266559749E-4</v>
          </cell>
          <cell r="G919">
            <v>0.50508520301263315</v>
          </cell>
          <cell r="H919">
            <v>0.77287844248552362</v>
          </cell>
          <cell r="I919">
            <v>0.77372012081052322</v>
          </cell>
        </row>
        <row r="920">
          <cell r="A920" t="str">
            <v>RHEM-SHLTHCHPNGA</v>
          </cell>
          <cell r="B920" t="str">
            <v>VAR_fin</v>
          </cell>
          <cell r="C920" t="str">
            <v>RHEMLTHCHPC</v>
          </cell>
          <cell r="D920">
            <v>4.3324621815223958E-2</v>
          </cell>
          <cell r="E920">
            <v>1.0823654398988312E-6</v>
          </cell>
          <cell r="F920">
            <v>4.0091423393894161E-4</v>
          </cell>
          <cell r="G920">
            <v>0.50003435098250681</v>
          </cell>
          <cell r="H920">
            <v>0.76514965806066859</v>
          </cell>
          <cell r="I920">
            <v>0.76598291960241793</v>
          </cell>
        </row>
        <row r="921">
          <cell r="A921" t="str">
            <v>RHEM-SHLTHCHPNGA</v>
          </cell>
          <cell r="B921" t="str">
            <v>VAR_ncap</v>
          </cell>
          <cell r="C921" t="str">
            <v>-</v>
          </cell>
          <cell r="E921">
            <v>1.74041869343172E-7</v>
          </cell>
          <cell r="F921">
            <v>3.25912095852883E-5</v>
          </cell>
          <cell r="G921">
            <v>3.7751242361746797E-2</v>
          </cell>
          <cell r="H921">
            <v>1.30813913120121E-2</v>
          </cell>
          <cell r="I921">
            <v>4.0544811440089298E-2</v>
          </cell>
        </row>
        <row r="922">
          <cell r="A922" t="str">
            <v>RHEM-SHLTHCHPNGA</v>
          </cell>
          <cell r="B922" t="str">
            <v>VAR_cap</v>
          </cell>
          <cell r="C922" t="str">
            <v>-</v>
          </cell>
          <cell r="D922">
            <v>6.7982009985487297E-3</v>
          </cell>
          <cell r="E922">
            <v>2.3218449923291529E-7</v>
          </cell>
          <cell r="F922">
            <v>3.2743706898111236E-5</v>
          </cell>
          <cell r="G922">
            <v>3.7773179780025215E-2</v>
          </cell>
          <cell r="H922">
            <v>5.7790925723520237E-2</v>
          </cell>
          <cell r="I922">
            <v>5.7891784265291804E-2</v>
          </cell>
        </row>
        <row r="923">
          <cell r="A923" t="str">
            <v>D-RHES_SOLELC</v>
          </cell>
          <cell r="B923" t="str">
            <v>VAR_fout</v>
          </cell>
          <cell r="C923" t="str">
            <v>RHES_ELC</v>
          </cell>
          <cell r="D923">
            <v>1.9837621049641003</v>
          </cell>
          <cell r="E923">
            <v>1.3330470571076469</v>
          </cell>
          <cell r="F923">
            <v>1.6257276319496643</v>
          </cell>
          <cell r="G923">
            <v>1.8624292942304164</v>
          </cell>
          <cell r="H923">
            <v>2.5464149568986341</v>
          </cell>
          <cell r="I923">
            <v>3.8269540766079926</v>
          </cell>
        </row>
        <row r="924">
          <cell r="A924" t="str">
            <v>D-RHES_SOLELC</v>
          </cell>
          <cell r="B924" t="str">
            <v>VAR_fout</v>
          </cell>
          <cell r="C924" t="str">
            <v>ELC5</v>
          </cell>
          <cell r="D924">
            <v>0.15117698377056082</v>
          </cell>
          <cell r="E924">
            <v>1.5526688328790663</v>
          </cell>
          <cell r="F924">
            <v>1.8160301654851172</v>
          </cell>
          <cell r="G924">
            <v>2.3230052343455405</v>
          </cell>
          <cell r="H924">
            <v>3.0784518233412905</v>
          </cell>
          <cell r="I924">
            <v>3.7323989462995009</v>
          </cell>
        </row>
        <row r="925">
          <cell r="A925" t="str">
            <v>D-RHES_SOLELC</v>
          </cell>
          <cell r="B925" t="str">
            <v>VAR_fin</v>
          </cell>
          <cell r="C925" t="str">
            <v>RHES_SOL_ELC</v>
          </cell>
          <cell r="D925">
            <v>2.1349390887346629</v>
          </cell>
          <cell r="E925">
            <v>2.8857158594353951</v>
          </cell>
          <cell r="F925">
            <v>3.4417576885091621</v>
          </cell>
          <cell r="G925">
            <v>4.1854343844205131</v>
          </cell>
          <cell r="H925">
            <v>5.6248665952744323</v>
          </cell>
          <cell r="I925">
            <v>7.5593528569911514</v>
          </cell>
        </row>
        <row r="926">
          <cell r="A926" t="str">
            <v>D-DH2</v>
          </cell>
          <cell r="B926" t="str">
            <v>VAR_fout</v>
          </cell>
          <cell r="C926" t="str">
            <v>H2</v>
          </cell>
          <cell r="G926">
            <v>1.3577336464151997E-6</v>
          </cell>
          <cell r="H926">
            <v>1.5070392377425777E-4</v>
          </cell>
          <cell r="I926">
            <v>1.6027954375261551E-4</v>
          </cell>
        </row>
        <row r="927">
          <cell r="A927" t="str">
            <v>D-DH2</v>
          </cell>
          <cell r="B927" t="str">
            <v>VAR_fin</v>
          </cell>
          <cell r="C927" t="str">
            <v>H2_E</v>
          </cell>
          <cell r="G927">
            <v>1.3714481276921209E-6</v>
          </cell>
          <cell r="H927">
            <v>1.5222618563056326E-4</v>
          </cell>
          <cell r="I927">
            <v>1.6189852904304611E-4</v>
          </cell>
        </row>
        <row r="928">
          <cell r="A928" t="str">
            <v>D-DH2</v>
          </cell>
          <cell r="B928" t="str">
            <v>VAR_ncap</v>
          </cell>
          <cell r="C928" t="str">
            <v>-</v>
          </cell>
          <cell r="G928">
            <v>7.1814227448110104E-7</v>
          </cell>
          <cell r="H928">
            <v>1.5292935674692201E-5</v>
          </cell>
          <cell r="I928">
            <v>1.16594461244629E-6</v>
          </cell>
        </row>
        <row r="929">
          <cell r="A929" t="str">
            <v>D-DH2</v>
          </cell>
          <cell r="B929" t="str">
            <v>VAR_cap</v>
          </cell>
          <cell r="C929" t="str">
            <v>-</v>
          </cell>
          <cell r="G929">
            <v>7.1814227448110104E-7</v>
          </cell>
          <cell r="H929">
            <v>2.05137396920549E-5</v>
          </cell>
          <cell r="I929">
            <v>2.16796843045012E-5</v>
          </cell>
        </row>
        <row r="930">
          <cell r="A930" t="str">
            <v>ITOT-SWHHFOBR</v>
          </cell>
          <cell r="B930" t="str">
            <v>VAR_fout</v>
          </cell>
          <cell r="C930" t="str">
            <v>ITOT-SWH</v>
          </cell>
          <cell r="D930">
            <v>1.8458213047367653</v>
          </cell>
          <cell r="E930">
            <v>1.072913743404882E-7</v>
          </cell>
          <cell r="F930">
            <v>6.5441095229265607E-5</v>
          </cell>
          <cell r="G930">
            <v>8.1075172589103601E-6</v>
          </cell>
          <cell r="H930">
            <v>7.4333570629762548E-6</v>
          </cell>
        </row>
        <row r="931">
          <cell r="A931" t="str">
            <v>ITOT-SWHHFOBR</v>
          </cell>
          <cell r="B931" t="str">
            <v>VAR_fout</v>
          </cell>
          <cell r="C931" t="str">
            <v>CO2_I</v>
          </cell>
          <cell r="D931">
            <v>210.210006233656</v>
          </cell>
          <cell r="E931">
            <v>1.21661671809404E-5</v>
          </cell>
          <cell r="F931">
            <v>7.3729702169597804E-3</v>
          </cell>
          <cell r="G931">
            <v>9.0376956776850995E-4</v>
          </cell>
          <cell r="H931">
            <v>8.1143858777128698E-4</v>
          </cell>
        </row>
        <row r="932">
          <cell r="A932" t="str">
            <v>ITOT-SWHHFOBR</v>
          </cell>
          <cell r="B932" t="str">
            <v>VAR_fin</v>
          </cell>
          <cell r="C932" t="str">
            <v>IHFO</v>
          </cell>
          <cell r="D932">
            <v>2.7300000809565779</v>
          </cell>
          <cell r="E932">
            <v>1.580021711810444E-7</v>
          </cell>
          <cell r="F932">
            <v>9.5752859960516562E-5</v>
          </cell>
          <cell r="G932">
            <v>1.1737267113876744E-5</v>
          </cell>
          <cell r="H932">
            <v>1.053816347754919E-5</v>
          </cell>
        </row>
        <row r="933">
          <cell r="A933" t="str">
            <v>ITOT-SWHHFOBR</v>
          </cell>
          <cell r="B933" t="str">
            <v>VAR_ncap</v>
          </cell>
          <cell r="C933" t="str">
            <v>-</v>
          </cell>
          <cell r="D933">
            <v>3.3628235713042202E-7</v>
          </cell>
          <cell r="E933">
            <v>8.5644457218552102E-8</v>
          </cell>
          <cell r="F933">
            <v>6.02336018394491E-6</v>
          </cell>
          <cell r="G933">
            <v>2.15802672871792E-7</v>
          </cell>
          <cell r="H933">
            <v>4.5441451643343102E-7</v>
          </cell>
          <cell r="I933">
            <v>2.7263802996812901E-8</v>
          </cell>
        </row>
        <row r="934">
          <cell r="A934" t="str">
            <v>ITOT-SWHHFOBR</v>
          </cell>
          <cell r="B934" t="str">
            <v>VAR_cap</v>
          </cell>
          <cell r="C934" t="str">
            <v>-</v>
          </cell>
          <cell r="D934">
            <v>0.10071733628235713</v>
          </cell>
          <cell r="E934">
            <v>1.0239716334570215E-7</v>
          </cell>
          <cell r="F934">
            <v>6.0904337833012079E-6</v>
          </cell>
          <cell r="G934">
            <v>7.9608309816459055E-7</v>
          </cell>
          <cell r="H934">
            <v>7.4266262694688993E-7</v>
          </cell>
          <cell r="I934">
            <v>-1.667790169442998E-8</v>
          </cell>
        </row>
        <row r="935">
          <cell r="A935" t="str">
            <v>RHSA-WHSTG-ELCHP</v>
          </cell>
          <cell r="B935" t="str">
            <v>VAR_fout</v>
          </cell>
          <cell r="C935" t="str">
            <v>RHSA-WHAELCH</v>
          </cell>
          <cell r="F935">
            <v>0.83785684935305638</v>
          </cell>
          <cell r="G935">
            <v>2.4054834399587115</v>
          </cell>
          <cell r="H935">
            <v>2.1509453962626015</v>
          </cell>
          <cell r="I935">
            <v>2.8493936428936766</v>
          </cell>
        </row>
        <row r="936">
          <cell r="A936" t="str">
            <v>RHSA-WHSTG-ELCHP</v>
          </cell>
          <cell r="B936" t="str">
            <v>VAR_fin</v>
          </cell>
          <cell r="C936" t="str">
            <v>RHSA-WHAELCH</v>
          </cell>
          <cell r="F936">
            <v>0.8378900027567</v>
          </cell>
          <cell r="G936">
            <v>2.405577691299559</v>
          </cell>
          <cell r="H936">
            <v>2.1510471368585118</v>
          </cell>
          <cell r="I936">
            <v>2.8495025422610025</v>
          </cell>
        </row>
        <row r="937">
          <cell r="A937" t="str">
            <v>RHSA-WHSTG-ELCHP</v>
          </cell>
          <cell r="B937" t="str">
            <v>VAR_ncap</v>
          </cell>
          <cell r="C937" t="str">
            <v>-</v>
          </cell>
          <cell r="D937">
            <v>1.3706327843424101E-4</v>
          </cell>
          <cell r="E937">
            <v>5.7772756081851499E-2</v>
          </cell>
          <cell r="F937">
            <v>1.8819335029705099E-2</v>
          </cell>
          <cell r="G937">
            <v>0.137610479855415</v>
          </cell>
          <cell r="H937">
            <v>0.112235316531806</v>
          </cell>
          <cell r="I937">
            <v>0.19036634066671901</v>
          </cell>
        </row>
        <row r="938">
          <cell r="A938" t="str">
            <v>RHSA-WHSTG-ELCHP</v>
          </cell>
          <cell r="B938" t="str">
            <v>VAR_cap</v>
          </cell>
          <cell r="C938" t="str">
            <v>-</v>
          </cell>
          <cell r="D938">
            <v>1.383028078373297E-4</v>
          </cell>
          <cell r="E938">
            <v>5.7910852645225983E-2</v>
          </cell>
          <cell r="F938">
            <v>7.6729905878255247E-2</v>
          </cell>
          <cell r="G938">
            <v>0.21433999301322568</v>
          </cell>
          <cell r="H938">
            <v>0.26037900628918165</v>
          </cell>
          <cell r="I938">
            <v>0.29331737926593526</v>
          </cell>
        </row>
        <row r="939">
          <cell r="A939" t="str">
            <v>ITOT-SWHSTG-ELCHP</v>
          </cell>
          <cell r="B939" t="str">
            <v>VAR_fout</v>
          </cell>
          <cell r="C939" t="str">
            <v>ITOT-SWHAELCH</v>
          </cell>
          <cell r="F939">
            <v>4.493277412103987E-5</v>
          </cell>
          <cell r="G939">
            <v>1.42676062295865E-5</v>
          </cell>
          <cell r="H939">
            <v>4.9786734548233248E-5</v>
          </cell>
          <cell r="I939">
            <v>2.2050486819272026E-2</v>
          </cell>
        </row>
        <row r="940">
          <cell r="A940" t="str">
            <v>ITOT-SWHSTG-ELCHP</v>
          </cell>
          <cell r="B940" t="str">
            <v>VAR_fin</v>
          </cell>
          <cell r="C940" t="str">
            <v>ITOT-SWHAELCH</v>
          </cell>
          <cell r="F940">
            <v>6.1686828302537323E-5</v>
          </cell>
          <cell r="G940">
            <v>1.8902146351184724E-5</v>
          </cell>
          <cell r="H940">
            <v>6.1050404391409539E-5</v>
          </cell>
          <cell r="I940">
            <v>2.450364876457075E-2</v>
          </cell>
        </row>
        <row r="941">
          <cell r="A941" t="str">
            <v>ITOT-SWHSTG-ELCHP</v>
          </cell>
          <cell r="B941" t="str">
            <v>VAR_ncap</v>
          </cell>
          <cell r="C941" t="str">
            <v>-</v>
          </cell>
          <cell r="D941">
            <v>4.51032585133115E-4</v>
          </cell>
          <cell r="E941">
            <v>1.7474593010619401E-2</v>
          </cell>
          <cell r="F941">
            <v>1.4354981608960499E-2</v>
          </cell>
          <cell r="G941">
            <v>3.1908123678742302E-2</v>
          </cell>
          <cell r="H941">
            <v>3.1752611736995499E-2</v>
          </cell>
          <cell r="I941">
            <v>6.0627794887351198E-2</v>
          </cell>
        </row>
        <row r="942">
          <cell r="A942" t="str">
            <v>ITOT-SWHSTG-ELCHP</v>
          </cell>
          <cell r="B942" t="str">
            <v>VAR_cap</v>
          </cell>
          <cell r="C942" t="str">
            <v>-</v>
          </cell>
          <cell r="D942">
            <v>4.51032585133115E-4</v>
          </cell>
          <cell r="E942">
            <v>1.7925086159648846E-2</v>
          </cell>
          <cell r="F942">
            <v>3.227973645099079E-2</v>
          </cell>
          <cell r="G942">
            <v>6.4187903674846974E-2</v>
          </cell>
          <cell r="H942">
            <v>7.9674214787430184E-2</v>
          </cell>
          <cell r="I942">
            <v>9.3648156116615131E-2</v>
          </cell>
        </row>
        <row r="943">
          <cell r="A943" t="str">
            <v>D-RHNS_LTH_CHPWOD</v>
          </cell>
          <cell r="B943" t="str">
            <v>VAR_fout</v>
          </cell>
          <cell r="C943" t="str">
            <v>RHNS_LTH_CHPWOD_ON</v>
          </cell>
          <cell r="G943">
            <v>3.7342389711660501E-5</v>
          </cell>
          <cell r="H943">
            <v>6.4320968712711942E-5</v>
          </cell>
          <cell r="I943">
            <v>3.155359017871757E-5</v>
          </cell>
        </row>
        <row r="944">
          <cell r="A944" t="str">
            <v>D-RHNS_LTH_CHPWOD</v>
          </cell>
          <cell r="B944" t="str">
            <v>VAR_fout</v>
          </cell>
          <cell r="C944" t="str">
            <v>RHSA_LTH</v>
          </cell>
          <cell r="G944">
            <v>2.0848630614403706E-6</v>
          </cell>
          <cell r="H944">
            <v>4.706948642055843E-6</v>
          </cell>
          <cell r="I944">
            <v>1.1180619368102652E-7</v>
          </cell>
        </row>
        <row r="945">
          <cell r="A945" t="str">
            <v>D-RHNS_LTH_CHPWOD</v>
          </cell>
          <cell r="B945" t="str">
            <v>VAR_fin</v>
          </cell>
          <cell r="C945" t="str">
            <v>RHNS_LTH_CHPWOD</v>
          </cell>
          <cell r="G945">
            <v>4.0086046987963164E-5</v>
          </cell>
          <cell r="H945">
            <v>6.9559884042473072E-5</v>
          </cell>
          <cell r="I945">
            <v>3.1775966089650986E-5</v>
          </cell>
        </row>
        <row r="946">
          <cell r="A946" t="str">
            <v>D-SBIO</v>
          </cell>
          <cell r="B946" t="str">
            <v>VAR_fout</v>
          </cell>
          <cell r="C946" t="str">
            <v>SBIO</v>
          </cell>
          <cell r="D946">
            <v>4.047640866325831</v>
          </cell>
          <cell r="E946">
            <v>4.5832126606675443</v>
          </cell>
          <cell r="F946">
            <v>4.667282748925528</v>
          </cell>
          <cell r="G946">
            <v>4.7976416472523837</v>
          </cell>
          <cell r="H946">
            <v>8.926487335120143</v>
          </cell>
          <cell r="I946">
            <v>12.345956327272733</v>
          </cell>
        </row>
        <row r="947">
          <cell r="A947" t="str">
            <v>D-SBIO</v>
          </cell>
          <cell r="B947" t="str">
            <v>VAR_fin</v>
          </cell>
          <cell r="C947" t="str">
            <v>BIO</v>
          </cell>
          <cell r="D947">
            <v>4.047640866325831</v>
          </cell>
          <cell r="E947">
            <v>4.5832126606675443</v>
          </cell>
          <cell r="F947">
            <v>4.667282748925528</v>
          </cell>
          <cell r="G947">
            <v>4.7976416472523837</v>
          </cell>
          <cell r="H947">
            <v>8.926487335120143</v>
          </cell>
          <cell r="I947">
            <v>12.345956327272733</v>
          </cell>
        </row>
        <row r="948">
          <cell r="A948" t="str">
            <v>RHEM-SHDEM</v>
          </cell>
          <cell r="B948" t="str">
            <v>VAR_fout</v>
          </cell>
          <cell r="C948" t="str">
            <v>RHEM-SHD</v>
          </cell>
          <cell r="D948">
            <v>66.986774791699034</v>
          </cell>
          <cell r="E948">
            <v>66.832236554610731</v>
          </cell>
          <cell r="F948">
            <v>66.893513018885002</v>
          </cell>
          <cell r="G948">
            <v>65.759124607960075</v>
          </cell>
          <cell r="H948">
            <v>64.703140471295811</v>
          </cell>
          <cell r="I948">
            <v>63.914477639372663</v>
          </cell>
        </row>
        <row r="949">
          <cell r="A949" t="str">
            <v>RHEM-SHDEM</v>
          </cell>
          <cell r="B949" t="str">
            <v>VAR_fin</v>
          </cell>
          <cell r="C949" t="str">
            <v>RHEM-SHNST</v>
          </cell>
          <cell r="D949">
            <v>6.1055630228728293E-2</v>
          </cell>
          <cell r="F949">
            <v>6.9962520735422087E-4</v>
          </cell>
          <cell r="G949">
            <v>9.8062502144822926E-6</v>
          </cell>
          <cell r="H949">
            <v>4.4613253922928822E-2</v>
          </cell>
          <cell r="I949">
            <v>5.2142292187923281E-2</v>
          </cell>
        </row>
        <row r="950">
          <cell r="A950" t="str">
            <v>RHEM-SHDEM</v>
          </cell>
          <cell r="B950" t="str">
            <v>VAR_fin</v>
          </cell>
          <cell r="C950" t="str">
            <v>RHEM-SHPLT</v>
          </cell>
          <cell r="D950">
            <v>1.3696112259372348</v>
          </cell>
          <cell r="E950">
            <v>1.6077976232702436</v>
          </cell>
          <cell r="F950">
            <v>1.6069539602318108</v>
          </cell>
          <cell r="G950">
            <v>1.6077871505673551</v>
          </cell>
          <cell r="H950">
            <v>1.6184887730254376</v>
          </cell>
          <cell r="I950">
            <v>1.6221234796366633</v>
          </cell>
        </row>
        <row r="951">
          <cell r="A951" t="str">
            <v>RHEM-SHDEM</v>
          </cell>
          <cell r="B951" t="str">
            <v>VAR_fin</v>
          </cell>
          <cell r="C951" t="str">
            <v>RHEM-SHNGAH</v>
          </cell>
          <cell r="D951">
            <v>1.7050071906107661E-2</v>
          </cell>
          <cell r="F951">
            <v>1.3948409203968879E-3</v>
          </cell>
          <cell r="G951">
            <v>2.5489356467269032E-5</v>
          </cell>
          <cell r="H951">
            <v>7.0247368415828557E-2</v>
          </cell>
          <cell r="I951">
            <v>7.9551032849336206E-2</v>
          </cell>
        </row>
        <row r="952">
          <cell r="A952" t="str">
            <v>RHEM-SHDEM</v>
          </cell>
          <cell r="B952" t="str">
            <v>VAR_fin</v>
          </cell>
          <cell r="C952" t="str">
            <v>RHEM-SHLTHC-WOD</v>
          </cell>
          <cell r="D952">
            <v>2.635268949851164E-2</v>
          </cell>
          <cell r="G952">
            <v>1.6887726987112429E-5</v>
          </cell>
          <cell r="H952">
            <v>6.9964329781490989E-2</v>
          </cell>
          <cell r="I952">
            <v>7.9333987453806792E-2</v>
          </cell>
        </row>
        <row r="953">
          <cell r="A953" t="str">
            <v>RHEM-SHDEM</v>
          </cell>
          <cell r="B953" t="str">
            <v>VAR_fin</v>
          </cell>
          <cell r="C953" t="str">
            <v>RHEM-SHSOL</v>
          </cell>
          <cell r="D953">
            <v>0.49162832166497983</v>
          </cell>
          <cell r="E953">
            <v>0.47087261250142687</v>
          </cell>
          <cell r="F953">
            <v>0.4697472778873189</v>
          </cell>
          <cell r="G953">
            <v>0.47085853893334351</v>
          </cell>
          <cell r="H953">
            <v>1.4841304024493065</v>
          </cell>
          <cell r="I953">
            <v>1.6153227074656513</v>
          </cell>
        </row>
        <row r="954">
          <cell r="A954" t="str">
            <v>RHEM-SHDEM</v>
          </cell>
          <cell r="B954" t="str">
            <v>VAR_fin</v>
          </cell>
          <cell r="C954" t="str">
            <v>RHEM-SHLTHD</v>
          </cell>
          <cell r="D954">
            <v>1.9456582927552721</v>
          </cell>
          <cell r="E954">
            <v>3.7212162100594233</v>
          </cell>
          <cell r="F954">
            <v>3.4092166354323985</v>
          </cell>
          <cell r="G954">
            <v>4.0732146767131443</v>
          </cell>
          <cell r="H954">
            <v>3.429616062262554</v>
          </cell>
          <cell r="I954">
            <v>2.9522374437365566</v>
          </cell>
        </row>
        <row r="955">
          <cell r="A955" t="str">
            <v>RHEM-SHDEM</v>
          </cell>
          <cell r="B955" t="str">
            <v>VAR_fin</v>
          </cell>
          <cell r="C955" t="str">
            <v>RHEM-SHNGA</v>
          </cell>
          <cell r="D955">
            <v>18.793141188584453</v>
          </cell>
          <cell r="E955">
            <v>15.038141605935438</v>
          </cell>
          <cell r="F955">
            <v>18.800053314991416</v>
          </cell>
          <cell r="G955">
            <v>18.707791304273258</v>
          </cell>
          <cell r="H955">
            <v>15.408622484371561</v>
          </cell>
          <cell r="I955">
            <v>13.276155918635748</v>
          </cell>
        </row>
        <row r="956">
          <cell r="A956" t="str">
            <v>RHEM-SHDEM</v>
          </cell>
          <cell r="B956" t="str">
            <v>VAR_fin</v>
          </cell>
          <cell r="C956" t="str">
            <v>RHEM-SHELCB</v>
          </cell>
          <cell r="D956">
            <v>4.4923647729025333</v>
          </cell>
          <cell r="E956">
            <v>3.6472862926668408</v>
          </cell>
          <cell r="F956">
            <v>3.0928283736484858</v>
          </cell>
          <cell r="G956">
            <v>2.1255110953698404</v>
          </cell>
          <cell r="H956">
            <v>0.94993711867928154</v>
          </cell>
          <cell r="I956">
            <v>0.35738340752097464</v>
          </cell>
        </row>
        <row r="957">
          <cell r="A957" t="str">
            <v>RHEM-SHDEM</v>
          </cell>
          <cell r="B957" t="str">
            <v>VAR_fin</v>
          </cell>
          <cell r="C957" t="str">
            <v>RHEM-SHELCH</v>
          </cell>
          <cell r="D957">
            <v>9.728018032215056</v>
          </cell>
          <cell r="E957">
            <v>11.655190744927991</v>
          </cell>
          <cell r="F957">
            <v>11.654173892804353</v>
          </cell>
          <cell r="G957">
            <v>11.655125969445768</v>
          </cell>
          <cell r="H957">
            <v>13.889520121224908</v>
          </cell>
          <cell r="I957">
            <v>20.644102200477697</v>
          </cell>
        </row>
        <row r="958">
          <cell r="A958" t="str">
            <v>RHEM-SHDEM</v>
          </cell>
          <cell r="B958" t="str">
            <v>VAR_fin</v>
          </cell>
          <cell r="C958" t="str">
            <v>RHEM-SHLFO</v>
          </cell>
          <cell r="D958">
            <v>23.21396304166516</v>
          </cell>
          <cell r="E958">
            <v>21.360003402152618</v>
          </cell>
          <cell r="F958">
            <v>19.129371361053472</v>
          </cell>
          <cell r="G958">
            <v>17.933211704652045</v>
          </cell>
          <cell r="H958">
            <v>9.8215399327968456</v>
          </cell>
          <cell r="I958">
            <v>0.26426053828086865</v>
          </cell>
        </row>
        <row r="959">
          <cell r="A959" t="str">
            <v>RHEM-SHDEM</v>
          </cell>
          <cell r="B959" t="str">
            <v>VAR_fin</v>
          </cell>
          <cell r="C959" t="str">
            <v>RHEM-SHCON</v>
          </cell>
          <cell r="D959">
            <v>2.0211261490333188</v>
          </cell>
          <cell r="E959">
            <v>4.7916961403394316</v>
          </cell>
          <cell r="F959">
            <v>4.7916549928471799</v>
          </cell>
          <cell r="G959">
            <v>4.7917022797630278</v>
          </cell>
          <cell r="H959">
            <v>13.341374201178766</v>
          </cell>
          <cell r="I959">
            <v>19.663723487650277</v>
          </cell>
        </row>
        <row r="960">
          <cell r="A960" t="str">
            <v>RHEM-SHDEM</v>
          </cell>
          <cell r="B960" t="str">
            <v>VAR_fin</v>
          </cell>
          <cell r="C960" t="str">
            <v>RHEM-SHWOD</v>
          </cell>
          <cell r="D960">
            <v>4.6121903525529309</v>
          </cell>
          <cell r="E960">
            <v>4.5400391584658495</v>
          </cell>
          <cell r="F960">
            <v>3.9357342275477092</v>
          </cell>
          <cell r="G960">
            <v>3.8938555924225668</v>
          </cell>
          <cell r="H960">
            <v>3.7726323260152337</v>
          </cell>
          <cell r="I960">
            <v>2.4973374106646853</v>
          </cell>
        </row>
        <row r="961">
          <cell r="A961" t="str">
            <v>RHEM-SHDEM</v>
          </cell>
          <cell r="B961" t="str">
            <v>VAR_fin</v>
          </cell>
          <cell r="C961" t="str">
            <v>RHEM-SHLTHC-NGA</v>
          </cell>
          <cell r="D961">
            <v>0.21462621384308639</v>
          </cell>
          <cell r="E961">
            <v>1.7575860347735703E-6</v>
          </cell>
          <cell r="F961">
            <v>1.697085000709407E-3</v>
          </cell>
          <cell r="G961">
            <v>0.5000242788363819</v>
          </cell>
          <cell r="H961">
            <v>0.80246334686574416</v>
          </cell>
          <cell r="I961">
            <v>0.81081142257822636</v>
          </cell>
        </row>
        <row r="962">
          <cell r="A962" t="str">
            <v>ITOT-SWHH2BR</v>
          </cell>
          <cell r="B962" t="str">
            <v>VAR_fout</v>
          </cell>
          <cell r="C962" t="str">
            <v>ITOT-SWH</v>
          </cell>
          <cell r="G962">
            <v>2.1830741438260803</v>
          </cell>
          <cell r="H962">
            <v>7.0086733488585677</v>
          </cell>
          <cell r="I962">
            <v>12.160638068147236</v>
          </cell>
        </row>
        <row r="963">
          <cell r="A963" t="str">
            <v>ITOT-SWHH2BR</v>
          </cell>
          <cell r="B963" t="str">
            <v>VAR_fin</v>
          </cell>
          <cell r="C963" t="str">
            <v>IH2</v>
          </cell>
          <cell r="G963">
            <v>2.7118821245837346</v>
          </cell>
          <cell r="H963">
            <v>8.6684527739423896</v>
          </cell>
          <cell r="I963">
            <v>14.975241083668514</v>
          </cell>
        </row>
        <row r="964">
          <cell r="A964" t="str">
            <v>ITOT-SWHH2BR</v>
          </cell>
          <cell r="B964" t="str">
            <v>VAR_ncap</v>
          </cell>
          <cell r="C964" t="str">
            <v>-</v>
          </cell>
          <cell r="G964">
            <v>0.17178450976338699</v>
          </cell>
          <cell r="H964">
            <v>5.8695022516537798E-2</v>
          </cell>
          <cell r="I964">
            <v>0.84150605898533604</v>
          </cell>
        </row>
        <row r="965">
          <cell r="A965" t="str">
            <v>ITOT-SWHH2BR</v>
          </cell>
          <cell r="B965" t="str">
            <v>VAR_cap</v>
          </cell>
          <cell r="C965" t="str">
            <v>-</v>
          </cell>
          <cell r="G965">
            <v>0.17178450976338699</v>
          </cell>
          <cell r="H965">
            <v>0.57110921511781987</v>
          </cell>
          <cell r="I965">
            <v>1.0512229414824867</v>
          </cell>
        </row>
        <row r="966">
          <cell r="A966" t="str">
            <v>RHNS-SHSTG-ELC</v>
          </cell>
          <cell r="B966" t="str">
            <v>VAR_fout</v>
          </cell>
          <cell r="C966" t="str">
            <v>RHNS-SHAELCB</v>
          </cell>
          <cell r="F966">
            <v>9.4400160898254031E-3</v>
          </cell>
          <cell r="G966">
            <v>5.974783414906776E-6</v>
          </cell>
          <cell r="H966">
            <v>5.4140293693085763E-7</v>
          </cell>
          <cell r="I966">
            <v>1.9957572392905669E-7</v>
          </cell>
        </row>
        <row r="967">
          <cell r="A967" t="str">
            <v>RHNS-SHSTG-ELC</v>
          </cell>
          <cell r="B967" t="str">
            <v>VAR_fin</v>
          </cell>
          <cell r="C967" t="str">
            <v>RHNS-SHAELCB</v>
          </cell>
          <cell r="F967">
            <v>9.440290487967096E-3</v>
          </cell>
          <cell r="G967">
            <v>5.7958306281877459E-6</v>
          </cell>
          <cell r="H967">
            <v>5.2308663387059129E-7</v>
          </cell>
          <cell r="I967">
            <v>1.1332249779029391E-7</v>
          </cell>
        </row>
        <row r="968">
          <cell r="A968" t="str">
            <v>RHNS-SHSTG-ELC</v>
          </cell>
          <cell r="B968" t="str">
            <v>VAR_ncap</v>
          </cell>
          <cell r="C968" t="str">
            <v>-</v>
          </cell>
          <cell r="D968">
            <v>2.3008909703447E-6</v>
          </cell>
          <cell r="E968">
            <v>8.8541133624850995E-4</v>
          </cell>
          <cell r="F968">
            <v>7.30322369479592E-6</v>
          </cell>
          <cell r="G968">
            <v>1.6892822215049099E-7</v>
          </cell>
          <cell r="H968">
            <v>2.2418204504364101E-7</v>
          </cell>
          <cell r="I968">
            <v>1.01080410601291E-7</v>
          </cell>
        </row>
        <row r="969">
          <cell r="A969" t="str">
            <v>RHNS-SHSTG-ELC</v>
          </cell>
          <cell r="B969" t="str">
            <v>VAR_cap</v>
          </cell>
          <cell r="C969" t="str">
            <v>-</v>
          </cell>
          <cell r="D969">
            <v>2.3008909703447E-6</v>
          </cell>
          <cell r="E969">
            <v>8.8763004307708718E-4</v>
          </cell>
          <cell r="F969">
            <v>8.9484462013394322E-4</v>
          </cell>
          <cell r="G969">
            <v>1.8847311668059854E-6</v>
          </cell>
          <cell r="H969">
            <v>3.1775699893616011E-7</v>
          </cell>
          <cell r="I969">
            <v>1.4097321343122599E-7</v>
          </cell>
        </row>
        <row r="970">
          <cell r="A970" t="str">
            <v>RHES-SHCOABR</v>
          </cell>
          <cell r="B970" t="str">
            <v>VAR_fout</v>
          </cell>
          <cell r="C970" t="str">
            <v>CO2_R</v>
          </cell>
          <cell r="D970">
            <v>9.2700016258185407</v>
          </cell>
          <cell r="E970">
            <v>9.2700004548739798</v>
          </cell>
          <cell r="F970">
            <v>2.6834622028190599E-3</v>
          </cell>
          <cell r="G970">
            <v>1.4195053468676101E-3</v>
          </cell>
        </row>
        <row r="971">
          <cell r="A971" t="str">
            <v>RHES-SHCOABR</v>
          </cell>
          <cell r="B971" t="str">
            <v>VAR_fout</v>
          </cell>
          <cell r="C971" t="str">
            <v>RHES-SHCOA</v>
          </cell>
          <cell r="D971">
            <v>7.2000012627716756E-2</v>
          </cell>
          <cell r="E971">
            <v>7.2000003533001802E-2</v>
          </cell>
          <cell r="F971">
            <v>2.0842424876264509E-5</v>
          </cell>
          <cell r="G971">
            <v>1.102528424751542E-5</v>
          </cell>
        </row>
        <row r="972">
          <cell r="A972" t="str">
            <v>RHES-SHCOABR</v>
          </cell>
          <cell r="B972" t="str">
            <v>VAR_fin</v>
          </cell>
          <cell r="C972" t="str">
            <v>RCOA</v>
          </cell>
          <cell r="D972">
            <v>0.10000001753849549</v>
          </cell>
          <cell r="E972">
            <v>0.10000000490694694</v>
          </cell>
          <cell r="F972">
            <v>2.8947812328145182E-5</v>
          </cell>
          <cell r="G972">
            <v>1.5312894788215868E-5</v>
          </cell>
        </row>
        <row r="973">
          <cell r="A973" t="str">
            <v>RHES-SHCOABR</v>
          </cell>
          <cell r="B973" t="str">
            <v>VAR_cap</v>
          </cell>
          <cell r="C973" t="str">
            <v>-</v>
          </cell>
          <cell r="D973">
            <v>7.0000000000000001E-3</v>
          </cell>
          <cell r="E973">
            <v>5.8407161714460303E-3</v>
          </cell>
          <cell r="F973">
            <v>2.9366092123197379E-6</v>
          </cell>
          <cell r="G973">
            <v>1.7377286192299737E-6</v>
          </cell>
        </row>
        <row r="974">
          <cell r="A974" t="str">
            <v>D-INGA</v>
          </cell>
          <cell r="B974" t="str">
            <v>VAR_fout</v>
          </cell>
          <cell r="C974" t="str">
            <v>CO2</v>
          </cell>
          <cell r="D974">
            <v>2101.0412261065499</v>
          </cell>
          <cell r="E974">
            <v>1782.04078454722</v>
          </cell>
          <cell r="F974">
            <v>1786.78524350269</v>
          </cell>
          <cell r="G974">
            <v>1191.1538105690099</v>
          </cell>
          <cell r="H974">
            <v>532.10378577854704</v>
          </cell>
          <cell r="I974">
            <v>137.647703069324</v>
          </cell>
        </row>
        <row r="975">
          <cell r="A975" t="str">
            <v>D-INGA</v>
          </cell>
          <cell r="B975" t="str">
            <v>VAR_fout</v>
          </cell>
          <cell r="C975" t="str">
            <v>INGA</v>
          </cell>
          <cell r="D975">
            <v>37.466643811180965</v>
          </cell>
          <cell r="E975">
            <v>31.818232781289446</v>
          </cell>
          <cell r="F975">
            <v>35.701184786050668</v>
          </cell>
          <cell r="G975">
            <v>25.223812571583608</v>
          </cell>
          <cell r="H975">
            <v>13.511715009013798</v>
          </cell>
          <cell r="I975">
            <v>6.6574092833885006</v>
          </cell>
        </row>
        <row r="976">
          <cell r="A976" t="str">
            <v>D-INGA</v>
          </cell>
          <cell r="B976" t="str">
            <v>VAR_fin</v>
          </cell>
          <cell r="C976" t="str">
            <v>NGA</v>
          </cell>
          <cell r="D976">
            <v>37.252504008981326</v>
          </cell>
          <cell r="E976">
            <v>31.596467811120835</v>
          </cell>
          <cell r="F976">
            <v>31.680589423806662</v>
          </cell>
          <cell r="G976">
            <v>21.119748414344112</v>
          </cell>
          <cell r="H976">
            <v>9.434464286853661</v>
          </cell>
          <cell r="I976">
            <v>2.4405621111582296</v>
          </cell>
        </row>
        <row r="977">
          <cell r="A977" t="str">
            <v>D-INGA</v>
          </cell>
          <cell r="B977" t="str">
            <v>VAR_fin</v>
          </cell>
          <cell r="C977" t="str">
            <v>BNGA</v>
          </cell>
          <cell r="D977">
            <v>0.3338314764178193</v>
          </cell>
          <cell r="E977">
            <v>0.32341647660616951</v>
          </cell>
          <cell r="F977">
            <v>4.120415639966053</v>
          </cell>
          <cell r="G977">
            <v>4.1204157437109963</v>
          </cell>
          <cell r="H977">
            <v>4.1204158576262282</v>
          </cell>
          <cell r="I977">
            <v>4.1204142601882392</v>
          </cell>
        </row>
        <row r="978">
          <cell r="A978" t="str">
            <v>D-INGA</v>
          </cell>
          <cell r="B978" t="str">
            <v>VAR_fin</v>
          </cell>
          <cell r="C978" t="str">
            <v>H2</v>
          </cell>
          <cell r="F978">
            <v>1.4231426512497671E-2</v>
          </cell>
          <cell r="G978">
            <v>6.4235649730624581E-2</v>
          </cell>
          <cell r="H978">
            <v>9.764797050921971E-6</v>
          </cell>
          <cell r="I978">
            <v>0.11770584078981115</v>
          </cell>
        </row>
        <row r="979">
          <cell r="A979" t="str">
            <v>D-INGA</v>
          </cell>
          <cell r="B979" t="str">
            <v>VAR_ncap</v>
          </cell>
          <cell r="C979" t="str">
            <v>-</v>
          </cell>
          <cell r="H979">
            <v>2.51150485755213E-8</v>
          </cell>
          <cell r="I979">
            <v>9.9285712879403496E-8</v>
          </cell>
        </row>
        <row r="980">
          <cell r="A980" t="str">
            <v>D-INGA</v>
          </cell>
          <cell r="B980" t="str">
            <v>VAR_cap</v>
          </cell>
          <cell r="C980" t="str">
            <v>-</v>
          </cell>
          <cell r="D980">
            <v>1.9844833702661</v>
          </cell>
          <cell r="E980">
            <v>1.9844833702661</v>
          </cell>
          <cell r="F980">
            <v>1.9844833702661</v>
          </cell>
          <cell r="G980">
            <v>1.9844833702661</v>
          </cell>
          <cell r="H980">
            <v>1.9844834115404799</v>
          </cell>
          <cell r="I980">
            <v>1.0954595780060128</v>
          </cell>
        </row>
        <row r="981">
          <cell r="A981" t="str">
            <v>RHEM-SHNGAHP</v>
          </cell>
          <cell r="B981" t="str">
            <v>VAR_fout</v>
          </cell>
          <cell r="C981" t="str">
            <v>CO2_R</v>
          </cell>
          <cell r="F981">
            <v>3.8744093476105699E-4</v>
          </cell>
          <cell r="G981">
            <v>4.0524443152251599E-4</v>
          </cell>
          <cell r="H981">
            <v>5.6388344890331203E-4</v>
          </cell>
          <cell r="I981">
            <v>6.19129026168739E-4</v>
          </cell>
        </row>
        <row r="982">
          <cell r="A982" t="str">
            <v>RHEM-SHNGAHP</v>
          </cell>
          <cell r="B982" t="str">
            <v>VAR_fout</v>
          </cell>
          <cell r="C982" t="str">
            <v>RHEM-SHANGAH</v>
          </cell>
          <cell r="F982">
            <v>1.4050197841700859E-5</v>
          </cell>
          <cell r="G982">
            <v>1.52968591621456E-5</v>
          </cell>
          <cell r="H982">
            <v>2.2533165683364414E-5</v>
          </cell>
          <cell r="I982">
            <v>2.6041201686636705E-5</v>
          </cell>
        </row>
        <row r="983">
          <cell r="A983" t="str">
            <v>RHEM-SHNGAHP</v>
          </cell>
          <cell r="B983" t="str">
            <v>VAR_fin</v>
          </cell>
          <cell r="C983" t="str">
            <v>RHEMELCHPC</v>
          </cell>
          <cell r="F983">
            <v>1.4050197841700859E-5</v>
          </cell>
          <cell r="G983">
            <v>1.52968591621456E-5</v>
          </cell>
          <cell r="H983">
            <v>2.2533165683364414E-5</v>
          </cell>
          <cell r="I983">
            <v>2.6041201686636705E-5</v>
          </cell>
        </row>
        <row r="984">
          <cell r="A984" t="str">
            <v>RHEM-SHNGAHP</v>
          </cell>
          <cell r="B984" t="str">
            <v>VAR_fin</v>
          </cell>
          <cell r="C984" t="str">
            <v>RNGA</v>
          </cell>
          <cell r="F984">
            <v>6.8695201198768916E-6</v>
          </cell>
          <cell r="G984">
            <v>7.1851849560729705E-6</v>
          </cell>
          <cell r="H984">
            <v>9.9979334911934793E-6</v>
          </cell>
          <cell r="I984">
            <v>1.0977465002991822E-5</v>
          </cell>
        </row>
        <row r="985">
          <cell r="A985" t="str">
            <v>RHEM-SHNGAHP</v>
          </cell>
          <cell r="B985" t="str">
            <v>VAR_ncap</v>
          </cell>
          <cell r="C985" t="str">
            <v>-</v>
          </cell>
          <cell r="F985">
            <v>1.56329034332051E-6</v>
          </cell>
          <cell r="G985">
            <v>1.4203756116494201E-8</v>
          </cell>
          <cell r="H985">
            <v>1.7417356908823401E-6</v>
          </cell>
          <cell r="I985">
            <v>7.9776667330358003E-7</v>
          </cell>
        </row>
        <row r="986">
          <cell r="A986" t="str">
            <v>RHEM-SHNGAHP</v>
          </cell>
          <cell r="B986" t="str">
            <v>VAR_cap</v>
          </cell>
          <cell r="C986" t="str">
            <v>-</v>
          </cell>
          <cell r="F986">
            <v>1.56329034332051E-6</v>
          </cell>
          <cell r="G986">
            <v>1.5774940994370099E-6</v>
          </cell>
          <cell r="H986">
            <v>2.2631272420128799E-6</v>
          </cell>
          <cell r="I986">
            <v>2.1611207777517001E-6</v>
          </cell>
        </row>
        <row r="987">
          <cell r="A987" t="str">
            <v>D-SPLT</v>
          </cell>
          <cell r="B987" t="str">
            <v>VAR_fout</v>
          </cell>
          <cell r="C987" t="str">
            <v>SPLT</v>
          </cell>
          <cell r="D987">
            <v>2.0856330961482024</v>
          </cell>
          <cell r="E987">
            <v>2.4000907406811502</v>
          </cell>
          <cell r="F987">
            <v>2.4003230459138751</v>
          </cell>
          <cell r="G987">
            <v>2.4733969228876256</v>
          </cell>
          <cell r="H987">
            <v>3.0725575313369591</v>
          </cell>
          <cell r="I987">
            <v>2.4744286717084605</v>
          </cell>
        </row>
        <row r="988">
          <cell r="A988" t="str">
            <v>D-SPLT</v>
          </cell>
          <cell r="B988" t="str">
            <v>VAR_fin</v>
          </cell>
          <cell r="C988" t="str">
            <v>PLT</v>
          </cell>
          <cell r="D988">
            <v>2.0856330961482024</v>
          </cell>
          <cell r="E988">
            <v>2.4000907406811502</v>
          </cell>
          <cell r="F988">
            <v>2.4003230459138751</v>
          </cell>
          <cell r="G988">
            <v>2.4733969228876256</v>
          </cell>
          <cell r="H988">
            <v>3.0725575313369591</v>
          </cell>
          <cell r="I988">
            <v>2.4744286717084605</v>
          </cell>
        </row>
        <row r="989">
          <cell r="A989" t="str">
            <v>RHES-SHCONBR</v>
          </cell>
          <cell r="B989" t="str">
            <v>VAR_fout</v>
          </cell>
          <cell r="C989" t="str">
            <v>RHES-SHCON</v>
          </cell>
          <cell r="F989">
            <v>1.2174432429060698E-6</v>
          </cell>
          <cell r="G989">
            <v>1.2213231190135345E-6</v>
          </cell>
          <cell r="H989">
            <v>2.6847394791355694E-6</v>
          </cell>
          <cell r="I989">
            <v>2.7065655724417617E-6</v>
          </cell>
        </row>
        <row r="990">
          <cell r="A990" t="str">
            <v>RHES-SHCONBR</v>
          </cell>
          <cell r="B990" t="str">
            <v>VAR_fin</v>
          </cell>
          <cell r="C990" t="str">
            <v>CON</v>
          </cell>
          <cell r="F990">
            <v>1.2174432429060698E-6</v>
          </cell>
          <cell r="G990">
            <v>1.2213231190135345E-6</v>
          </cell>
          <cell r="H990">
            <v>2.6847394791355694E-6</v>
          </cell>
          <cell r="I990">
            <v>2.7065655724417617E-6</v>
          </cell>
        </row>
        <row r="991">
          <cell r="A991" t="str">
            <v>RHES-SHCONBR</v>
          </cell>
          <cell r="B991" t="str">
            <v>VAR_ncap</v>
          </cell>
          <cell r="C991" t="str">
            <v>-</v>
          </cell>
          <cell r="F991">
            <v>1.4141161462058001E-7</v>
          </cell>
        </row>
        <row r="992">
          <cell r="A992" t="str">
            <v>RHES-SHCONBR</v>
          </cell>
          <cell r="B992" t="str">
            <v>VAR_cap</v>
          </cell>
          <cell r="C992" t="str">
            <v>-</v>
          </cell>
          <cell r="F992">
            <v>1.4141161462058001E-7</v>
          </cell>
          <cell r="G992">
            <v>1.4141161462058001E-7</v>
          </cell>
          <cell r="H992">
            <v>2.6136053994094497E-7</v>
          </cell>
          <cell r="I992">
            <v>2.6136053994094497E-7</v>
          </cell>
        </row>
        <row r="993">
          <cell r="A993" t="str">
            <v>RHSA-WHSOLBR</v>
          </cell>
          <cell r="B993" t="str">
            <v>VAR_fout</v>
          </cell>
          <cell r="C993" t="str">
            <v>RHSA-WHASOL</v>
          </cell>
          <cell r="D993">
            <v>1.721488024659851</v>
          </cell>
          <cell r="E993">
            <v>1.9867172842731415</v>
          </cell>
          <cell r="F993">
            <v>1.9867173181391848</v>
          </cell>
          <cell r="G993">
            <v>1.9867173643900082</v>
          </cell>
          <cell r="H993">
            <v>2.6792702172495848</v>
          </cell>
          <cell r="I993">
            <v>3.0635964260616566</v>
          </cell>
        </row>
        <row r="994">
          <cell r="A994" t="str">
            <v>RHSA-WHSOLBR</v>
          </cell>
          <cell r="B994" t="str">
            <v>VAR_fin</v>
          </cell>
          <cell r="C994" t="str">
            <v>SOL</v>
          </cell>
          <cell r="D994">
            <v>1.721488024659851</v>
          </cell>
          <cell r="E994">
            <v>1.9867172842731415</v>
          </cell>
          <cell r="F994">
            <v>1.9867173181391848</v>
          </cell>
          <cell r="G994">
            <v>1.9867173643900082</v>
          </cell>
          <cell r="H994">
            <v>2.6792702172495848</v>
          </cell>
          <cell r="I994">
            <v>3.0635964260616566</v>
          </cell>
        </row>
        <row r="995">
          <cell r="A995" t="str">
            <v>RHSA-WHSOLBR</v>
          </cell>
          <cell r="B995" t="str">
            <v>VAR_fin</v>
          </cell>
          <cell r="C995" t="str">
            <v>RHSASOLBRC</v>
          </cell>
          <cell r="D995">
            <v>1.721488024659851</v>
          </cell>
          <cell r="E995">
            <v>1.9867172842731415</v>
          </cell>
          <cell r="F995">
            <v>1.9867173181391848</v>
          </cell>
          <cell r="G995">
            <v>1.9867173643900082</v>
          </cell>
          <cell r="H995">
            <v>2.6792702172495848</v>
          </cell>
          <cell r="I995">
            <v>3.0635964260616566</v>
          </cell>
        </row>
        <row r="996">
          <cell r="A996" t="str">
            <v>RHSA-WHSOLBR</v>
          </cell>
          <cell r="B996" t="str">
            <v>VAR_ncap</v>
          </cell>
          <cell r="C996" t="str">
            <v>-</v>
          </cell>
          <cell r="E996">
            <v>3.8518969840873898E-2</v>
          </cell>
          <cell r="H996">
            <v>0.27791164748861102</v>
          </cell>
          <cell r="I996">
            <v>0.19619782823281201</v>
          </cell>
        </row>
        <row r="997">
          <cell r="A997" t="str">
            <v>RHSA-WHSOLBR</v>
          </cell>
          <cell r="B997" t="str">
            <v>VAR_cap</v>
          </cell>
          <cell r="C997" t="str">
            <v>-</v>
          </cell>
          <cell r="D997">
            <v>0.25000991745774798</v>
          </cell>
          <cell r="E997">
            <v>0.28852888729862186</v>
          </cell>
          <cell r="F997">
            <v>0.28852888729862186</v>
          </cell>
          <cell r="G997">
            <v>0.28852888729862186</v>
          </cell>
          <cell r="H997">
            <v>0.38910761345912098</v>
          </cell>
          <cell r="I997">
            <v>0.444922926347319</v>
          </cell>
        </row>
        <row r="998">
          <cell r="A998" t="str">
            <v>RHNM-SHNGABR</v>
          </cell>
          <cell r="B998" t="str">
            <v>VAR_fout</v>
          </cell>
          <cell r="C998" t="str">
            <v>CO2_R</v>
          </cell>
          <cell r="E998">
            <v>43.098886139657701</v>
          </cell>
          <cell r="F998">
            <v>43.460645631303898</v>
          </cell>
          <cell r="G998">
            <v>42.464679340473701</v>
          </cell>
          <cell r="H998">
            <v>2.3840762181839398E-3</v>
          </cell>
          <cell r="I998">
            <v>2.8299679161806601E-4</v>
          </cell>
        </row>
        <row r="999">
          <cell r="A999" t="str">
            <v>RHNM-SHNGABR</v>
          </cell>
          <cell r="B999" t="str">
            <v>VAR_fout</v>
          </cell>
          <cell r="C999" t="str">
            <v>RHNM-SHNGA</v>
          </cell>
          <cell r="E999">
            <v>0.72595641547295642</v>
          </cell>
          <cell r="F999">
            <v>0.73204988208756661</v>
          </cell>
          <cell r="G999">
            <v>0.71527385413918454</v>
          </cell>
          <cell r="H999">
            <v>4.0157312185722384E-5</v>
          </cell>
          <cell r="I999">
            <v>4.7667899297369339E-6</v>
          </cell>
        </row>
        <row r="1000">
          <cell r="A1000" t="str">
            <v>RHNM-SHNGABR</v>
          </cell>
          <cell r="B1000" t="str">
            <v>VAR_fin</v>
          </cell>
          <cell r="C1000" t="str">
            <v>RNGA</v>
          </cell>
          <cell r="E1000">
            <v>0.7641646478662707</v>
          </cell>
          <cell r="F1000">
            <v>0.77057882325007077</v>
          </cell>
          <cell r="G1000">
            <v>0.75291984646229915</v>
          </cell>
          <cell r="H1000">
            <v>4.22708549323394E-5</v>
          </cell>
          <cell r="I1000">
            <v>5.0176736102494046E-6</v>
          </cell>
        </row>
        <row r="1001">
          <cell r="A1001" t="str">
            <v>RHNM-SHNGABR</v>
          </cell>
          <cell r="B1001" t="str">
            <v>VAR_ncap</v>
          </cell>
          <cell r="C1001" t="str">
            <v>-</v>
          </cell>
          <cell r="E1001">
            <v>5.6349861467413803E-2</v>
          </cell>
          <cell r="F1001">
            <v>1.0312120706945801E-3</v>
          </cell>
          <cell r="G1001">
            <v>1.0224929192978599E-8</v>
          </cell>
          <cell r="H1001">
            <v>1.2100493162679099E-7</v>
          </cell>
          <cell r="I1001">
            <v>5.6772531319102796E-7</v>
          </cell>
        </row>
        <row r="1002">
          <cell r="A1002" t="str">
            <v>RHNM-SHNGABR</v>
          </cell>
          <cell r="B1002" t="str">
            <v>VAR_cap</v>
          </cell>
          <cell r="C1002" t="str">
            <v>-</v>
          </cell>
          <cell r="E1002">
            <v>5.6349861467413803E-2</v>
          </cell>
          <cell r="F1002">
            <v>5.7381073538108403E-2</v>
          </cell>
          <cell r="G1002">
            <v>5.7381055197337598E-2</v>
          </cell>
          <cell r="H1002">
            <v>4.8923735873840032E-6</v>
          </cell>
          <cell r="I1002">
            <v>6.8047366683617236E-7</v>
          </cell>
        </row>
        <row r="1003">
          <cell r="A1003" t="str">
            <v>RHES-SHSOLBR</v>
          </cell>
          <cell r="B1003" t="str">
            <v>VAR_fout</v>
          </cell>
          <cell r="C1003" t="str">
            <v>RHES-SHASOL</v>
          </cell>
          <cell r="D1003">
            <v>0.37732610756439694</v>
          </cell>
          <cell r="E1003">
            <v>0.43546065320658611</v>
          </cell>
          <cell r="F1003">
            <v>0.43546067103908703</v>
          </cell>
          <cell r="G1003">
            <v>0.43546069485581201</v>
          </cell>
          <cell r="H1003">
            <v>0.4077660567185391</v>
          </cell>
          <cell r="I1003">
            <v>0.38183223823418316</v>
          </cell>
        </row>
        <row r="1004">
          <cell r="A1004" t="str">
            <v>RHES-SHSOLBR</v>
          </cell>
          <cell r="B1004" t="str">
            <v>VAR_fin</v>
          </cell>
          <cell r="C1004" t="str">
            <v>SOL</v>
          </cell>
          <cell r="D1004">
            <v>0.37732610756439694</v>
          </cell>
          <cell r="E1004">
            <v>0.43546065320658611</v>
          </cell>
          <cell r="F1004">
            <v>0.43546067103908703</v>
          </cell>
          <cell r="G1004">
            <v>0.43546069485581201</v>
          </cell>
          <cell r="H1004">
            <v>0.4077660567185391</v>
          </cell>
          <cell r="I1004">
            <v>0.38183223823418316</v>
          </cell>
        </row>
        <row r="1005">
          <cell r="A1005" t="str">
            <v>RHES-SHSOLBR</v>
          </cell>
          <cell r="B1005" t="str">
            <v>VAR_ncap</v>
          </cell>
          <cell r="C1005" t="str">
            <v>-</v>
          </cell>
          <cell r="E1005">
            <v>8.4428196706852598E-3</v>
          </cell>
          <cell r="H1005">
            <v>1.6558781529422199E-2</v>
          </cell>
          <cell r="I1005">
            <v>2.5390607106990402E-2</v>
          </cell>
        </row>
        <row r="1006">
          <cell r="A1006" t="str">
            <v>RHES-SHSOLBR</v>
          </cell>
          <cell r="B1006" t="str">
            <v>VAR_cap</v>
          </cell>
          <cell r="C1006" t="str">
            <v>-</v>
          </cell>
          <cell r="D1006">
            <v>5.4798678617278197E-2</v>
          </cell>
          <cell r="E1006">
            <v>6.3241498287963452E-2</v>
          </cell>
          <cell r="F1006">
            <v>6.3241498287963452E-2</v>
          </cell>
          <cell r="G1006">
            <v>6.3241498287963452E-2</v>
          </cell>
          <cell r="H1006">
            <v>5.9219437541341603E-2</v>
          </cell>
          <cell r="I1006">
            <v>5.5453099293268499E-2</v>
          </cell>
        </row>
        <row r="1007">
          <cell r="A1007" t="str">
            <v>SCOM-SHSOLBR</v>
          </cell>
          <cell r="B1007" t="str">
            <v>VAR_fout</v>
          </cell>
          <cell r="C1007" t="str">
            <v>SCOM-SHASOL</v>
          </cell>
          <cell r="D1007">
            <v>0.62699335417326996</v>
          </cell>
          <cell r="E1007">
            <v>0.68733127363266378</v>
          </cell>
          <cell r="F1007">
            <v>0.68733135029652181</v>
          </cell>
          <cell r="G1007">
            <v>0.69717538560414949</v>
          </cell>
          <cell r="H1007">
            <v>5.4157566707081859</v>
          </cell>
          <cell r="I1007">
            <v>5.4157566082081008</v>
          </cell>
        </row>
        <row r="1008">
          <cell r="A1008" t="str">
            <v>SCOM-SHSOLBR</v>
          </cell>
          <cell r="B1008" t="str">
            <v>VAR_fin</v>
          </cell>
          <cell r="C1008" t="str">
            <v>SOL</v>
          </cell>
          <cell r="D1008">
            <v>0.62699335417326996</v>
          </cell>
          <cell r="E1008">
            <v>0.68733127363266378</v>
          </cell>
          <cell r="F1008">
            <v>0.68733135029652181</v>
          </cell>
          <cell r="G1008">
            <v>0.69717538560414949</v>
          </cell>
          <cell r="H1008">
            <v>5.4157566707081859</v>
          </cell>
          <cell r="I1008">
            <v>5.4157566082081008</v>
          </cell>
        </row>
        <row r="1009">
          <cell r="A1009" t="str">
            <v>SCOM-SHSOLBR</v>
          </cell>
          <cell r="B1009" t="str">
            <v>VAR_ncap</v>
          </cell>
          <cell r="C1009" t="str">
            <v>-</v>
          </cell>
          <cell r="E1009">
            <v>8.7628133611884207E-3</v>
          </cell>
          <cell r="F1009">
            <v>1.11338124645557E-8</v>
          </cell>
          <cell r="G1009">
            <v>1.4296390212749099E-3</v>
          </cell>
          <cell r="H1009">
            <v>0.177433723688386</v>
          </cell>
          <cell r="I1009">
            <v>0.40052589586431597</v>
          </cell>
        </row>
        <row r="1010">
          <cell r="A1010" t="str">
            <v>SCOM-SHSOLBR</v>
          </cell>
          <cell r="B1010" t="str">
            <v>VAR_cap</v>
          </cell>
          <cell r="C1010" t="str">
            <v>-</v>
          </cell>
          <cell r="D1010">
            <v>9.1057593476079501E-2</v>
          </cell>
          <cell r="E1010">
            <v>9.9820406837267922E-2</v>
          </cell>
          <cell r="F1010">
            <v>9.9820417971080391E-2</v>
          </cell>
          <cell r="G1010">
            <v>0.1012500569923553</v>
          </cell>
          <cell r="H1010">
            <v>0.78652471514144695</v>
          </cell>
          <cell r="I1010">
            <v>0.78652470606462499</v>
          </cell>
        </row>
        <row r="1011">
          <cell r="A1011" t="str">
            <v>RHEM-SHSTG-ELCHP</v>
          </cell>
          <cell r="B1011" t="str">
            <v>VAR_fout</v>
          </cell>
          <cell r="C1011" t="str">
            <v>RHEM-SHAELCH</v>
          </cell>
          <cell r="D1011">
            <v>8.6877993247386209E-8</v>
          </cell>
          <cell r="E1011">
            <v>1.1705111370094451E-7</v>
          </cell>
          <cell r="F1011">
            <v>1.8239249493073741</v>
          </cell>
          <cell r="G1011">
            <v>1.3173079688480718</v>
          </cell>
          <cell r="H1011">
            <v>1.1472953436779176</v>
          </cell>
          <cell r="I1011">
            <v>2.4744022768065426</v>
          </cell>
        </row>
        <row r="1012">
          <cell r="A1012" t="str">
            <v>RHEM-SHSTG-ELCHP</v>
          </cell>
          <cell r="B1012" t="str">
            <v>VAR_fin</v>
          </cell>
          <cell r="C1012" t="str">
            <v>RHEM-SHAELCH</v>
          </cell>
          <cell r="D1012">
            <v>6.6491043999856796E-8</v>
          </cell>
          <cell r="E1012">
            <v>1.000233609259841E-7</v>
          </cell>
          <cell r="F1012">
            <v>1.8240290491831408</v>
          </cell>
          <cell r="G1012">
            <v>1.3173618598060248</v>
          </cell>
          <cell r="H1012">
            <v>1.147349720593728</v>
          </cell>
          <cell r="I1012">
            <v>2.4745198099150176</v>
          </cell>
        </row>
        <row r="1013">
          <cell r="A1013" t="str">
            <v>RHEM-SHSTG-ELCHP</v>
          </cell>
          <cell r="B1013" t="str">
            <v>VAR_ncap</v>
          </cell>
          <cell r="C1013" t="str">
            <v>-</v>
          </cell>
          <cell r="D1013">
            <v>1.48291152484216E-4</v>
          </cell>
          <cell r="E1013">
            <v>0.193501788100643</v>
          </cell>
          <cell r="F1013">
            <v>7.3615072724549802E-7</v>
          </cell>
          <cell r="G1013">
            <v>9.8685749354094795E-7</v>
          </cell>
          <cell r="H1013">
            <v>0.138943378307441</v>
          </cell>
          <cell r="I1013">
            <v>0.20834197628706899</v>
          </cell>
        </row>
        <row r="1014">
          <cell r="A1014" t="str">
            <v>RHEM-SHSTG-ELCHP</v>
          </cell>
          <cell r="B1014" t="str">
            <v>VAR_cap</v>
          </cell>
          <cell r="C1014" t="str">
            <v>-</v>
          </cell>
          <cell r="D1014">
            <v>1.48291152484216E-4</v>
          </cell>
          <cell r="E1014">
            <v>0.19364993131579625</v>
          </cell>
          <cell r="F1014">
            <v>0.19364988381408843</v>
          </cell>
          <cell r="G1014">
            <v>0.19365002148064525</v>
          </cell>
          <cell r="H1014">
            <v>0.23376177879759066</v>
          </cell>
          <cell r="I1014">
            <v>0.34928449469529971</v>
          </cell>
        </row>
        <row r="1015">
          <cell r="A1015" t="str">
            <v>ITOT-SWHELCBR</v>
          </cell>
          <cell r="B1015" t="str">
            <v>VAR_fout</v>
          </cell>
          <cell r="C1015" t="str">
            <v>ITOT-SWHAELC</v>
          </cell>
          <cell r="D1015">
            <v>9.8138876788747442</v>
          </cell>
          <cell r="E1015">
            <v>10.335082579953133</v>
          </cell>
          <cell r="F1015">
            <v>10.33508296736697</v>
          </cell>
          <cell r="G1015">
            <v>10.335915664988079</v>
          </cell>
          <cell r="H1015">
            <v>10.335915700640054</v>
          </cell>
          <cell r="I1015">
            <v>10.537506971195956</v>
          </cell>
        </row>
        <row r="1016">
          <cell r="A1016" t="str">
            <v>ITOT-SWHELCBR</v>
          </cell>
          <cell r="B1016" t="str">
            <v>VAR_fin</v>
          </cell>
          <cell r="C1016" t="str">
            <v>ITOT_ELC</v>
          </cell>
          <cell r="D1016">
            <v>11.646935643830053</v>
          </cell>
          <cell r="E1016">
            <v>12.258977517325992</v>
          </cell>
          <cell r="F1016">
            <v>12.249237377525462</v>
          </cell>
          <cell r="G1016">
            <v>12.23402301372936</v>
          </cell>
          <cell r="H1016">
            <v>12.201748707071404</v>
          </cell>
          <cell r="I1016">
            <v>12.407000429840787</v>
          </cell>
        </row>
        <row r="1017">
          <cell r="A1017" t="str">
            <v>ITOT-SWHELCBR</v>
          </cell>
          <cell r="B1017" t="str">
            <v>VAR_ncap</v>
          </cell>
          <cell r="C1017" t="str">
            <v>-</v>
          </cell>
          <cell r="E1017">
            <v>0.22926030549472601</v>
          </cell>
          <cell r="F1017">
            <v>4.2142978197855496E-6</v>
          </cell>
          <cell r="G1017">
            <v>6.6906723224320605E-2</v>
          </cell>
          <cell r="H1017">
            <v>0.25354153587954198</v>
          </cell>
          <cell r="I1017">
            <v>0.59088033997520595</v>
          </cell>
        </row>
        <row r="1018">
          <cell r="A1018" t="str">
            <v>ITOT-SWHELCBR</v>
          </cell>
          <cell r="B1018" t="str">
            <v>VAR_cap</v>
          </cell>
          <cell r="C1018" t="str">
            <v>-</v>
          </cell>
          <cell r="D1018">
            <v>0.55644997413134401</v>
          </cell>
          <cell r="E1018">
            <v>0.78571020693855176</v>
          </cell>
          <cell r="F1018">
            <v>0.78571424012017266</v>
          </cell>
          <cell r="G1018">
            <v>0.85262068527714219</v>
          </cell>
          <cell r="H1018">
            <v>0.84963796399614955</v>
          </cell>
          <cell r="I1018">
            <v>1.0076999156694391</v>
          </cell>
        </row>
      </sheetData>
      <sheetData sheetId="11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1.3138138723040216E-3</v>
          </cell>
          <cell r="J4">
            <v>28.614197069055354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1.9033859600285687E-4</v>
          </cell>
          <cell r="J5">
            <v>1.2052891070055741E-3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3.9339681029836276E-4</v>
          </cell>
          <cell r="J6">
            <v>21.708237898571745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6.8827003691488689E-4</v>
          </cell>
          <cell r="J7">
            <v>6.904563589735794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H8">
            <v>64.095842135368059</v>
          </cell>
          <cell r="I8">
            <v>-189.35486590195703</v>
          </cell>
          <cell r="J8">
            <v>-130.13011463118741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407.12861676512682</v>
          </cell>
          <cell r="J9">
            <v>1140.9248965879244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1.8060705506545677E-2</v>
          </cell>
          <cell r="J10">
            <v>1.6150617409426336E-2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454.14371864170482</v>
          </cell>
          <cell r="J11">
            <v>1088.6107433545292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157.36664683342542</v>
          </cell>
          <cell r="J12">
            <v>715.22155370019254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3.5005776857671561E-3</v>
          </cell>
          <cell r="J13">
            <v>14.708011348946824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7.2852729639131814E-5</v>
          </cell>
          <cell r="J14">
            <v>1.3799655906831287E-4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803.411310513079</v>
          </cell>
          <cell r="J15">
            <v>1207.6884792752189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6.279523462549938E-3</v>
          </cell>
          <cell r="J16">
            <v>83.012600364447451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1.5140228159956537E-3</v>
          </cell>
          <cell r="J17">
            <v>1646.4541519359389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1026.0864650639626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4.3214094529246119E-4</v>
          </cell>
          <cell r="J19">
            <v>6.7511282437375791E-4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I20">
            <v>3.0119345793142909E-3</v>
          </cell>
          <cell r="J20">
            <v>679.39785056544792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J21">
            <v>3.2618155918960047E-5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9.4445211627684338E-5</v>
          </cell>
          <cell r="J22">
            <v>5.8692946248147058E-4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8.6380977129897965E-4</v>
          </cell>
          <cell r="J23">
            <v>638.4538212852824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1822.0826711527357</v>
          </cell>
          <cell r="J24">
            <v>8240.5751269084285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H25">
            <v>64.095842135368059</v>
          </cell>
          <cell r="I25">
            <v>-191.19882566979055</v>
          </cell>
          <cell r="J25">
            <v>-132.48359167647359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833.33333802934635</v>
          </cell>
          <cell r="J26">
            <v>1904.7619050006481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833.33333333333235</v>
          </cell>
          <cell r="J27">
            <v>1904.7619050006481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-189.35486590195703</v>
          </cell>
          <cell r="J28">
            <v>-130.13011463118741</v>
          </cell>
        </row>
        <row r="29">
          <cell r="B29" t="str">
            <v>CO2_R</v>
          </cell>
          <cell r="C29" t="str">
            <v>VAR_fout</v>
          </cell>
          <cell r="D29" t="str">
            <v>RHNM-SHLFOBR</v>
          </cell>
          <cell r="G29">
            <v>3.1395840722113501E-3</v>
          </cell>
          <cell r="H29">
            <v>2.3019949564520499E-3</v>
          </cell>
          <cell r="I29">
            <v>9.7288230281319596E-4</v>
          </cell>
          <cell r="J29">
            <v>1.8103211600669001E-4</v>
          </cell>
        </row>
        <row r="30">
          <cell r="B30" t="str">
            <v>CO2_R</v>
          </cell>
          <cell r="C30" t="str">
            <v>VAR_fout</v>
          </cell>
          <cell r="D30" t="str">
            <v>RHNS-SHNGAHP</v>
          </cell>
          <cell r="G30">
            <v>1.7163557076256102E-2</v>
          </cell>
          <cell r="H30">
            <v>1.66494610072534E-2</v>
          </cell>
          <cell r="I30">
            <v>3.4320201997877802</v>
          </cell>
          <cell r="J30">
            <v>3.4925147228200299</v>
          </cell>
        </row>
        <row r="31">
          <cell r="B31" t="str">
            <v>CO2_R</v>
          </cell>
          <cell r="C31" t="str">
            <v>VAR_fout</v>
          </cell>
          <cell r="D31" t="str">
            <v>RHNS-CHPGFC</v>
          </cell>
          <cell r="H31">
            <v>2.9887676856219701E-4</v>
          </cell>
          <cell r="I31">
            <v>6.9739313412945205E-4</v>
          </cell>
          <cell r="J31">
            <v>4.5850729170968102E-4</v>
          </cell>
        </row>
        <row r="32">
          <cell r="B32" t="str">
            <v>CO2_R</v>
          </cell>
          <cell r="C32" t="str">
            <v>VAR_fout</v>
          </cell>
          <cell r="D32" t="str">
            <v>RHES-CHPNGA</v>
          </cell>
          <cell r="E32">
            <v>2.67835274116322</v>
          </cell>
          <cell r="F32">
            <v>9.1192049630670199E-4</v>
          </cell>
          <cell r="G32">
            <v>1.0160794136370201E-2</v>
          </cell>
          <cell r="H32">
            <v>8.7368299406898504E-3</v>
          </cell>
          <cell r="I32">
            <v>0.12688422531398999</v>
          </cell>
          <cell r="J32">
            <v>0.119108704192858</v>
          </cell>
        </row>
        <row r="33">
          <cell r="B33" t="str">
            <v>CO2_R</v>
          </cell>
          <cell r="C33" t="str">
            <v>VAR_fout</v>
          </cell>
          <cell r="D33" t="str">
            <v>RHEM-CHPGFC</v>
          </cell>
          <cell r="H33">
            <v>1.38112929494393E-3</v>
          </cell>
          <cell r="I33">
            <v>5.6591669551302702E-3</v>
          </cell>
          <cell r="J33">
            <v>8.4563657114807303E-2</v>
          </cell>
        </row>
        <row r="34">
          <cell r="B34" t="str">
            <v>CO2_R</v>
          </cell>
          <cell r="C34" t="str">
            <v>VAR_fout</v>
          </cell>
          <cell r="D34" t="str">
            <v>RHEM-SHNGABR</v>
          </cell>
          <cell r="E34">
            <v>1127.96304856543</v>
          </cell>
          <cell r="F34">
            <v>892.79070631468801</v>
          </cell>
          <cell r="G34">
            <v>1116.1839420077299</v>
          </cell>
          <cell r="H34">
            <v>1110.6526660040099</v>
          </cell>
          <cell r="I34">
            <v>924.80783127283098</v>
          </cell>
          <cell r="J34">
            <v>801.51525449910901</v>
          </cell>
        </row>
        <row r="35">
          <cell r="B35" t="str">
            <v>CO2_R</v>
          </cell>
          <cell r="C35" t="str">
            <v>VAR_fout</v>
          </cell>
          <cell r="D35" t="str">
            <v>RHSA-WHNGAHP</v>
          </cell>
          <cell r="G35">
            <v>9.9531266189183207E-3</v>
          </cell>
          <cell r="H35">
            <v>1.21295876192586E-2</v>
          </cell>
          <cell r="I35">
            <v>0.85096617085411796</v>
          </cell>
          <cell r="J35">
            <v>0.87708477810334995</v>
          </cell>
        </row>
        <row r="36">
          <cell r="B36" t="str">
            <v>CO2_R</v>
          </cell>
          <cell r="C36" t="str">
            <v>VAR_fout</v>
          </cell>
          <cell r="D36" t="str">
            <v>RHEM-SHLFOBR</v>
          </cell>
          <cell r="E36">
            <v>1928.7103089407501</v>
          </cell>
          <cell r="F36">
            <v>1757.2825066988601</v>
          </cell>
          <cell r="G36">
            <v>1573.8444626385799</v>
          </cell>
          <cell r="H36">
            <v>1475.36203737394</v>
          </cell>
          <cell r="I36">
            <v>817.77696087467496</v>
          </cell>
          <cell r="J36">
            <v>15.910966265108801</v>
          </cell>
        </row>
        <row r="37">
          <cell r="B37" t="str">
            <v>CO2_R</v>
          </cell>
          <cell r="C37" t="str">
            <v>VAR_fout</v>
          </cell>
          <cell r="D37" t="str">
            <v>RHES-SHNGAHP</v>
          </cell>
          <cell r="G37">
            <v>3.0168585681173798E-4</v>
          </cell>
          <cell r="H37">
            <v>3.18529662409889E-4</v>
          </cell>
          <cell r="I37">
            <v>3.6423272339048299E-3</v>
          </cell>
          <cell r="J37">
            <v>1.40041789836334E-3</v>
          </cell>
        </row>
        <row r="38">
          <cell r="B38" t="str">
            <v>CO2_R</v>
          </cell>
          <cell r="C38" t="str">
            <v>VAR_fout</v>
          </cell>
          <cell r="D38" t="str">
            <v>RHNS-SHNGABR</v>
          </cell>
          <cell r="F38">
            <v>6.0643307860783304</v>
          </cell>
          <cell r="G38">
            <v>15.7470658049251</v>
          </cell>
          <cell r="H38">
            <v>15.6134574660322</v>
          </cell>
          <cell r="I38">
            <v>1.3719211209767499</v>
          </cell>
          <cell r="J38">
            <v>3.0158987539604998E-4</v>
          </cell>
        </row>
        <row r="39">
          <cell r="B39" t="str">
            <v>CO2_R</v>
          </cell>
          <cell r="C39" t="str">
            <v>VAR_fout</v>
          </cell>
          <cell r="D39" t="str">
            <v>RHNS-SHLFOBR</v>
          </cell>
          <cell r="G39">
            <v>2.3528685680940802E-3</v>
          </cell>
          <cell r="H39">
            <v>2.1336196640381099E-3</v>
          </cell>
          <cell r="I39">
            <v>8.4832121719181095E-4</v>
          </cell>
          <cell r="J39">
            <v>1.48799432242449E-4</v>
          </cell>
        </row>
        <row r="40">
          <cell r="B40" t="str">
            <v>CO2_R</v>
          </cell>
          <cell r="C40" t="str">
            <v>VAR_fout</v>
          </cell>
          <cell r="D40" t="str">
            <v>RHES-CHPGFC</v>
          </cell>
          <cell r="H40">
            <v>2.8374083040185198E-4</v>
          </cell>
          <cell r="I40">
            <v>8.1832284265745999E-4</v>
          </cell>
          <cell r="J40">
            <v>5.6705919368051105E-4</v>
          </cell>
        </row>
        <row r="41">
          <cell r="B41" t="str">
            <v>CO2_R</v>
          </cell>
          <cell r="C41" t="str">
            <v>VAR_fout</v>
          </cell>
          <cell r="D41" t="str">
            <v>RHNM-CHPNGA</v>
          </cell>
          <cell r="F41">
            <v>0.232323474926838</v>
          </cell>
          <cell r="G41">
            <v>0.287817483210628</v>
          </cell>
          <cell r="H41">
            <v>0.27946543906815002</v>
          </cell>
          <cell r="I41">
            <v>3.0714660728666299E-2</v>
          </cell>
          <cell r="J41">
            <v>3.75900395178917E-3</v>
          </cell>
        </row>
        <row r="42">
          <cell r="B42" t="str">
            <v>CO2_R</v>
          </cell>
          <cell r="C42" t="str">
            <v>VAR_fout</v>
          </cell>
          <cell r="D42" t="str">
            <v>RHNM-SHNGAHP</v>
          </cell>
          <cell r="G42">
            <v>2.4287125161427201E-2</v>
          </cell>
          <cell r="H42">
            <v>3.2043039315593297E-2</v>
          </cell>
          <cell r="I42">
            <v>1.2546282694043899E-2</v>
          </cell>
          <cell r="J42">
            <v>1.11808968526859E-3</v>
          </cell>
        </row>
        <row r="43">
          <cell r="B43" t="str">
            <v>CO2_R</v>
          </cell>
          <cell r="C43" t="str">
            <v>VAR_fout</v>
          </cell>
          <cell r="D43" t="str">
            <v>RHES-SHNGABR</v>
          </cell>
          <cell r="E43">
            <v>1043.13503706953</v>
          </cell>
          <cell r="F43">
            <v>1202.55007874323</v>
          </cell>
          <cell r="G43">
            <v>1099.87399865612</v>
          </cell>
          <cell r="H43">
            <v>1201.96719458795</v>
          </cell>
          <cell r="I43">
            <v>977.14853912496994</v>
          </cell>
          <cell r="J43">
            <v>461.07981167427698</v>
          </cell>
        </row>
        <row r="44">
          <cell r="B44" t="str">
            <v>CO2_R</v>
          </cell>
          <cell r="C44" t="str">
            <v>VAR_fout</v>
          </cell>
          <cell r="D44" t="str">
            <v>RHSA-WHNGABR</v>
          </cell>
          <cell r="E44">
            <v>479.80973901216601</v>
          </cell>
          <cell r="F44">
            <v>366.57415461473698</v>
          </cell>
          <cell r="G44">
            <v>473.490965171418</v>
          </cell>
          <cell r="H44">
            <v>374.205407917282</v>
          </cell>
          <cell r="I44">
            <v>292.827390730834</v>
          </cell>
          <cell r="J44">
            <v>191.82220017118101</v>
          </cell>
        </row>
        <row r="45">
          <cell r="B45" t="str">
            <v>CO2_R</v>
          </cell>
          <cell r="C45" t="str">
            <v>VAR_fout</v>
          </cell>
          <cell r="D45" t="str">
            <v>RHSA-WHLFOBR</v>
          </cell>
          <cell r="E45">
            <v>726.71205541220297</v>
          </cell>
          <cell r="F45">
            <v>659.85400550488498</v>
          </cell>
          <cell r="G45">
            <v>545.27463519534501</v>
          </cell>
          <cell r="H45">
            <v>2.39835697362378E-3</v>
          </cell>
          <cell r="I45">
            <v>6.9119572582955599E-4</v>
          </cell>
          <cell r="J45">
            <v>1.65780389196233E-4</v>
          </cell>
        </row>
        <row r="46">
          <cell r="B46" t="str">
            <v>CO2_R</v>
          </cell>
          <cell r="C46" t="str">
            <v>VAR_fout</v>
          </cell>
          <cell r="D46" t="str">
            <v>RHES-SHLFOBR</v>
          </cell>
          <cell r="E46">
            <v>1783.6624178562299</v>
          </cell>
          <cell r="F46">
            <v>1640.9694253377299</v>
          </cell>
          <cell r="G46">
            <v>1780.5265794336699</v>
          </cell>
          <cell r="H46">
            <v>1363.3524266013001</v>
          </cell>
          <cell r="I46">
            <v>662.79365245910299</v>
          </cell>
          <cell r="J46">
            <v>2.2976011112780799E-3</v>
          </cell>
        </row>
        <row r="47">
          <cell r="B47" t="str">
            <v>CO2_R</v>
          </cell>
          <cell r="C47" t="str">
            <v>VAR_fout</v>
          </cell>
          <cell r="D47" t="str">
            <v>RHNS-CHPNGA</v>
          </cell>
          <cell r="F47">
            <v>7.5819320399111198E-2</v>
          </cell>
          <cell r="G47">
            <v>7.9785993514534401E-2</v>
          </cell>
          <cell r="H47">
            <v>7.7033266273649606E-2</v>
          </cell>
          <cell r="I47">
            <v>4.0903955141341999E-2</v>
          </cell>
          <cell r="J47">
            <v>2.3202641244040498E-3</v>
          </cell>
        </row>
        <row r="48">
          <cell r="B48" t="str">
            <v>CO2_R</v>
          </cell>
          <cell r="C48" t="str">
            <v>VAR_fout</v>
          </cell>
          <cell r="D48" t="str">
            <v>RHNM-CHPGFC</v>
          </cell>
          <cell r="H48">
            <v>1.36979183408589E-3</v>
          </cell>
          <cell r="I48">
            <v>3.43661982515381E-3</v>
          </cell>
          <cell r="J48">
            <v>2.0075154389251602E-3</v>
          </cell>
        </row>
        <row r="49">
          <cell r="B49" t="str">
            <v>CO2_R</v>
          </cell>
          <cell r="C49" t="str">
            <v>VAR_fout</v>
          </cell>
          <cell r="D49" t="str">
            <v>RHEM-CHPNGA</v>
          </cell>
          <cell r="E49">
            <v>5.3935144217789004</v>
          </cell>
          <cell r="F49">
            <v>2.5755980371568301E-4</v>
          </cell>
          <cell r="G49">
            <v>4.1425810903336198E-2</v>
          </cell>
          <cell r="H49">
            <v>46.399040200356197</v>
          </cell>
          <cell r="I49">
            <v>71.578385587112805</v>
          </cell>
          <cell r="J49">
            <v>72.241221340884493</v>
          </cell>
        </row>
        <row r="50">
          <cell r="B50" t="str">
            <v>CO2_R</v>
          </cell>
          <cell r="C50" t="str">
            <v>VAR_fout</v>
          </cell>
          <cell r="D50" t="str">
            <v>RHES-SHCOABR</v>
          </cell>
          <cell r="E50">
            <v>9.2700016258185407</v>
          </cell>
          <cell r="F50">
            <v>9.2700004548739798</v>
          </cell>
          <cell r="G50">
            <v>2.6834622028190599E-3</v>
          </cell>
          <cell r="H50">
            <v>1.4195053468676101E-3</v>
          </cell>
        </row>
        <row r="51">
          <cell r="B51" t="str">
            <v>CO2_R</v>
          </cell>
          <cell r="C51" t="str">
            <v>VAR_fout</v>
          </cell>
          <cell r="D51" t="str">
            <v>RHEM-SHNGAHP</v>
          </cell>
          <cell r="G51">
            <v>3.8744093476105699E-4</v>
          </cell>
          <cell r="H51">
            <v>4.0524443152251599E-4</v>
          </cell>
          <cell r="I51">
            <v>5.6388344890331203E-4</v>
          </cell>
          <cell r="J51">
            <v>6.19129026168739E-4</v>
          </cell>
        </row>
        <row r="52">
          <cell r="B52" t="str">
            <v>CO2_R</v>
          </cell>
          <cell r="C52" t="str">
            <v>VAR_fout</v>
          </cell>
          <cell r="D52" t="str">
            <v>RHNM-SHNGABR</v>
          </cell>
          <cell r="F52">
            <v>43.098886139657701</v>
          </cell>
          <cell r="G52">
            <v>43.460645631303898</v>
          </cell>
          <cell r="H52">
            <v>42.464679340473701</v>
          </cell>
          <cell r="I52">
            <v>2.3840762181839398E-3</v>
          </cell>
          <cell r="J52">
            <v>2.8299679161806601E-4</v>
          </cell>
        </row>
        <row r="53">
          <cell r="B53" t="str">
            <v>CO2_R</v>
          </cell>
          <cell r="C53" t="str">
            <v>VAR_comnet</v>
          </cell>
          <cell r="D53" t="str">
            <v>-</v>
          </cell>
          <cell r="E53">
            <v>7107.3344756450597</v>
          </cell>
          <cell r="F53">
            <v>6578.7634068703701</v>
          </cell>
          <cell r="G53">
            <v>6648.8817534713398</v>
          </cell>
          <cell r="H53">
            <v>5630.4552779043397</v>
          </cell>
          <cell r="I53">
            <v>3752.8184308539298</v>
          </cell>
          <cell r="J53">
            <v>1547.1583535991199</v>
          </cell>
        </row>
        <row r="54">
          <cell r="B54" t="str">
            <v>CO2_S</v>
          </cell>
          <cell r="C54" t="str">
            <v>VAR_fout</v>
          </cell>
          <cell r="D54" t="str">
            <v>SCOM-SHNGAHP</v>
          </cell>
          <cell r="G54">
            <v>1.34725029471079E-3</v>
          </cell>
          <cell r="H54">
            <v>8.7095106361201899E-4</v>
          </cell>
          <cell r="I54">
            <v>1.7705637661303199E-2</v>
          </cell>
          <cell r="J54">
            <v>6.7385596428185604E-3</v>
          </cell>
        </row>
        <row r="55">
          <cell r="B55" t="str">
            <v>CO2_S</v>
          </cell>
          <cell r="C55" t="str">
            <v>VAR_fout</v>
          </cell>
          <cell r="D55" t="str">
            <v>SCOM-CHPNGA</v>
          </cell>
          <cell r="E55">
            <v>93.162173840013196</v>
          </cell>
          <cell r="F55">
            <v>98.051357079463003</v>
          </cell>
          <cell r="G55">
            <v>82.062952953480007</v>
          </cell>
          <cell r="H55">
            <v>78.405550360641698</v>
          </cell>
          <cell r="I55">
            <v>28.970079217448799</v>
          </cell>
          <cell r="J55">
            <v>1.1178611040842799E-2</v>
          </cell>
        </row>
        <row r="56">
          <cell r="B56" t="str">
            <v>CO2_S</v>
          </cell>
          <cell r="C56" t="str">
            <v>VAR_fout</v>
          </cell>
          <cell r="D56" t="str">
            <v>SCOM-SHNGABR</v>
          </cell>
          <cell r="E56">
            <v>1440.9459319202499</v>
          </cell>
          <cell r="F56">
            <v>1508.68761127278</v>
          </cell>
          <cell r="G56">
            <v>1463.18619477674</v>
          </cell>
          <cell r="H56">
            <v>1456.5974591643001</v>
          </cell>
          <cell r="I56">
            <v>1153.69803262554</v>
          </cell>
          <cell r="J56">
            <v>581.37490140248599</v>
          </cell>
        </row>
        <row r="57">
          <cell r="B57" t="str">
            <v>CO2_S</v>
          </cell>
          <cell r="C57" t="str">
            <v>VAR_fout</v>
          </cell>
          <cell r="D57" t="str">
            <v>SCOM-CHPGFC</v>
          </cell>
          <cell r="H57">
            <v>1.2706266997691399E-3</v>
          </cell>
          <cell r="I57">
            <v>2.96916803853131E-3</v>
          </cell>
          <cell r="J57">
            <v>1.3748723317944999E-3</v>
          </cell>
        </row>
        <row r="58">
          <cell r="B58" t="str">
            <v>CO2_S</v>
          </cell>
          <cell r="C58" t="str">
            <v>VAR_fout</v>
          </cell>
          <cell r="D58" t="str">
            <v>SCOM-SHLFOBR</v>
          </cell>
          <cell r="E58">
            <v>2229.9139079586298</v>
          </cell>
          <cell r="F58">
            <v>1786.4449618752701</v>
          </cell>
          <cell r="G58">
            <v>1968.24971815403</v>
          </cell>
          <cell r="H58">
            <v>1438.4173445321301</v>
          </cell>
          <cell r="I58">
            <v>626.23335064458797</v>
          </cell>
          <cell r="J58">
            <v>64.267965077439996</v>
          </cell>
        </row>
        <row r="59">
          <cell r="B59" t="str">
            <v>CO2_S</v>
          </cell>
          <cell r="C59" t="str">
            <v>VAR_comnet</v>
          </cell>
          <cell r="D59" t="str">
            <v>-</v>
          </cell>
          <cell r="E59">
            <v>3764.0220137188899</v>
          </cell>
          <cell r="F59">
            <v>3393.1839302275098</v>
          </cell>
          <cell r="G59">
            <v>3513.50021313455</v>
          </cell>
          <cell r="H59">
            <v>2973.4224956348398</v>
          </cell>
          <cell r="I59">
            <v>1808.92213729328</v>
          </cell>
          <cell r="J59">
            <v>645.66215852294204</v>
          </cell>
        </row>
        <row r="60">
          <cell r="B60" t="str">
            <v>CO2_T</v>
          </cell>
          <cell r="C60" t="str">
            <v>VAR_fout</v>
          </cell>
          <cell r="D60" t="str">
            <v>T_B_u-ICENGAEXT</v>
          </cell>
          <cell r="E60">
            <v>1.78923325762682E-2</v>
          </cell>
          <cell r="F60">
            <v>1.7876246637825301E-2</v>
          </cell>
          <cell r="G60">
            <v>1.78183164481906E-2</v>
          </cell>
        </row>
        <row r="61">
          <cell r="B61" t="str">
            <v>CO2_T</v>
          </cell>
          <cell r="C61" t="str">
            <v>VAR_fout</v>
          </cell>
          <cell r="D61" t="str">
            <v>TFHGV-ICENGA</v>
          </cell>
          <cell r="E61">
            <v>3.5427703199213179</v>
          </cell>
          <cell r="G61">
            <v>3.8809167199465699</v>
          </cell>
          <cell r="H61">
            <v>9.3329464441779191</v>
          </cell>
          <cell r="I61">
            <v>27.255890089118999</v>
          </cell>
          <cell r="J61">
            <v>57.587003124533894</v>
          </cell>
        </row>
        <row r="62">
          <cell r="B62" t="str">
            <v>CO2_T</v>
          </cell>
          <cell r="C62" t="str">
            <v>VAR_fout</v>
          </cell>
          <cell r="D62" t="str">
            <v>T-Plg-GSL-mix_S1</v>
          </cell>
          <cell r="E62">
            <v>2.4241726670965299E-2</v>
          </cell>
          <cell r="F62">
            <v>1.075174026055789E-2</v>
          </cell>
          <cell r="G62">
            <v>7.3977842793859303E-3</v>
          </cell>
          <cell r="H62">
            <v>6.3788817625651684E-3</v>
          </cell>
          <cell r="I62">
            <v>1.5881592064200781E-3</v>
          </cell>
          <cell r="J62">
            <v>5.0270124358711579E-4</v>
          </cell>
        </row>
        <row r="63">
          <cell r="B63" t="str">
            <v>CO2_T</v>
          </cell>
          <cell r="C63" t="str">
            <v>VAR_fout</v>
          </cell>
          <cell r="D63" t="str">
            <v>T-Plg-GSL-mix_S2</v>
          </cell>
          <cell r="E63">
            <v>5.8605807882819096</v>
          </cell>
          <cell r="F63">
            <v>12.398736615652531</v>
          </cell>
          <cell r="G63">
            <v>8.5950792208778708</v>
          </cell>
          <cell r="H63">
            <v>7.4362587469873356</v>
          </cell>
          <cell r="I63">
            <v>7.9779868592186731E-3</v>
          </cell>
          <cell r="J63">
            <v>2.9773720527041716E-3</v>
          </cell>
        </row>
        <row r="64">
          <cell r="B64" t="str">
            <v>CO2_T</v>
          </cell>
          <cell r="C64" t="str">
            <v>VAR_fout</v>
          </cell>
          <cell r="D64" t="str">
            <v>T-Plg-GSL-mix_S3</v>
          </cell>
          <cell r="E64">
            <v>5.6183426693064398</v>
          </cell>
          <cell r="F64">
            <v>20.866162587555699</v>
          </cell>
          <cell r="G64">
            <v>152.49758161273752</v>
          </cell>
          <cell r="H64">
            <v>521.25769060317702</v>
          </cell>
          <cell r="I64">
            <v>627.51705120042561</v>
          </cell>
          <cell r="J64">
            <v>329.27311336892132</v>
          </cell>
        </row>
        <row r="65">
          <cell r="B65" t="str">
            <v>CO2_T</v>
          </cell>
          <cell r="C65" t="str">
            <v>VAR_fout</v>
          </cell>
          <cell r="D65" t="str">
            <v>T-Plg-GSL-mix_S4</v>
          </cell>
          <cell r="E65">
            <v>13.082530591825901</v>
          </cell>
          <cell r="F65">
            <v>22.478225265783699</v>
          </cell>
          <cell r="G65">
            <v>17.690986091391487</v>
          </cell>
          <cell r="H65">
            <v>12.47505795231146</v>
          </cell>
          <cell r="I65">
            <v>9.0148900129185389E-3</v>
          </cell>
          <cell r="J65">
            <v>3.209906107612005E-3</v>
          </cell>
        </row>
        <row r="66">
          <cell r="B66" t="str">
            <v>CO2_T</v>
          </cell>
          <cell r="C66" t="str">
            <v>VAR_fout</v>
          </cell>
          <cell r="D66" t="str">
            <v>TFLGV-HYBDSL</v>
          </cell>
          <cell r="F66">
            <v>35.368807482283202</v>
          </cell>
          <cell r="G66">
            <v>106.7926718612627</v>
          </cell>
          <cell r="H66">
            <v>319.9113658070986</v>
          </cell>
          <cell r="I66">
            <v>448.36893481919776</v>
          </cell>
          <cell r="J66">
            <v>292.17207916143934</v>
          </cell>
        </row>
        <row r="67">
          <cell r="B67" t="str">
            <v>CO2_T</v>
          </cell>
          <cell r="C67" t="str">
            <v>VAR_fout</v>
          </cell>
          <cell r="D67" t="str">
            <v>TFLGV-ICEGSLExt</v>
          </cell>
          <cell r="E67">
            <v>61.3483999576396</v>
          </cell>
          <cell r="F67">
            <v>133.59778528697001</v>
          </cell>
          <cell r="G67">
            <v>39.968434543110597</v>
          </cell>
          <cell r="H67">
            <v>19.983759189168602</v>
          </cell>
        </row>
        <row r="68">
          <cell r="B68" t="str">
            <v>CO2_T</v>
          </cell>
          <cell r="C68" t="str">
            <v>VAR_fout</v>
          </cell>
          <cell r="D68" t="str">
            <v>TFLGV-ICEDSLExt</v>
          </cell>
          <cell r="E68">
            <v>811.33851982721501</v>
          </cell>
          <cell r="F68">
            <v>545.25415379881997</v>
          </cell>
          <cell r="G68">
            <v>399.520747588039</v>
          </cell>
          <cell r="H68">
            <v>199.75951940239901</v>
          </cell>
        </row>
        <row r="69">
          <cell r="B69" t="str">
            <v>CO2_T</v>
          </cell>
          <cell r="C69" t="str">
            <v>VAR_fout</v>
          </cell>
          <cell r="D69" t="str">
            <v>T_C-ICE-NGA-S1</v>
          </cell>
          <cell r="E69">
            <v>0.21919263175109968</v>
          </cell>
          <cell r="F69">
            <v>8.4444394735721292E-3</v>
          </cell>
          <cell r="G69">
            <v>8.1113384039778903E-3</v>
          </cell>
          <cell r="H69">
            <v>6.5805043915126774E-3</v>
          </cell>
          <cell r="I69">
            <v>3.9483275893115752E-4</v>
          </cell>
          <cell r="J69">
            <v>7.6857587911102206E-5</v>
          </cell>
        </row>
        <row r="70">
          <cell r="B70" t="str">
            <v>CO2_T</v>
          </cell>
          <cell r="C70" t="str">
            <v>VAR_fout</v>
          </cell>
          <cell r="D70" t="str">
            <v>T_C-ICE-NGA-S2</v>
          </cell>
          <cell r="E70">
            <v>0.48873578210230861</v>
          </cell>
          <cell r="F70">
            <v>5.136205247560865E-5</v>
          </cell>
          <cell r="G70">
            <v>7.42826866419741E-4</v>
          </cell>
          <cell r="H70">
            <v>1.4534826741351608E-3</v>
          </cell>
          <cell r="I70">
            <v>8.9244645328040396E-4</v>
          </cell>
          <cell r="J70">
            <v>2.5414488326427898E-4</v>
          </cell>
        </row>
        <row r="71">
          <cell r="B71" t="str">
            <v>CO2_T</v>
          </cell>
          <cell r="C71" t="str">
            <v>VAR_fout</v>
          </cell>
          <cell r="D71" t="str">
            <v>TFLGV-ICEDSL</v>
          </cell>
          <cell r="E71">
            <v>326.33914599843695</v>
          </cell>
          <cell r="F71">
            <v>384.71538932238303</v>
          </cell>
          <cell r="G71">
            <v>415.39890801231968</v>
          </cell>
          <cell r="H71">
            <v>211.730790797362</v>
          </cell>
          <cell r="I71">
            <v>1.7642456802755379E-3</v>
          </cell>
          <cell r="J71">
            <v>9.2132214884997014E-4</v>
          </cell>
        </row>
        <row r="72">
          <cell r="B72" t="str">
            <v>CO2_T</v>
          </cell>
          <cell r="C72" t="str">
            <v>VAR_fout</v>
          </cell>
          <cell r="D72" t="str">
            <v>T_C-ICE-NGA-S3</v>
          </cell>
          <cell r="E72">
            <v>4.3190288403410666E-2</v>
          </cell>
          <cell r="F72">
            <v>2.0827699450520602E-2</v>
          </cell>
          <cell r="G72">
            <v>4.3096737387708348E-2</v>
          </cell>
          <cell r="H72">
            <v>3.9177307687798327E-2</v>
          </cell>
          <cell r="I72">
            <v>4.9679693761480763E-3</v>
          </cell>
          <cell r="J72">
            <v>9.2454671353921897E-4</v>
          </cell>
        </row>
        <row r="73">
          <cell r="B73" t="str">
            <v>CO2_T</v>
          </cell>
          <cell r="C73" t="str">
            <v>VAR_fout</v>
          </cell>
          <cell r="D73" t="str">
            <v>T_C-ICE-NGA-S4</v>
          </cell>
          <cell r="E73">
            <v>1.1943143154295799E-3</v>
          </cell>
          <cell r="F73">
            <v>3.2527517440216901E-4</v>
          </cell>
          <cell r="G73">
            <v>7.3651415153933196E-3</v>
          </cell>
          <cell r="H73">
            <v>6.8676586089122124E-2</v>
          </cell>
          <cell r="I73">
            <v>7.6673453594165011E-2</v>
          </cell>
          <cell r="J73">
            <v>6.7637530831577364E-2</v>
          </cell>
        </row>
        <row r="74">
          <cell r="B74" t="str">
            <v>CO2_T</v>
          </cell>
          <cell r="C74" t="str">
            <v>VAR_fout</v>
          </cell>
          <cell r="D74" t="str">
            <v>T_C-MHY-GSL-S1</v>
          </cell>
          <cell r="F74">
            <v>7.8005041402919294E-6</v>
          </cell>
          <cell r="G74">
            <v>1.9776416642496137E-3</v>
          </cell>
          <cell r="H74">
            <v>6.65096509111266E-3</v>
          </cell>
          <cell r="I74">
            <v>3.2995088882427442E-3</v>
          </cell>
          <cell r="J74">
            <v>5.081539565518938E-4</v>
          </cell>
        </row>
        <row r="75">
          <cell r="B75" t="str">
            <v>CO2_T</v>
          </cell>
          <cell r="C75" t="str">
            <v>VAR_fout</v>
          </cell>
          <cell r="D75" t="str">
            <v>T_C-MHY-GSL-S2</v>
          </cell>
          <cell r="F75">
            <v>1.4491017600731001E-4</v>
          </cell>
          <cell r="G75">
            <v>1.6116143646544149E-3</v>
          </cell>
          <cell r="H75">
            <v>2.6729101706089017E-3</v>
          </cell>
          <cell r="I75">
            <v>1.6776780787430665E-3</v>
          </cell>
          <cell r="J75">
            <v>4.7348031228423295E-4</v>
          </cell>
        </row>
        <row r="76">
          <cell r="B76" t="str">
            <v>CO2_T</v>
          </cell>
          <cell r="C76" t="str">
            <v>VAR_fout</v>
          </cell>
          <cell r="D76" t="str">
            <v>T_C-MHY-DSL-S1</v>
          </cell>
          <cell r="F76">
            <v>8.81713802287695E-6</v>
          </cell>
          <cell r="G76">
            <v>1.5199710190689256E-3</v>
          </cell>
          <cell r="H76">
            <v>4.7572478349128897E-3</v>
          </cell>
          <cell r="I76">
            <v>4.1761644095072072E-3</v>
          </cell>
          <cell r="J76">
            <v>2.7925120186061874E-3</v>
          </cell>
        </row>
        <row r="77">
          <cell r="B77" t="str">
            <v>CO2_T</v>
          </cell>
          <cell r="C77" t="str">
            <v>VAR_fout</v>
          </cell>
          <cell r="D77" t="str">
            <v>T_C-MHY-GSL-S3</v>
          </cell>
          <cell r="F77">
            <v>1.5978233292965601E-4</v>
          </cell>
          <cell r="G77">
            <v>1.9931879691239161E-3</v>
          </cell>
          <cell r="H77">
            <v>3.1787160612722592E-3</v>
          </cell>
          <cell r="I77">
            <v>1.8307385667249052E-3</v>
          </cell>
          <cell r="J77">
            <v>5.7738619493575508E-4</v>
          </cell>
        </row>
        <row r="78">
          <cell r="B78" t="str">
            <v>CO2_T</v>
          </cell>
          <cell r="C78" t="str">
            <v>VAR_fout</v>
          </cell>
          <cell r="D78" t="str">
            <v>T_C-MHY-DSL-S2</v>
          </cell>
          <cell r="F78">
            <v>1.4185089766273601E-4</v>
          </cell>
          <cell r="G78">
            <v>1.3561888562056829E-3</v>
          </cell>
          <cell r="H78">
            <v>2.5011207494803158E-3</v>
          </cell>
          <cell r="I78">
            <v>1.7535700062128907E-3</v>
          </cell>
          <cell r="J78">
            <v>1.3584217958163029E-3</v>
          </cell>
        </row>
        <row r="79">
          <cell r="B79" t="str">
            <v>CO2_T</v>
          </cell>
          <cell r="C79" t="str">
            <v>VAR_fout</v>
          </cell>
          <cell r="D79" t="str">
            <v>T_C-MHY-GSL-S4</v>
          </cell>
          <cell r="F79">
            <v>2.2384310416902699E-4</v>
          </cell>
          <cell r="G79">
            <v>2.8517335907948401E-3</v>
          </cell>
          <cell r="H79">
            <v>4.9467380655453218E-3</v>
          </cell>
          <cell r="I79">
            <v>7.6896198949829159E-3</v>
          </cell>
          <cell r="J79">
            <v>1.1309866474992873E-2</v>
          </cell>
        </row>
        <row r="80">
          <cell r="B80" t="str">
            <v>CO2_T</v>
          </cell>
          <cell r="C80" t="str">
            <v>VAR_fout</v>
          </cell>
          <cell r="D80" t="str">
            <v>T_C-MHY-DSL-S3</v>
          </cell>
          <cell r="F80">
            <v>1.5262889016327101E-4</v>
          </cell>
          <cell r="G80">
            <v>1.604679057995876E-3</v>
          </cell>
          <cell r="H80">
            <v>2.5959971558140813E-3</v>
          </cell>
          <cell r="I80">
            <v>1.8439628082700128E-3</v>
          </cell>
          <cell r="J80">
            <v>3.123591694812803E-3</v>
          </cell>
        </row>
        <row r="81">
          <cell r="B81" t="str">
            <v>CO2_T</v>
          </cell>
          <cell r="C81" t="str">
            <v>VAR_fout</v>
          </cell>
          <cell r="D81" t="str">
            <v>T_B_c-HYBDSL-S1</v>
          </cell>
          <cell r="F81">
            <v>10.414912535207399</v>
          </cell>
          <cell r="G81">
            <v>10.415235160412644</v>
          </cell>
          <cell r="H81">
            <v>3.0823898155586216</v>
          </cell>
          <cell r="I81">
            <v>3.4168894427984726E-3</v>
          </cell>
          <cell r="J81">
            <v>2.8998668923112927</v>
          </cell>
        </row>
        <row r="82">
          <cell r="B82" t="str">
            <v>CO2_T</v>
          </cell>
          <cell r="C82" t="str">
            <v>VAR_fout</v>
          </cell>
          <cell r="D82" t="str">
            <v>T_C-MHY-DSL-S4</v>
          </cell>
          <cell r="F82">
            <v>1.4388730768898501E-4</v>
          </cell>
          <cell r="G82">
            <v>7.5296442448009491E-4</v>
          </cell>
          <cell r="H82">
            <v>1.1104592623886439E-3</v>
          </cell>
          <cell r="I82">
            <v>9.3504163407033601E-4</v>
          </cell>
          <cell r="J82">
            <v>7.7273559330819173E-4</v>
          </cell>
        </row>
        <row r="83">
          <cell r="B83" t="str">
            <v>CO2_T</v>
          </cell>
          <cell r="C83" t="str">
            <v>VAR_fout</v>
          </cell>
          <cell r="D83" t="str">
            <v>T_B_c-HYBDSL-S2</v>
          </cell>
          <cell r="F83">
            <v>3.3108566531727703E-4</v>
          </cell>
          <cell r="G83">
            <v>6.9044661038052601E-4</v>
          </cell>
          <cell r="H83">
            <v>6.1672245311273164E-3</v>
          </cell>
          <cell r="I83">
            <v>3.2905691517756078E-3</v>
          </cell>
          <cell r="J83">
            <v>6.3259238779298042E-4</v>
          </cell>
        </row>
        <row r="84">
          <cell r="B84" t="str">
            <v>CO2_T</v>
          </cell>
          <cell r="C84" t="str">
            <v>VAR_fout</v>
          </cell>
          <cell r="D84" t="str">
            <v>T_B_c-HYBDSL-S3</v>
          </cell>
          <cell r="F84">
            <v>1.2937025703778701E-4</v>
          </cell>
          <cell r="G84">
            <v>1.6918552325268589E-4</v>
          </cell>
          <cell r="H84">
            <v>5.2121776935784627</v>
          </cell>
          <cell r="I84">
            <v>1.089013019940565E-2</v>
          </cell>
          <cell r="J84">
            <v>1.1010963077196891E-3</v>
          </cell>
        </row>
        <row r="85">
          <cell r="B85" t="str">
            <v>CO2_T</v>
          </cell>
          <cell r="C85" t="str">
            <v>VAR_fout</v>
          </cell>
          <cell r="D85" t="str">
            <v>TFHGV-ICEDSLExt</v>
          </cell>
          <cell r="E85">
            <v>1410.24524950512</v>
          </cell>
          <cell r="F85">
            <v>1169.3258147807401</v>
          </cell>
          <cell r="G85">
            <v>838.56339221903295</v>
          </cell>
          <cell r="H85">
            <v>356.48128276269898</v>
          </cell>
        </row>
        <row r="86">
          <cell r="B86" t="str">
            <v>CO2_T</v>
          </cell>
          <cell r="C86" t="str">
            <v>VAR_fout</v>
          </cell>
          <cell r="D86" t="str">
            <v>TPSHPGSLEXT</v>
          </cell>
          <cell r="E86">
            <v>129.873812963153</v>
          </cell>
          <cell r="F86">
            <v>58.763557714791901</v>
          </cell>
          <cell r="G86">
            <v>7.6609748821591795E-5</v>
          </cell>
          <cell r="H86">
            <v>5.8952927970902202E-5</v>
          </cell>
          <cell r="I86">
            <v>1.33630005985153E-4</v>
          </cell>
        </row>
        <row r="87">
          <cell r="B87" t="str">
            <v>CO2_T</v>
          </cell>
          <cell r="C87" t="str">
            <v>VAR_fout</v>
          </cell>
          <cell r="D87" t="str">
            <v>T_TW-ICEGSL-S1</v>
          </cell>
          <cell r="E87">
            <v>3.2728375772896969</v>
          </cell>
          <cell r="F87">
            <v>24.812169007831514</v>
          </cell>
          <cell r="G87">
            <v>37.871801841587292</v>
          </cell>
          <cell r="H87">
            <v>54.228689330173346</v>
          </cell>
          <cell r="I87">
            <v>70.315614513176854</v>
          </cell>
          <cell r="J87">
            <v>36.326949535759717</v>
          </cell>
        </row>
        <row r="88">
          <cell r="B88" t="str">
            <v>CO2_T</v>
          </cell>
          <cell r="C88" t="str">
            <v>VAR_fout</v>
          </cell>
          <cell r="D88" t="str">
            <v>TPSHPDSLEXT</v>
          </cell>
          <cell r="E88">
            <v>1273.9831592043399</v>
          </cell>
          <cell r="F88">
            <v>1273.9832307686499</v>
          </cell>
          <cell r="G88">
            <v>1134.9138584243301</v>
          </cell>
          <cell r="H88">
            <v>764.06413685761095</v>
          </cell>
          <cell r="I88">
            <v>1197.9633331295299</v>
          </cell>
          <cell r="J88">
            <v>1197.96178957246</v>
          </cell>
        </row>
        <row r="89">
          <cell r="B89" t="str">
            <v>CO2_T</v>
          </cell>
          <cell r="C89" t="str">
            <v>VAR_fout</v>
          </cell>
          <cell r="D89" t="str">
            <v>T_TW-ICEGSL-S2</v>
          </cell>
          <cell r="E89">
            <v>8.3063783337356103</v>
          </cell>
          <cell r="F89">
            <v>12.017208277180922</v>
          </cell>
          <cell r="G89">
            <v>11.007471977339744</v>
          </cell>
          <cell r="H89">
            <v>7.4307942798641946</v>
          </cell>
          <cell r="I89">
            <v>6.14870570838256E-4</v>
          </cell>
          <cell r="J89">
            <v>2.7013443942904307E-4</v>
          </cell>
        </row>
        <row r="90">
          <cell r="B90" t="str">
            <v>CO2_T</v>
          </cell>
          <cell r="C90" t="str">
            <v>VAR_fout</v>
          </cell>
          <cell r="D90" t="str">
            <v>T_TW-ICEGSL-S3</v>
          </cell>
          <cell r="E90">
            <v>8.2163160996546694</v>
          </cell>
          <cell r="F90">
            <v>2.1890117382318879E-2</v>
          </cell>
          <cell r="G90">
            <v>2.3266601418852732E-2</v>
          </cell>
          <cell r="H90">
            <v>2.1787847609291373E-2</v>
          </cell>
          <cell r="I90">
            <v>7.5604264508849625E-3</v>
          </cell>
          <cell r="J90">
            <v>1.612631884006914E-4</v>
          </cell>
        </row>
        <row r="91">
          <cell r="B91" t="str">
            <v>CO2_T</v>
          </cell>
          <cell r="C91" t="str">
            <v>VAR_fout</v>
          </cell>
          <cell r="D91" t="str">
            <v>T_C-ICEGSLEXT</v>
          </cell>
          <cell r="E91">
            <v>4722.2881512180302</v>
          </cell>
          <cell r="F91">
            <v>4507.9954101327403</v>
          </cell>
          <cell r="G91">
            <v>3825.7018494792101</v>
          </cell>
          <cell r="H91">
            <v>1113.1216752984401</v>
          </cell>
        </row>
        <row r="92">
          <cell r="B92" t="str">
            <v>CO2_T</v>
          </cell>
          <cell r="C92" t="str">
            <v>VAR_fout</v>
          </cell>
          <cell r="D92" t="str">
            <v>T_TW-ICEGSL-S4</v>
          </cell>
          <cell r="E92">
            <v>2.0440816836039848</v>
          </cell>
          <cell r="F92">
            <v>1.4997305272642251E-2</v>
          </cell>
          <cell r="G92">
            <v>1.633817447471525E-2</v>
          </cell>
          <cell r="H92">
            <v>1.5093476964236827E-2</v>
          </cell>
          <cell r="I92">
            <v>1.4146725761701102E-2</v>
          </cell>
          <cell r="J92">
            <v>1.0784344383552311E-3</v>
          </cell>
        </row>
        <row r="93">
          <cell r="B93" t="str">
            <v>CO2_T</v>
          </cell>
          <cell r="C93" t="str">
            <v>VAR_fout</v>
          </cell>
          <cell r="D93" t="str">
            <v>T_C-ICEDSLEXT</v>
          </cell>
          <cell r="E93">
            <v>3897.9327372405201</v>
          </cell>
          <cell r="F93">
            <v>3569.7775515357398</v>
          </cell>
          <cell r="G93">
            <v>2522.0927013174901</v>
          </cell>
          <cell r="H93">
            <v>957.44157543942401</v>
          </cell>
        </row>
        <row r="94">
          <cell r="B94" t="str">
            <v>CO2_T</v>
          </cell>
          <cell r="C94" t="str">
            <v>VAR_fout</v>
          </cell>
          <cell r="D94" t="str">
            <v>T_TW-ICEGSLEXT</v>
          </cell>
          <cell r="E94">
            <v>155.087315827227</v>
          </cell>
          <cell r="F94">
            <v>102.994236901005</v>
          </cell>
          <cell r="G94">
            <v>70.174567717559398</v>
          </cell>
          <cell r="H94">
            <v>33.4308789509371</v>
          </cell>
        </row>
        <row r="95">
          <cell r="B95" t="str">
            <v>CO2_T</v>
          </cell>
          <cell r="C95" t="str">
            <v>VAR_fout</v>
          </cell>
          <cell r="D95" t="str">
            <v>TFLGV-ICENGA</v>
          </cell>
          <cell r="E95">
            <v>0.31125784187033628</v>
          </cell>
          <cell r="G95">
            <v>1.1900734815755201</v>
          </cell>
          <cell r="H95">
            <v>1.1927109625578729</v>
          </cell>
          <cell r="I95">
            <v>2.2904105807940276</v>
          </cell>
          <cell r="J95">
            <v>0.57715055476747767</v>
          </cell>
        </row>
        <row r="96">
          <cell r="B96" t="str">
            <v>CO2_T</v>
          </cell>
          <cell r="C96" t="str">
            <v>VAR_fout</v>
          </cell>
          <cell r="D96" t="str">
            <v>T_B_c-ICENGA-S1</v>
          </cell>
          <cell r="G96">
            <v>8.5536970762403405E-4</v>
          </cell>
          <cell r="H96">
            <v>8.37033140028353E-4</v>
          </cell>
          <cell r="I96">
            <v>2.5279736621540358E-3</v>
          </cell>
          <cell r="J96">
            <v>6.3538883558756103E-4</v>
          </cell>
        </row>
        <row r="97">
          <cell r="B97" t="str">
            <v>CO2_T</v>
          </cell>
          <cell r="C97" t="str">
            <v>VAR_fout</v>
          </cell>
          <cell r="D97" t="str">
            <v>T_B_c-ICENGA-S2</v>
          </cell>
          <cell r="G97">
            <v>1.1599024795615801E-3</v>
          </cell>
          <cell r="H97">
            <v>2.2914294464966901E-3</v>
          </cell>
          <cell r="I97">
            <v>1.9805413727419343E-3</v>
          </cell>
          <cell r="J97">
            <v>3.1997736934675169E-4</v>
          </cell>
        </row>
        <row r="98">
          <cell r="B98" t="str">
            <v>CO2_T</v>
          </cell>
          <cell r="C98" t="str">
            <v>VAR_fout</v>
          </cell>
          <cell r="D98" t="str">
            <v>T_B_u-ICEDSL-S1</v>
          </cell>
          <cell r="E98">
            <v>2.0289406450980221E-2</v>
          </cell>
          <cell r="F98">
            <v>1.8983992607525681E-2</v>
          </cell>
          <cell r="G98">
            <v>11.906340033150254</v>
          </cell>
          <cell r="H98">
            <v>37.011909555915516</v>
          </cell>
          <cell r="I98">
            <v>33.252731431421431</v>
          </cell>
          <cell r="J98">
            <v>3.9759084270827287E-4</v>
          </cell>
        </row>
        <row r="99">
          <cell r="B99" t="str">
            <v>CO2_T</v>
          </cell>
          <cell r="C99" t="str">
            <v>VAR_fout</v>
          </cell>
          <cell r="D99" t="str">
            <v>T_B_c-ICENGA-S3</v>
          </cell>
          <cell r="G99">
            <v>2.07220768563579E-2</v>
          </cell>
          <cell r="H99">
            <v>0.90055045375662734</v>
          </cell>
          <cell r="I99">
            <v>2.4185414703427011</v>
          </cell>
          <cell r="J99">
            <v>0.51895873098175405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T_B_u-ICEDSL-S2</v>
          </cell>
          <cell r="E100">
            <v>8.1969399701255607</v>
          </cell>
          <cell r="F100">
            <v>10.577726650046177</v>
          </cell>
          <cell r="G100">
            <v>18.629785944391237</v>
          </cell>
          <cell r="H100">
            <v>30.376004012340569</v>
          </cell>
          <cell r="I100">
            <v>2.8588026116629921</v>
          </cell>
          <cell r="J100">
            <v>5.9770619977111599E-5</v>
          </cell>
        </row>
        <row r="101">
          <cell r="B101" t="str">
            <v>CO2_T</v>
          </cell>
          <cell r="C101" t="str">
            <v>VAR_fout</v>
          </cell>
          <cell r="D101" t="str">
            <v>T_B_u-ICEDSL-S3</v>
          </cell>
          <cell r="E101">
            <v>45.704170153500399</v>
          </cell>
          <cell r="F101">
            <v>63.734291284391624</v>
          </cell>
          <cell r="G101">
            <v>113.93422012380714</v>
          </cell>
          <cell r="H101">
            <v>191.11789111834727</v>
          </cell>
          <cell r="I101">
            <v>1.1835804735740334</v>
          </cell>
          <cell r="J101">
            <v>1.4930243107866701E-4</v>
          </cell>
        </row>
        <row r="102">
          <cell r="B102" t="str">
            <v>CO2_T</v>
          </cell>
          <cell r="C102" t="str">
            <v>VAR_fout</v>
          </cell>
          <cell r="D102" t="str">
            <v>T_B_u-ICEDSL-S4</v>
          </cell>
          <cell r="E102">
            <v>0.16778264301160301</v>
          </cell>
        </row>
        <row r="103">
          <cell r="B103" t="str">
            <v>CO2_T</v>
          </cell>
          <cell r="C103" t="str">
            <v>VAR_fout</v>
          </cell>
          <cell r="D103" t="str">
            <v>T_B_c-ICENGAEXT</v>
          </cell>
          <cell r="E103">
            <v>7.7561670129719304E-3</v>
          </cell>
          <cell r="F103">
            <v>7.74047835782585E-3</v>
          </cell>
          <cell r="G103">
            <v>7.6903918636144503E-3</v>
          </cell>
        </row>
        <row r="104">
          <cell r="B104" t="str">
            <v>CO2_T</v>
          </cell>
          <cell r="C104" t="str">
            <v>VAR_fout</v>
          </cell>
          <cell r="D104" t="str">
            <v>T_B_u-ICEDSLEXT</v>
          </cell>
          <cell r="E104">
            <v>1.2710763508415699</v>
          </cell>
          <cell r="F104">
            <v>1.2694164044195499</v>
          </cell>
          <cell r="G104">
            <v>1.2644492343707201</v>
          </cell>
        </row>
        <row r="105">
          <cell r="B105" t="str">
            <v>CO2_T</v>
          </cell>
          <cell r="C105" t="str">
            <v>VAR_fout</v>
          </cell>
          <cell r="D105" t="str">
            <v>T_C-HYBGSLEXT</v>
          </cell>
          <cell r="E105">
            <v>92.548919546550707</v>
          </cell>
          <cell r="F105">
            <v>91.724449096442498</v>
          </cell>
          <cell r="G105">
            <v>68.278492688162501</v>
          </cell>
          <cell r="H105">
            <v>32.395471133385897</v>
          </cell>
        </row>
        <row r="106">
          <cell r="B106" t="str">
            <v>CO2_T</v>
          </cell>
          <cell r="C106" t="str">
            <v>VAR_fout</v>
          </cell>
          <cell r="D106" t="str">
            <v>TPAVDKEREXT</v>
          </cell>
          <cell r="E106">
            <v>79.576349423418094</v>
          </cell>
          <cell r="F106">
            <v>100.796237247683</v>
          </cell>
          <cell r="G106">
            <v>132.626068984081</v>
          </cell>
          <cell r="H106">
            <v>185.675788544743</v>
          </cell>
          <cell r="I106">
            <v>154.38211110512901</v>
          </cell>
          <cell r="J106">
            <v>123.088433665514</v>
          </cell>
        </row>
        <row r="107">
          <cell r="B107" t="str">
            <v>CO2_T</v>
          </cell>
          <cell r="C107" t="str">
            <v>VAR_fout</v>
          </cell>
          <cell r="D107" t="str">
            <v>T_C-ICE-GSL-S1</v>
          </cell>
          <cell r="E107">
            <v>24.584869368450946</v>
          </cell>
          <cell r="F107">
            <v>3.7004737915608032</v>
          </cell>
          <cell r="G107">
            <v>2.6146860367546565</v>
          </cell>
          <cell r="H107">
            <v>1.9184205032428823</v>
          </cell>
          <cell r="I107">
            <v>4.6487077085472809E-3</v>
          </cell>
          <cell r="J107">
            <v>9.3115505687045705E-4</v>
          </cell>
        </row>
        <row r="108">
          <cell r="B108" t="str">
            <v>CO2_T</v>
          </cell>
          <cell r="C108" t="str">
            <v>VAR_fout</v>
          </cell>
          <cell r="D108" t="str">
            <v>TFLGV-ICEGSL</v>
          </cell>
          <cell r="E108">
            <v>26.251811180368918</v>
          </cell>
          <cell r="F108">
            <v>42.571181888793397</v>
          </cell>
          <cell r="G108">
            <v>57.135433076207001</v>
          </cell>
          <cell r="H108">
            <v>42.462209584713136</v>
          </cell>
          <cell r="I108">
            <v>14.728993024070244</v>
          </cell>
          <cell r="J108">
            <v>16.76340214434893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T_C-ICE-GSL-S2</v>
          </cell>
          <cell r="E109">
            <v>276.2295528217856</v>
          </cell>
          <cell r="F109">
            <v>391.62796444146744</v>
          </cell>
          <cell r="G109">
            <v>277.8146651448792</v>
          </cell>
          <cell r="H109">
            <v>302.63284205553225</v>
          </cell>
          <cell r="I109">
            <v>3.5333367630923972E-3</v>
          </cell>
          <cell r="J109">
            <v>8.1116114287518306E-4</v>
          </cell>
        </row>
        <row r="110">
          <cell r="B110" t="str">
            <v>CO2_T</v>
          </cell>
          <cell r="C110" t="str">
            <v>VAR_fout</v>
          </cell>
          <cell r="D110" t="str">
            <v>T_C-ICE-DSL-S1</v>
          </cell>
          <cell r="E110">
            <v>0.4053402428515831</v>
          </cell>
          <cell r="F110">
            <v>0.17167456944656778</v>
          </cell>
          <cell r="G110">
            <v>0.11999208034441777</v>
          </cell>
          <cell r="H110">
            <v>9.7676489481319281E-2</v>
          </cell>
          <cell r="I110">
            <v>9.8910258478590151E-4</v>
          </cell>
          <cell r="J110">
            <v>2.5757465988125196E-4</v>
          </cell>
        </row>
        <row r="111">
          <cell r="B111" t="str">
            <v>CO2_T</v>
          </cell>
          <cell r="C111" t="str">
            <v>VAR_fout</v>
          </cell>
          <cell r="D111" t="str">
            <v>T_C-ICE-GSL-S3</v>
          </cell>
          <cell r="E111">
            <v>265.46671870588409</v>
          </cell>
          <cell r="F111">
            <v>423.60418924218772</v>
          </cell>
          <cell r="G111">
            <v>424.00603722939974</v>
          </cell>
          <cell r="H111">
            <v>341.95248817205788</v>
          </cell>
          <cell r="I111">
            <v>0.41333219540253907</v>
          </cell>
          <cell r="J111">
            <v>9.9211718504241893E-4</v>
          </cell>
        </row>
        <row r="112">
          <cell r="B112" t="str">
            <v>CO2_T</v>
          </cell>
          <cell r="C112" t="str">
            <v>VAR_fout</v>
          </cell>
          <cell r="D112" t="str">
            <v>T_C-ICE-DSL-S2</v>
          </cell>
          <cell r="E112">
            <v>89.582386453085931</v>
          </cell>
          <cell r="F112">
            <v>94.044525599438629</v>
          </cell>
          <cell r="G112">
            <v>67.131700962263281</v>
          </cell>
          <cell r="H112">
            <v>60.69947303889834</v>
          </cell>
          <cell r="I112">
            <v>9.6200159870250888E-4</v>
          </cell>
          <cell r="J112">
            <v>2.7081456754214238E-4</v>
          </cell>
        </row>
        <row r="113">
          <cell r="B113" t="str">
            <v>CO2_T</v>
          </cell>
          <cell r="C113" t="str">
            <v>VAR_fout</v>
          </cell>
          <cell r="D113" t="str">
            <v>T_C-ICE-GSL-S4</v>
          </cell>
          <cell r="E113">
            <v>309.97387447163561</v>
          </cell>
          <cell r="F113">
            <v>387.76497126970548</v>
          </cell>
          <cell r="G113">
            <v>594.6962990132472</v>
          </cell>
          <cell r="H113">
            <v>489.65079342036688</v>
          </cell>
          <cell r="I113">
            <v>133.95883356844951</v>
          </cell>
          <cell r="J113">
            <v>122.95275366481604</v>
          </cell>
        </row>
        <row r="114">
          <cell r="B114" t="str">
            <v>CO2_T</v>
          </cell>
          <cell r="C114" t="str">
            <v>VAR_fout</v>
          </cell>
          <cell r="D114" t="str">
            <v>T_C-ICE-DSL-S3</v>
          </cell>
          <cell r="E114">
            <v>370.02839439007829</v>
          </cell>
          <cell r="F114">
            <v>390.44816380676968</v>
          </cell>
          <cell r="G114">
            <v>386.71321742454887</v>
          </cell>
          <cell r="H114">
            <v>295.30757136696474</v>
          </cell>
          <cell r="I114">
            <v>1.0131095975856354E-3</v>
          </cell>
          <cell r="J114">
            <v>3.1179140746021564E-4</v>
          </cell>
        </row>
        <row r="115">
          <cell r="B115" t="str">
            <v>CO2_T</v>
          </cell>
          <cell r="C115" t="str">
            <v>VAR_fout</v>
          </cell>
          <cell r="D115" t="str">
            <v>T_C-ICE-DSL-S4</v>
          </cell>
          <cell r="E115">
            <v>142.35197481223219</v>
          </cell>
          <cell r="F115">
            <v>162.05365748879174</v>
          </cell>
          <cell r="G115">
            <v>159.37498678816007</v>
          </cell>
          <cell r="H115">
            <v>122.55812333476356</v>
          </cell>
          <cell r="I115">
            <v>5.5235069952060101E-4</v>
          </cell>
          <cell r="J115">
            <v>1.5474018047382019E-4</v>
          </cell>
        </row>
        <row r="116">
          <cell r="B116" t="str">
            <v>CO2_T</v>
          </cell>
          <cell r="C116" t="str">
            <v>VAR_fout</v>
          </cell>
          <cell r="D116" t="str">
            <v>TFLGV-ICENGAExt</v>
          </cell>
          <cell r="E116">
            <v>6.0769506716252204</v>
          </cell>
          <cell r="F116">
            <v>1.82658361325604</v>
          </cell>
          <cell r="G116">
            <v>3.9588247782516</v>
          </cell>
          <cell r="H116">
            <v>1.9795631262412701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T_B_u-HYBDSL-S1</v>
          </cell>
          <cell r="F117">
            <v>15.456538049632901</v>
          </cell>
          <cell r="G117">
            <v>15.453940277626083</v>
          </cell>
          <cell r="H117">
            <v>6.7994665800755891</v>
          </cell>
          <cell r="I117">
            <v>4.2340887459794254E-3</v>
          </cell>
          <cell r="J117">
            <v>29.637993693639284</v>
          </cell>
        </row>
        <row r="118">
          <cell r="B118" t="str">
            <v>CO2_T</v>
          </cell>
          <cell r="C118" t="str">
            <v>VAR_fout</v>
          </cell>
          <cell r="D118" t="str">
            <v>T_B_u-HYBDSL-S2</v>
          </cell>
          <cell r="F118">
            <v>7.4962717567188001E-3</v>
          </cell>
          <cell r="G118">
            <v>7.8819551356982299E-3</v>
          </cell>
          <cell r="H118">
            <v>1.0591300041322393E-2</v>
          </cell>
          <cell r="I118">
            <v>2.2982839593375303E-3</v>
          </cell>
          <cell r="J118">
            <v>7.2336147684976795E-4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T_B_u-HYBDSL-S3</v>
          </cell>
          <cell r="F119">
            <v>4.7206052555711899</v>
          </cell>
          <cell r="G119">
            <v>4.7206937043836907</v>
          </cell>
          <cell r="H119">
            <v>2.8063339712575877</v>
          </cell>
          <cell r="I119">
            <v>82.473462342499104</v>
          </cell>
          <cell r="J119">
            <v>3.9584196994525196</v>
          </cell>
        </row>
        <row r="120">
          <cell r="B120" t="str">
            <v>CO2_T</v>
          </cell>
          <cell r="C120" t="str">
            <v>VAR_fout</v>
          </cell>
          <cell r="D120" t="str">
            <v>T_C-HY-GSL-S1</v>
          </cell>
          <cell r="E120">
            <v>3.4751422452063481</v>
          </cell>
          <cell r="F120">
            <v>2.6104710137409315</v>
          </cell>
          <cell r="G120">
            <v>1.7990839378232308</v>
          </cell>
          <cell r="H120">
            <v>1.5347617778540734</v>
          </cell>
          <cell r="I120">
            <v>15.106745696552258</v>
          </cell>
          <cell r="J120">
            <v>14.925807940469213</v>
          </cell>
        </row>
        <row r="121">
          <cell r="B121" t="str">
            <v>CO2_T</v>
          </cell>
          <cell r="C121" t="str">
            <v>VAR_fout</v>
          </cell>
          <cell r="D121" t="str">
            <v>TFRLFDSLEXT</v>
          </cell>
          <cell r="E121">
            <v>29.033513132559801</v>
          </cell>
          <cell r="F121">
            <v>45.436335588405299</v>
          </cell>
        </row>
        <row r="122">
          <cell r="B122" t="str">
            <v>CO2_T</v>
          </cell>
          <cell r="C122" t="str">
            <v>VAR_fout</v>
          </cell>
          <cell r="D122" t="str">
            <v>T_C-HY-GSL-S2</v>
          </cell>
          <cell r="E122">
            <v>9.847658850005331</v>
          </cell>
          <cell r="F122">
            <v>15.043682768118273</v>
          </cell>
          <cell r="G122">
            <v>99.854669346768659</v>
          </cell>
          <cell r="H122">
            <v>87.852511970548477</v>
          </cell>
          <cell r="I122">
            <v>5.3079035203942233</v>
          </cell>
          <cell r="J122">
            <v>2.1444450684784582E-3</v>
          </cell>
        </row>
        <row r="123">
          <cell r="B123" t="str">
            <v>CO2_T</v>
          </cell>
          <cell r="C123" t="str">
            <v>VAR_fout</v>
          </cell>
          <cell r="D123" t="str">
            <v>TPSHPNGAEXT</v>
          </cell>
          <cell r="G123">
            <v>103.295944579552</v>
          </cell>
          <cell r="H123">
            <v>350.633028698332</v>
          </cell>
          <cell r="I123">
            <v>2.6471273678884999E-4</v>
          </cell>
          <cell r="J123">
            <v>8.8121966573520297E-5</v>
          </cell>
        </row>
        <row r="124">
          <cell r="B124" t="str">
            <v>CO2_T</v>
          </cell>
          <cell r="C124" t="str">
            <v>VAR_fout</v>
          </cell>
          <cell r="D124" t="str">
            <v>T_C-HY-DSL-S1</v>
          </cell>
          <cell r="E124">
            <v>2.4026526326214699E-3</v>
          </cell>
          <cell r="F124">
            <v>8.510370227390819E-5</v>
          </cell>
          <cell r="G124">
            <v>1.9535502947002461E-3</v>
          </cell>
          <cell r="H124">
            <v>3.2489015053340353E-3</v>
          </cell>
          <cell r="I124">
            <v>9.1562035550256109</v>
          </cell>
          <cell r="J124">
            <v>10.285470630568534</v>
          </cell>
        </row>
        <row r="125">
          <cell r="B125" t="str">
            <v>CO2_T</v>
          </cell>
          <cell r="C125" t="str">
            <v>VAR_fout</v>
          </cell>
          <cell r="D125" t="str">
            <v>T_C-HY-GSL-S3</v>
          </cell>
          <cell r="E125">
            <v>7.3833470350590407</v>
          </cell>
          <cell r="F125">
            <v>106.78174745417081</v>
          </cell>
          <cell r="G125">
            <v>100.93400039927914</v>
          </cell>
          <cell r="H125">
            <v>80.752713601593015</v>
          </cell>
          <cell r="I125">
            <v>1.0221933462278734E-3</v>
          </cell>
          <cell r="J125">
            <v>4.3610456045665123E-4</v>
          </cell>
        </row>
        <row r="126">
          <cell r="B126" t="str">
            <v>CO2_T</v>
          </cell>
          <cell r="C126" t="str">
            <v>VAR_fout</v>
          </cell>
          <cell r="D126" t="str">
            <v>T_C-HY-DSL-S2</v>
          </cell>
          <cell r="E126">
            <v>0.21283320719720272</v>
          </cell>
          <cell r="F126">
            <v>51.329783981333847</v>
          </cell>
          <cell r="G126">
            <v>116.64964386012744</v>
          </cell>
          <cell r="H126">
            <v>98.858377226588928</v>
          </cell>
          <cell r="I126">
            <v>4.1575413986127163</v>
          </cell>
          <cell r="J126">
            <v>2.0915482520082991E-3</v>
          </cell>
        </row>
        <row r="127">
          <cell r="B127" t="str">
            <v>CO2_T</v>
          </cell>
          <cell r="C127" t="str">
            <v>VAR_fout</v>
          </cell>
          <cell r="D127" t="str">
            <v>T_C-HY-GSL-S4</v>
          </cell>
          <cell r="E127">
            <v>6.6953875766801136</v>
          </cell>
          <cell r="F127">
            <v>14.603499064034661</v>
          </cell>
          <cell r="G127">
            <v>13.965122401092653</v>
          </cell>
          <cell r="H127">
            <v>11.443016905408768</v>
          </cell>
          <cell r="I127">
            <v>1.3428408920059935E-3</v>
          </cell>
          <cell r="J127">
            <v>1.1802926368906122E-3</v>
          </cell>
        </row>
        <row r="128">
          <cell r="B128" t="str">
            <v>CO2_T</v>
          </cell>
          <cell r="C128" t="str">
            <v>VAR_fout</v>
          </cell>
          <cell r="D128" t="str">
            <v>T_C-HY-DSL-S3</v>
          </cell>
          <cell r="E128">
            <v>2.2131284502578539</v>
          </cell>
          <cell r="F128">
            <v>3.3062929737551174</v>
          </cell>
          <cell r="G128">
            <v>3.1615737149070799</v>
          </cell>
          <cell r="H128">
            <v>2.3585480576846991</v>
          </cell>
          <cell r="I128">
            <v>1.0675424429319846E-3</v>
          </cell>
          <cell r="J128">
            <v>4.1387005733905884E-4</v>
          </cell>
        </row>
        <row r="129">
          <cell r="B129" t="str">
            <v>CO2_T</v>
          </cell>
          <cell r="C129" t="str">
            <v>VAR_fout</v>
          </cell>
          <cell r="D129" t="str">
            <v>T_C-HY-DSL-S4</v>
          </cell>
          <cell r="E129">
            <v>2.6123760265922344</v>
          </cell>
          <cell r="F129">
            <v>34.179291317798359</v>
          </cell>
          <cell r="G129">
            <v>32.250244378190089</v>
          </cell>
          <cell r="H129">
            <v>25.968695721662478</v>
          </cell>
          <cell r="I129">
            <v>1.3896826626534136E-3</v>
          </cell>
          <cell r="J129">
            <v>1.041491052506602E-3</v>
          </cell>
        </row>
        <row r="130">
          <cell r="B130" t="str">
            <v>CO2_T</v>
          </cell>
          <cell r="C130" t="str">
            <v>VAR_fout</v>
          </cell>
          <cell r="D130" t="str">
            <v>TFHGV-HYBDSL</v>
          </cell>
          <cell r="F130">
            <v>355.59918023666103</v>
          </cell>
          <cell r="G130">
            <v>513.27273102209199</v>
          </cell>
          <cell r="H130">
            <v>785.61025935526197</v>
          </cell>
          <cell r="I130">
            <v>820.12147589416998</v>
          </cell>
          <cell r="J130">
            <v>251.33261864087498</v>
          </cell>
        </row>
        <row r="131">
          <cell r="B131" t="str">
            <v>CO2_T</v>
          </cell>
          <cell r="C131" t="str">
            <v>VAR_fout</v>
          </cell>
          <cell r="D131" t="str">
            <v>TFHGV-ICEDSL</v>
          </cell>
          <cell r="E131">
            <v>380.93389541276531</v>
          </cell>
          <cell r="F131">
            <v>52.41963093048075</v>
          </cell>
          <cell r="G131">
            <v>52.419380439378244</v>
          </cell>
          <cell r="H131">
            <v>15.913639533157385</v>
          </cell>
          <cell r="I131">
            <v>5.2075614689791304E-4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T-Plg-DSL-mix_S1</v>
          </cell>
          <cell r="E132">
            <v>1.3235461830754199E-3</v>
          </cell>
          <cell r="F132">
            <v>1.618703995993105E-3</v>
          </cell>
          <cell r="G132">
            <v>1.8422160888947161E-3</v>
          </cell>
          <cell r="H132">
            <v>2.1212719763026599E-3</v>
          </cell>
          <cell r="I132">
            <v>1.588811927446517E-3</v>
          </cell>
          <cell r="J132">
            <v>4.9335717244991441E-4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T-Plg-DSL-mix_S2</v>
          </cell>
          <cell r="E133">
            <v>2.5795714657349202E-4</v>
          </cell>
          <cell r="F133">
            <v>2.1368552016838701E-3</v>
          </cell>
          <cell r="G133">
            <v>4.2122982343276603E-3</v>
          </cell>
          <cell r="H133">
            <v>5.935012398438356E-3</v>
          </cell>
          <cell r="I133">
            <v>8.4900065230822663E-3</v>
          </cell>
          <cell r="J133">
            <v>2.8483500865686966E-3</v>
          </cell>
        </row>
        <row r="134">
          <cell r="B134" t="str">
            <v>CO2_T</v>
          </cell>
          <cell r="C134" t="str">
            <v>VAR_fout</v>
          </cell>
          <cell r="D134" t="str">
            <v>T-Plg-DSL-mix_S3</v>
          </cell>
          <cell r="E134">
            <v>6.9552742730569902E-3</v>
          </cell>
          <cell r="F134">
            <v>1.5494573737470881E-2</v>
          </cell>
          <cell r="G134">
            <v>62.937089058447498</v>
          </cell>
          <cell r="H134">
            <v>328.62701112455341</v>
          </cell>
          <cell r="I134">
            <v>484.49829056733586</v>
          </cell>
          <cell r="J134">
            <v>225.38436603080299</v>
          </cell>
        </row>
        <row r="135">
          <cell r="B135" t="str">
            <v>CO2_T</v>
          </cell>
          <cell r="C135" t="str">
            <v>VAR_fout</v>
          </cell>
          <cell r="D135" t="str">
            <v>T_B_c-ICEDSL-S1</v>
          </cell>
          <cell r="E135">
            <v>8.3238984455673091</v>
          </cell>
          <cell r="F135">
            <v>9.7580228807730478</v>
          </cell>
          <cell r="G135">
            <v>14.729446029804318</v>
          </cell>
          <cell r="H135">
            <v>24.121965972197032</v>
          </cell>
          <cell r="I135">
            <v>24.270286583047948</v>
          </cell>
          <cell r="J135">
            <v>2.1695436253007749E-4</v>
          </cell>
        </row>
        <row r="136">
          <cell r="B136" t="str">
            <v>CO2_T</v>
          </cell>
          <cell r="C136" t="str">
            <v>VAR_fout</v>
          </cell>
          <cell r="D136" t="str">
            <v>T-Plg-DSL-mix_S4</v>
          </cell>
          <cell r="E136">
            <v>0.45456618347205202</v>
          </cell>
          <cell r="F136">
            <v>79.489865430908594</v>
          </cell>
          <cell r="G136">
            <v>61.541417680056867</v>
          </cell>
          <cell r="H136">
            <v>43.561768436834228</v>
          </cell>
          <cell r="I136">
            <v>8.8928168416287298E-3</v>
          </cell>
          <cell r="J136">
            <v>2.9324362498045855E-3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T_B_c-ICEDSL-S2</v>
          </cell>
          <cell r="E137">
            <v>38.096627480719199</v>
          </cell>
          <cell r="F137">
            <v>29.423203828491868</v>
          </cell>
          <cell r="G137">
            <v>35.812101391961193</v>
          </cell>
          <cell r="H137">
            <v>44.364032386524059</v>
          </cell>
          <cell r="I137">
            <v>3.0676188659436119</v>
          </cell>
          <cell r="J137">
            <v>2.0627745559310631E-4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T_B_c-ICEDSL-S3</v>
          </cell>
          <cell r="E138">
            <v>11.912529562120611</v>
          </cell>
          <cell r="F138">
            <v>9.4708828598364683</v>
          </cell>
          <cell r="G138">
            <v>11.500296953877539</v>
          </cell>
          <cell r="H138">
            <v>6.0194002762379775</v>
          </cell>
          <cell r="I138">
            <v>5.7547464742148247</v>
          </cell>
          <cell r="J138">
            <v>9.1655881530905295E-5</v>
          </cell>
        </row>
        <row r="139">
          <cell r="B139" t="str">
            <v>CO2_T</v>
          </cell>
          <cell r="C139" t="str">
            <v>VAR_fout</v>
          </cell>
          <cell r="D139" t="str">
            <v>T_B_c-ICEDSL-S4</v>
          </cell>
          <cell r="E139">
            <v>0.85084594391083079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T_B_u-ICENGA-S1</v>
          </cell>
          <cell r="G140">
            <v>2.65667982010374</v>
          </cell>
          <cell r="H140">
            <v>7.2344531191301091E-4</v>
          </cell>
          <cell r="I140">
            <v>1.871450451195608E-3</v>
          </cell>
          <cell r="J140">
            <v>7.2142802491371397E-4</v>
          </cell>
        </row>
        <row r="141">
          <cell r="B141" t="str">
            <v>CO2_T</v>
          </cell>
          <cell r="C141" t="str">
            <v>VAR_fout</v>
          </cell>
          <cell r="D141" t="str">
            <v>T_B_u-ICENGA-S2</v>
          </cell>
          <cell r="G141">
            <v>1.2680680613956299E-3</v>
          </cell>
          <cell r="H141">
            <v>2.1377402447413851E-3</v>
          </cell>
          <cell r="I141">
            <v>1.290924323767351E-3</v>
          </cell>
          <cell r="J141">
            <v>2.96094158872364E-4</v>
          </cell>
        </row>
        <row r="142">
          <cell r="B142" t="str">
            <v>CO2_T</v>
          </cell>
          <cell r="C142" t="str">
            <v>VAR_fout</v>
          </cell>
          <cell r="D142" t="str">
            <v>T_B_c-ICEDSLEXT</v>
          </cell>
          <cell r="E142">
            <v>0.44184433860192401</v>
          </cell>
          <cell r="F142">
            <v>0.44076113821731899</v>
          </cell>
          <cell r="G142">
            <v>0.43754906970144902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T_B_u-ICENGA-S3</v>
          </cell>
          <cell r="G143">
            <v>2.4216292181849801</v>
          </cell>
          <cell r="H143">
            <v>2.4304636700432436</v>
          </cell>
          <cell r="I143">
            <v>6.4525263115622096</v>
          </cell>
          <cell r="J143">
            <v>0.86024810354009296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15080.4297248229</v>
          </cell>
          <cell r="F144">
            <v>14880.898817321</v>
          </cell>
          <cell r="G144">
            <v>13166.481041065899</v>
          </cell>
          <cell r="H144">
            <v>8654.1881460631903</v>
          </cell>
          <cell r="I144">
            <v>4177.4919761664496</v>
          </cell>
          <cell r="J144">
            <v>2716.6283063783299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-407.12861676512699</v>
          </cell>
          <cell r="J145">
            <v>-1140.9248965879201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330.01200742159602</v>
          </cell>
          <cell r="F146">
            <v>321.179213478912</v>
          </cell>
          <cell r="G146">
            <v>4.8331403790667998E-2</v>
          </cell>
          <cell r="H146">
            <v>8.8031648848164502E-4</v>
          </cell>
          <cell r="I146">
            <v>8.0795530507150296E-4</v>
          </cell>
          <cell r="J146">
            <v>1.94046655334986E-4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  <cell r="I147">
            <v>-1.8060705506545701E-2</v>
          </cell>
          <cell r="J147">
            <v>-1.6150617409426301E-2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  <cell r="I148">
            <v>-454.14371864170602</v>
          </cell>
          <cell r="J148">
            <v>-1088.6107433545301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311.00831307751702</v>
          </cell>
          <cell r="F149">
            <v>2.38916691470525E-4</v>
          </cell>
          <cell r="G149">
            <v>4.4872429475776103</v>
          </cell>
          <cell r="H149">
            <v>33.262844494170302</v>
          </cell>
          <cell r="I149">
            <v>28.3526221287187</v>
          </cell>
          <cell r="J149">
            <v>2.6857552223192601E-4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688.71827594085198</v>
          </cell>
          <cell r="F150">
            <v>664.67889695091503</v>
          </cell>
          <cell r="G150">
            <v>593.94754651345295</v>
          </cell>
          <cell r="H150">
            <v>507.08297784456101</v>
          </cell>
          <cell r="I150">
            <v>219.807407313564</v>
          </cell>
          <cell r="J150">
            <v>5.9165691871987901E-4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  <cell r="I151">
            <v>-157.36664683342599</v>
          </cell>
          <cell r="J151">
            <v>-715.221553700193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  <cell r="I152">
            <v>-3.50057768576716E-3</v>
          </cell>
          <cell r="J152">
            <v>-14.708011348946799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8763.6897865052106</v>
          </cell>
          <cell r="F153">
            <v>8306.52795696471</v>
          </cell>
          <cell r="G153">
            <v>6990.6023022278596</v>
          </cell>
          <cell r="H153">
            <v>4817.7962285991698</v>
          </cell>
          <cell r="I153">
            <v>3075.2720416861998</v>
          </cell>
          <cell r="J153">
            <v>6.9055846803649903</v>
          </cell>
        </row>
        <row r="154">
          <cell r="B154" t="str">
            <v>CO2</v>
          </cell>
          <cell r="C154" t="str">
            <v>VAR_fout</v>
          </cell>
          <cell r="D154" t="str">
            <v>D-CNGA</v>
          </cell>
          <cell r="H154">
            <v>222.6230452977</v>
          </cell>
          <cell r="I154">
            <v>666.62570942951595</v>
          </cell>
          <cell r="J154">
            <v>750.97914923277006</v>
          </cell>
        </row>
        <row r="155">
          <cell r="B155" t="str">
            <v>CO2</v>
          </cell>
          <cell r="C155" t="str">
            <v>VAR_fout</v>
          </cell>
          <cell r="D155" t="str">
            <v>ITOT-PROCESSCO2</v>
          </cell>
          <cell r="E155">
            <v>2120.5745177745098</v>
          </cell>
          <cell r="F155">
            <v>2195.9990660291501</v>
          </cell>
          <cell r="G155">
            <v>2091.4843946779802</v>
          </cell>
          <cell r="H155">
            <v>1986.9697379126401</v>
          </cell>
          <cell r="I155">
            <v>1907.70572852284</v>
          </cell>
          <cell r="J155">
            <v>1829.39344703185</v>
          </cell>
        </row>
        <row r="156">
          <cell r="B156" t="str">
            <v>CO2</v>
          </cell>
          <cell r="C156" t="str">
            <v>VAR_fout</v>
          </cell>
          <cell r="D156" t="str">
            <v>D-ELFO</v>
          </cell>
          <cell r="E156">
            <v>25.797751835205101</v>
          </cell>
          <cell r="G156">
            <v>7.0632837500756301E-2</v>
          </cell>
          <cell r="H156">
            <v>1.06691513064462E-2</v>
          </cell>
          <cell r="I156">
            <v>2.4095865936423301E-2</v>
          </cell>
          <cell r="J156">
            <v>2.9506715360133702E-3</v>
          </cell>
        </row>
        <row r="157">
          <cell r="B157" t="str">
            <v>CO2</v>
          </cell>
          <cell r="C157" t="str">
            <v>VAR_fout</v>
          </cell>
          <cell r="D157" t="str">
            <v>D-TNGA</v>
          </cell>
          <cell r="E157">
            <v>9.9333212367552708</v>
          </cell>
          <cell r="F157">
            <v>1.5615784484312101</v>
          </cell>
          <cell r="G157">
            <v>109.784675385356</v>
          </cell>
          <cell r="H157">
            <v>367.76404069927497</v>
          </cell>
          <cell r="I157">
            <v>38.634419506075602</v>
          </cell>
          <cell r="J157">
            <v>58.8051196756102</v>
          </cell>
        </row>
        <row r="158">
          <cell r="B158" t="str">
            <v>CO2</v>
          </cell>
          <cell r="C158" t="str">
            <v>VAR_fout</v>
          </cell>
          <cell r="D158" t="str">
            <v>D-SNGA</v>
          </cell>
          <cell r="E158">
            <v>1521.3871198366401</v>
          </cell>
          <cell r="F158">
            <v>1342.2840998029501</v>
          </cell>
          <cell r="G158">
            <v>1524.34470574293</v>
          </cell>
          <cell r="H158">
            <v>1539.9085252277901</v>
          </cell>
          <cell r="I158">
            <v>1186.4666737984701</v>
          </cell>
          <cell r="J158">
            <v>572.90359680959602</v>
          </cell>
        </row>
        <row r="159">
          <cell r="B159" t="str">
            <v>CO2</v>
          </cell>
          <cell r="C159" t="str">
            <v>VAR_fout</v>
          </cell>
          <cell r="D159" t="str">
            <v>D-RNGA</v>
          </cell>
          <cell r="E159">
            <v>2649.5252187165202</v>
          </cell>
          <cell r="F159">
            <v>2509.0375914337801</v>
          </cell>
          <cell r="G159">
            <v>2747.5698100169102</v>
          </cell>
          <cell r="H159">
            <v>2790.27788468773</v>
          </cell>
          <cell r="I159">
            <v>2269.1310972072301</v>
          </cell>
          <cell r="J159">
            <v>1498.8902813807799</v>
          </cell>
        </row>
        <row r="160">
          <cell r="B160" t="str">
            <v>CO2</v>
          </cell>
          <cell r="C160" t="str">
            <v>VAR_fout</v>
          </cell>
          <cell r="D160" t="str">
            <v>D-IHFO</v>
          </cell>
          <cell r="E160">
            <v>213.78038784942501</v>
          </cell>
          <cell r="F160">
            <v>5.4981378153623603E-5</v>
          </cell>
          <cell r="G160">
            <v>7.4981988765649796E-3</v>
          </cell>
          <cell r="H160">
            <v>9.4542562718280196E-4</v>
          </cell>
          <cell r="I160">
            <v>8.6100307444479402E-4</v>
          </cell>
        </row>
        <row r="161">
          <cell r="B161" t="str">
            <v>CO2</v>
          </cell>
          <cell r="C161" t="str">
            <v>VAR_fout</v>
          </cell>
          <cell r="D161" t="str">
            <v>SUP_WSTHTGBIOCCS</v>
          </cell>
          <cell r="I161">
            <v>-7.2852729639131801E-5</v>
          </cell>
          <cell r="J161">
            <v>-1.37996559068313E-4</v>
          </cell>
        </row>
        <row r="162">
          <cell r="B162" t="str">
            <v>CO2</v>
          </cell>
          <cell r="C162" t="str">
            <v>VAR_fout</v>
          </cell>
          <cell r="D162" t="str">
            <v>D-SLFO</v>
          </cell>
          <cell r="E162">
            <v>2267.7886207963902</v>
          </cell>
          <cell r="F162">
            <v>1816.7874292189599</v>
          </cell>
          <cell r="G162">
            <v>2001.6798293490399</v>
          </cell>
          <cell r="H162">
            <v>1462.84780444999</v>
          </cell>
          <cell r="I162">
            <v>636.86916967478396</v>
          </cell>
          <cell r="J162">
            <v>3.8781890345629599E-3</v>
          </cell>
        </row>
        <row r="163">
          <cell r="B163" t="str">
            <v>CO2</v>
          </cell>
          <cell r="C163" t="str">
            <v>VAR_fout</v>
          </cell>
          <cell r="D163" t="str">
            <v>D-RCOA</v>
          </cell>
          <cell r="E163">
            <v>9.2700016258185407</v>
          </cell>
          <cell r="F163">
            <v>9.2700004548739798</v>
          </cell>
          <cell r="G163">
            <v>2.69349243886447E-3</v>
          </cell>
          <cell r="H163">
            <v>1.4335998575195799E-3</v>
          </cell>
        </row>
        <row r="164">
          <cell r="B164" t="str">
            <v>CO2</v>
          </cell>
          <cell r="C164" t="str">
            <v>VAR_fout</v>
          </cell>
          <cell r="D164" t="str">
            <v>ITOT-CHPWODCCS</v>
          </cell>
          <cell r="I164">
            <v>-803.411310513079</v>
          </cell>
          <cell r="J164">
            <v>-1207.6884792752201</v>
          </cell>
        </row>
        <row r="165">
          <cell r="B165" t="str">
            <v>CO2</v>
          </cell>
          <cell r="C165" t="str">
            <v>VAR_fout</v>
          </cell>
          <cell r="D165" t="str">
            <v>D-RLFO</v>
          </cell>
          <cell r="E165">
            <v>4514.4818909444402</v>
          </cell>
          <cell r="F165">
            <v>4127.0322115123899</v>
          </cell>
          <cell r="G165">
            <v>3965.8858428804201</v>
          </cell>
          <cell r="H165">
            <v>2886.9356774462199</v>
          </cell>
          <cell r="I165">
            <v>1505.71992282121</v>
          </cell>
          <cell r="J165">
            <v>3.5436563666100701E-3</v>
          </cell>
        </row>
        <row r="166">
          <cell r="B166" t="str">
            <v>CO2</v>
          </cell>
          <cell r="C166" t="str">
            <v>VAR_fout</v>
          </cell>
          <cell r="D166" t="str">
            <v>D-TGSL</v>
          </cell>
          <cell r="E166">
            <v>5888.0454966771604</v>
          </cell>
          <cell r="F166">
            <v>6116.87704005459</v>
          </cell>
          <cell r="G166">
            <v>5568.7548531049097</v>
          </cell>
          <cell r="H166">
            <v>3033.51259412016</v>
          </cell>
          <cell r="I166">
            <v>434.56672789082199</v>
          </cell>
          <cell r="J166">
            <v>81.064757229414894</v>
          </cell>
        </row>
        <row r="167">
          <cell r="B167" t="str">
            <v>CO2</v>
          </cell>
          <cell r="C167" t="str">
            <v>VAR_fout</v>
          </cell>
          <cell r="D167" t="str">
            <v>EWOD-CCS</v>
          </cell>
          <cell r="I167">
            <v>-6.2795234625499397E-3</v>
          </cell>
          <cell r="J167">
            <v>-83.012600364447493</v>
          </cell>
        </row>
        <row r="168">
          <cell r="B168" t="str">
            <v>CO2</v>
          </cell>
          <cell r="C168" t="str">
            <v>VAR_fout</v>
          </cell>
          <cell r="D168" t="str">
            <v>ITOT-PROCESSCO2CCS</v>
          </cell>
          <cell r="I168">
            <v>-1.51402281599565E-3</v>
          </cell>
          <cell r="J168">
            <v>-1646.45415193594</v>
          </cell>
        </row>
        <row r="169">
          <cell r="B169" t="str">
            <v>CO2</v>
          </cell>
          <cell r="C169" t="str">
            <v>VAR_fout</v>
          </cell>
          <cell r="D169" t="str">
            <v>D-IWST</v>
          </cell>
          <cell r="E169">
            <v>1068.12800945046</v>
          </cell>
          <cell r="F169">
            <v>1060.6139174586999</v>
          </cell>
          <cell r="G169">
            <v>1024.6410418196899</v>
          </cell>
          <cell r="H169">
            <v>1013.19791902905</v>
          </cell>
          <cell r="I169">
            <v>996.69823811663298</v>
          </cell>
          <cell r="J169">
            <v>986.585117560448</v>
          </cell>
        </row>
        <row r="170">
          <cell r="B170" t="str">
            <v>CO2</v>
          </cell>
          <cell r="C170" t="str">
            <v>VAR_fout</v>
          </cell>
          <cell r="D170" t="str">
            <v>SUP_WODH2CCS</v>
          </cell>
          <cell r="J170">
            <v>-1026.0864650639601</v>
          </cell>
        </row>
        <row r="171">
          <cell r="B171" t="str">
            <v>CO2</v>
          </cell>
          <cell r="C171" t="str">
            <v>VAR_fout</v>
          </cell>
          <cell r="D171" t="str">
            <v>SUP_WODBIOCCS</v>
          </cell>
          <cell r="I171">
            <v>-4.3214094529246103E-4</v>
          </cell>
          <cell r="J171">
            <v>-6.7511282437375899E-4</v>
          </cell>
        </row>
        <row r="172">
          <cell r="B172" t="str">
            <v>CO2</v>
          </cell>
          <cell r="C172" t="str">
            <v>VAR_fout</v>
          </cell>
          <cell r="D172" t="str">
            <v>SUP_NGAH2CCS</v>
          </cell>
          <cell r="I172">
            <v>-3.0119345793142901E-3</v>
          </cell>
          <cell r="J172">
            <v>-679.39785056544804</v>
          </cell>
        </row>
        <row r="173">
          <cell r="B173" t="str">
            <v>CO2</v>
          </cell>
          <cell r="C173" t="str">
            <v>VAR_fout</v>
          </cell>
          <cell r="D173" t="str">
            <v>CT_CWODETHCCS</v>
          </cell>
          <cell r="J173">
            <v>-3.2618155918959999E-5</v>
          </cell>
        </row>
        <row r="174">
          <cell r="B174" t="str">
            <v>CO2</v>
          </cell>
          <cell r="C174" t="str">
            <v>VAR_fout</v>
          </cell>
          <cell r="D174" t="str">
            <v>D-TKER</v>
          </cell>
          <cell r="E174">
            <v>80.763254672403804</v>
          </cell>
          <cell r="F174">
            <v>102.299643522715</v>
          </cell>
          <cell r="G174">
            <v>134.604226798182</v>
          </cell>
          <cell r="H174">
            <v>139.83442771352099</v>
          </cell>
          <cell r="I174">
            <v>24.991803797484899</v>
          </cell>
          <cell r="J174">
            <v>9.4371689367210099E-4</v>
          </cell>
        </row>
        <row r="175">
          <cell r="B175" t="str">
            <v>CO2</v>
          </cell>
          <cell r="C175" t="str">
            <v>VAR_fout</v>
          </cell>
          <cell r="D175" t="str">
            <v>D-INGA</v>
          </cell>
          <cell r="E175">
            <v>2101.0412261065499</v>
          </cell>
          <cell r="F175">
            <v>1782.04078454722</v>
          </cell>
          <cell r="G175">
            <v>1786.78524350269</v>
          </cell>
          <cell r="H175">
            <v>1191.1538105690099</v>
          </cell>
          <cell r="I175">
            <v>532.10378577854704</v>
          </cell>
          <cell r="J175">
            <v>137.647703069324</v>
          </cell>
        </row>
        <row r="176">
          <cell r="B176" t="str">
            <v>CO2</v>
          </cell>
          <cell r="C176" t="str">
            <v>VAR_fout</v>
          </cell>
          <cell r="D176" t="str">
            <v>SUP_DAC</v>
          </cell>
          <cell r="I176">
            <v>-9.4445211627684297E-5</v>
          </cell>
          <cell r="J176">
            <v>-5.8692946248147101E-4</v>
          </cell>
        </row>
        <row r="177">
          <cell r="B177" t="str">
            <v>CO2</v>
          </cell>
          <cell r="C177" t="str">
            <v>VAR_fout</v>
          </cell>
          <cell r="D177" t="str">
            <v>CT_CWODBDSCCS</v>
          </cell>
          <cell r="I177">
            <v>-8.6380977129897998E-4</v>
          </cell>
          <cell r="J177">
            <v>-638.45382128528195</v>
          </cell>
        </row>
        <row r="178">
          <cell r="B178" t="str">
            <v>CO2</v>
          </cell>
          <cell r="C178" t="str">
            <v>VAR_fout</v>
          </cell>
          <cell r="D178" t="str">
            <v>D-EWST</v>
          </cell>
          <cell r="E178">
            <v>2236.6449816906602</v>
          </cell>
          <cell r="F178">
            <v>2269.2712031316</v>
          </cell>
          <cell r="G178">
            <v>2268.78182844909</v>
          </cell>
          <cell r="H178">
            <v>2238.5106803950898</v>
          </cell>
          <cell r="I178">
            <v>2266.09848686539</v>
          </cell>
          <cell r="J178">
            <v>2317.3895540939802</v>
          </cell>
        </row>
        <row r="179">
          <cell r="B179" t="str">
            <v>CO2</v>
          </cell>
          <cell r="C179" t="str">
            <v>VAR_comnet</v>
          </cell>
          <cell r="D179" t="str">
            <v>-</v>
          </cell>
          <cell r="E179">
            <v>34800.590182158099</v>
          </cell>
          <cell r="F179">
            <v>32625.461198350898</v>
          </cell>
          <cell r="G179">
            <v>30813.4827100769</v>
          </cell>
          <cell r="H179">
            <v>24231.6921679761</v>
          </cell>
          <cell r="I179">
            <v>13966.984634152401</v>
          </cell>
          <cell r="J179">
            <v>-2.4650216503977302E-7</v>
          </cell>
        </row>
        <row r="180">
          <cell r="B180" t="str">
            <v>CO2</v>
          </cell>
          <cell r="C180" t="str">
            <v>EQ_combalM</v>
          </cell>
          <cell r="D180" t="str">
            <v>-</v>
          </cell>
          <cell r="H180">
            <v>-0.37296678674783401</v>
          </cell>
          <cell r="I180">
            <v>-0.70835755018089397</v>
          </cell>
          <cell r="J180">
            <v>-1.20672439769686</v>
          </cell>
        </row>
        <row r="181">
          <cell r="B181" t="str">
            <v>CO2_X</v>
          </cell>
          <cell r="C181" t="str">
            <v>VAR_fout</v>
          </cell>
          <cell r="D181" t="str">
            <v>D-CO2_O</v>
          </cell>
          <cell r="I181">
            <v>988.7480193095189</v>
          </cell>
          <cell r="J181">
            <v>6307.1990248386965</v>
          </cell>
        </row>
        <row r="182">
          <cell r="B182" t="str">
            <v>CO2_X</v>
          </cell>
          <cell r="C182" t="str">
            <v>VAR_fin</v>
          </cell>
          <cell r="D182" t="str">
            <v>CO2EXP</v>
          </cell>
          <cell r="I182">
            <v>988.74802036996346</v>
          </cell>
          <cell r="J182">
            <v>6307.1990248386965</v>
          </cell>
        </row>
        <row r="183">
          <cell r="B183" t="str">
            <v>CO2_X</v>
          </cell>
          <cell r="C183" t="str">
            <v>EQ_combalM</v>
          </cell>
          <cell r="D183" t="str">
            <v>-</v>
          </cell>
          <cell r="I183">
            <v>-131.75478727378888</v>
          </cell>
          <cell r="J183">
            <v>-72.530036003019248</v>
          </cell>
        </row>
        <row r="184">
          <cell r="B184" t="str">
            <v>CO2seq</v>
          </cell>
          <cell r="C184" t="str">
            <v>VAR_fout</v>
          </cell>
          <cell r="D184" t="str">
            <v>CO2SINK</v>
          </cell>
          <cell r="I184">
            <v>833.33333333333235</v>
          </cell>
          <cell r="J184">
            <v>1904.7619050006481</v>
          </cell>
        </row>
        <row r="185">
          <cell r="B185" t="str">
            <v>CO2seq</v>
          </cell>
          <cell r="C185" t="str">
            <v>VAR_comnet</v>
          </cell>
          <cell r="D185" t="str">
            <v>-</v>
          </cell>
          <cell r="I185">
            <v>833.33333802934635</v>
          </cell>
          <cell r="J185">
            <v>1904.7619050006481</v>
          </cell>
        </row>
        <row r="186">
          <cell r="B186" t="str">
            <v>CO2_SECTOR</v>
          </cell>
          <cell r="C186" t="str">
            <v>VAR_fout</v>
          </cell>
          <cell r="D186" t="str">
            <v>CO2_H2</v>
          </cell>
          <cell r="H186">
            <v>222.62304529769995</v>
          </cell>
          <cell r="I186">
            <v>666.62570942951561</v>
          </cell>
          <cell r="J186">
            <v>750.97914923277006</v>
          </cell>
        </row>
        <row r="187">
          <cell r="B187" t="str">
            <v>CO2_SECTOR</v>
          </cell>
          <cell r="C187" t="str">
            <v>VAR_fout</v>
          </cell>
          <cell r="D187" t="str">
            <v>CO2_IND</v>
          </cell>
          <cell r="E187">
            <v>6522.2544245433919</v>
          </cell>
          <cell r="F187">
            <v>6024.5120079855988</v>
          </cell>
          <cell r="G187">
            <v>5496.9140561164922</v>
          </cell>
          <cell r="H187">
            <v>4698.4062882454327</v>
          </cell>
          <cell r="I187">
            <v>3656.316856643999</v>
          </cell>
          <cell r="J187">
            <v>2953.6271404212175</v>
          </cell>
        </row>
        <row r="188">
          <cell r="B188" t="str">
            <v>CO2_SECTOR</v>
          </cell>
          <cell r="C188" t="str">
            <v>VAR_fout</v>
          </cell>
          <cell r="D188" t="str">
            <v>CO2_RES</v>
          </cell>
          <cell r="E188">
            <v>7173.2771112867758</v>
          </cell>
          <cell r="F188">
            <v>6645.3398034010452</v>
          </cell>
          <cell r="G188">
            <v>6713.4583566416732</v>
          </cell>
          <cell r="H188">
            <v>5677.2150192628642</v>
          </cell>
          <cell r="I188">
            <v>3774.8510200284436</v>
          </cell>
          <cell r="J188">
            <v>1498.8938298900223</v>
          </cell>
        </row>
        <row r="189">
          <cell r="B189" t="str">
            <v>CO2_SECTOR</v>
          </cell>
          <cell r="C189" t="str">
            <v>VAR_fout</v>
          </cell>
          <cell r="D189" t="str">
            <v>CO2_TRA</v>
          </cell>
          <cell r="E189">
            <v>14741.244953842537</v>
          </cell>
          <cell r="F189">
            <v>14525.76281739466</v>
          </cell>
          <cell r="G189">
            <v>12801.767900178544</v>
          </cell>
          <cell r="H189">
            <v>8356.8522700572648</v>
          </cell>
          <cell r="I189">
            <v>3573.0977114141206</v>
          </cell>
          <cell r="J189">
            <v>146.7763966795564</v>
          </cell>
        </row>
        <row r="190">
          <cell r="B190" t="str">
            <v>CO2_SECTOR</v>
          </cell>
          <cell r="C190" t="str">
            <v>VAR_fout</v>
          </cell>
          <cell r="D190" t="str">
            <v>CO2_ELC</v>
          </cell>
          <cell r="E190">
            <v>2573.451046603378</v>
          </cell>
          <cell r="F190">
            <v>2269.2716342726817</v>
          </cell>
          <cell r="G190">
            <v>2273.3397042341635</v>
          </cell>
          <cell r="H190">
            <v>2271.7841940405665</v>
          </cell>
          <cell r="I190">
            <v>2294.4752048600421</v>
          </cell>
          <cell r="J190">
            <v>2317.3927733410364</v>
          </cell>
        </row>
        <row r="191">
          <cell r="B191" t="str">
            <v>CO2_SECTOR</v>
          </cell>
          <cell r="C191" t="str">
            <v>VAR_fout</v>
          </cell>
          <cell r="D191" t="str">
            <v>CO2_SER</v>
          </cell>
          <cell r="E191">
            <v>3789.1757406330298</v>
          </cell>
          <cell r="F191">
            <v>3159.0715290219118</v>
          </cell>
          <cell r="G191">
            <v>3526.0245350919695</v>
          </cell>
          <cell r="H191">
            <v>3002.7563296777898</v>
          </cell>
          <cell r="I191">
            <v>1823.3358434732577</v>
          </cell>
          <cell r="J191">
            <v>572.90747499863096</v>
          </cell>
        </row>
        <row r="192">
          <cell r="B192" t="str">
            <v>CO2_SECTOR</v>
          </cell>
          <cell r="C192" t="str">
            <v>VAR_fout</v>
          </cell>
          <cell r="D192" t="str">
            <v>CO2_ELCCCS</v>
          </cell>
          <cell r="E192">
            <v>2573.451046603378</v>
          </cell>
          <cell r="F192">
            <v>2269.2716342726817</v>
          </cell>
          <cell r="G192">
            <v>2273.3397042341635</v>
          </cell>
          <cell r="H192">
            <v>2271.7841940405665</v>
          </cell>
          <cell r="I192">
            <v>1433.1783909949952</v>
          </cell>
          <cell r="J192">
            <v>4.8282142542553643</v>
          </cell>
        </row>
        <row r="193">
          <cell r="B193" t="str">
            <v>CO2_SECTOR</v>
          </cell>
          <cell r="C193" t="str">
            <v>VAR_fout</v>
          </cell>
          <cell r="D193" t="str">
            <v>CO2_H2CCS</v>
          </cell>
          <cell r="H193">
            <v>222.62304529769995</v>
          </cell>
          <cell r="I193">
            <v>666.62081773943805</v>
          </cell>
          <cell r="J193">
            <v>-1592.9601262764977</v>
          </cell>
        </row>
        <row r="194">
          <cell r="B194" t="str">
            <v>CO2_SECTOR</v>
          </cell>
          <cell r="C194" t="str">
            <v>VAR_fout</v>
          </cell>
          <cell r="D194" t="str">
            <v>CO2_INDCCS</v>
          </cell>
          <cell r="E194">
            <v>6522.2544245433919</v>
          </cell>
          <cell r="F194">
            <v>6024.5120079855988</v>
          </cell>
          <cell r="G194">
            <v>5496.9140561164922</v>
          </cell>
          <cell r="H194">
            <v>4698.4051644150295</v>
          </cell>
          <cell r="I194">
            <v>2695.5336410091841</v>
          </cell>
          <cell r="J194">
            <v>-630.44523155488082</v>
          </cell>
        </row>
        <row r="195">
          <cell r="B195" t="str">
            <v>CO2_SECTOR</v>
          </cell>
          <cell r="C195" t="str">
            <v>VAR_comnet</v>
          </cell>
          <cell r="D195" t="str">
            <v>-</v>
          </cell>
          <cell r="E195">
            <v>43895.108748055885</v>
          </cell>
          <cell r="F195">
            <v>40917.741434334166</v>
          </cell>
          <cell r="G195">
            <v>38581.758312613485</v>
          </cell>
          <cell r="H195">
            <v>31422.449550334899</v>
          </cell>
          <cell r="I195">
            <v>20584.035195592995</v>
          </cell>
          <cell r="J195">
            <v>6021.9996209861147</v>
          </cell>
        </row>
        <row r="196">
          <cell r="B196" t="str">
            <v>CO2SC</v>
          </cell>
          <cell r="C196" t="str">
            <v>VAR_fout</v>
          </cell>
          <cell r="D196" t="str">
            <v>CO2S1</v>
          </cell>
          <cell r="E196">
            <v>6307.1990227535098</v>
          </cell>
          <cell r="F196">
            <v>6307.1990227535098</v>
          </cell>
          <cell r="G196">
            <v>6307.1990227535098</v>
          </cell>
          <cell r="H196">
            <v>6307.1990227535098</v>
          </cell>
          <cell r="I196">
            <v>6307.1990227535098</v>
          </cell>
          <cell r="J196">
            <v>6307.1990227535098</v>
          </cell>
        </row>
        <row r="197">
          <cell r="B197" t="str">
            <v>CO2SC</v>
          </cell>
          <cell r="C197" t="str">
            <v>VAR_fout</v>
          </cell>
          <cell r="D197" t="str">
            <v>CO2S2</v>
          </cell>
          <cell r="J197">
            <v>3.08784422564242E-6</v>
          </cell>
        </row>
        <row r="198">
          <cell r="B198" t="str">
            <v>CO2SC</v>
          </cell>
          <cell r="C198" t="str">
            <v>VAR_fin</v>
          </cell>
          <cell r="D198" t="str">
            <v>CO2EXP</v>
          </cell>
          <cell r="I198">
            <v>988.74802036996505</v>
          </cell>
          <cell r="J198">
            <v>6307.1990248387201</v>
          </cell>
        </row>
        <row r="199">
          <cell r="B199" t="str">
            <v>CO2SC</v>
          </cell>
          <cell r="C199" t="str">
            <v>EQ_combalM</v>
          </cell>
          <cell r="D199" t="str">
            <v>-</v>
          </cell>
          <cell r="J199">
            <v>0.30062218960356701</v>
          </cell>
        </row>
        <row r="200">
          <cell r="B200" t="str">
            <v>CO2P</v>
          </cell>
          <cell r="C200" t="str">
            <v>VAR_fout</v>
          </cell>
          <cell r="D200" t="str">
            <v>ITOT-PROCESSCO2</v>
          </cell>
          <cell r="E200">
            <v>2120.5745177745098</v>
          </cell>
          <cell r="F200">
            <v>2195.9990660291501</v>
          </cell>
          <cell r="G200">
            <v>2091.4843946779802</v>
          </cell>
          <cell r="H200">
            <v>1986.9697379126414</v>
          </cell>
          <cell r="I200">
            <v>1907.7057285228352</v>
          </cell>
          <cell r="J200">
            <v>1829.3934470318479</v>
          </cell>
        </row>
        <row r="201">
          <cell r="B201" t="str">
            <v>CO2P</v>
          </cell>
          <cell r="C201" t="str">
            <v>VAR_comnet</v>
          </cell>
          <cell r="D201" t="str">
            <v>-</v>
          </cell>
          <cell r="E201">
            <v>2120.5745177745098</v>
          </cell>
          <cell r="F201">
            <v>2195.9990660291501</v>
          </cell>
          <cell r="G201">
            <v>2091.4843946779802</v>
          </cell>
          <cell r="H201">
            <v>1986.9697379126414</v>
          </cell>
          <cell r="I201">
            <v>1907.7057285228352</v>
          </cell>
          <cell r="J201">
            <v>1829.3934470318479</v>
          </cell>
        </row>
        <row r="202">
          <cell r="B202" t="str">
            <v>CO2_E</v>
          </cell>
          <cell r="C202" t="str">
            <v>VAR_fout</v>
          </cell>
          <cell r="D202" t="str">
            <v>EWSTINCCS</v>
          </cell>
          <cell r="I202">
            <v>439.68462514971202</v>
          </cell>
          <cell r="J202">
            <v>1207.9988899950299</v>
          </cell>
        </row>
        <row r="203">
          <cell r="B203" t="str">
            <v>CO2_E</v>
          </cell>
          <cell r="C203" t="str">
            <v>VAR_fout</v>
          </cell>
          <cell r="D203" t="str">
            <v>ENGA-CCS</v>
          </cell>
          <cell r="I203">
            <v>2.1016829068920599E-2</v>
          </cell>
          <cell r="J203">
            <v>1.83921505776257E-2</v>
          </cell>
        </row>
        <row r="204">
          <cell r="B204" t="str">
            <v>CO2_E</v>
          </cell>
          <cell r="C204" t="str">
            <v>VAR_fout</v>
          </cell>
          <cell r="D204" t="str">
            <v>CHPWSTCCS</v>
          </cell>
          <cell r="I204">
            <v>510.27384117045602</v>
          </cell>
          <cell r="J204">
            <v>1223.1581386005901</v>
          </cell>
        </row>
        <row r="205">
          <cell r="B205" t="str">
            <v>CO2_E</v>
          </cell>
          <cell r="C205" t="str">
            <v>VAR_fout</v>
          </cell>
          <cell r="D205" t="str">
            <v>HPLNGA</v>
          </cell>
          <cell r="E205">
            <v>114.383353586561</v>
          </cell>
          <cell r="G205">
            <v>2.2645486039509898E-3</v>
          </cell>
          <cell r="H205">
            <v>25.442252845693002</v>
          </cell>
          <cell r="I205">
            <v>2.6212348365084001E-2</v>
          </cell>
        </row>
        <row r="206">
          <cell r="B206" t="str">
            <v>CO2_E</v>
          </cell>
          <cell r="C206" t="str">
            <v>VAR_fout</v>
          </cell>
          <cell r="D206" t="str">
            <v>CHPWST</v>
          </cell>
          <cell r="E206">
            <v>2783.9967610384101</v>
          </cell>
          <cell r="F206">
            <v>2613.9344053613499</v>
          </cell>
          <cell r="G206">
            <v>2446.64248225151</v>
          </cell>
          <cell r="H206">
            <v>2556.3783257038599</v>
          </cell>
          <cell r="I206">
            <v>2008.7354649010199</v>
          </cell>
          <cell r="J206">
            <v>995.53729377948298</v>
          </cell>
        </row>
        <row r="207">
          <cell r="B207" t="str">
            <v>CO2_E</v>
          </cell>
          <cell r="C207" t="str">
            <v>VAR_fout</v>
          </cell>
          <cell r="D207" t="str">
            <v>CHPNGA</v>
          </cell>
          <cell r="E207">
            <v>206.74327932684201</v>
          </cell>
          <cell r="G207">
            <v>5.5712746162851996</v>
          </cell>
          <cell r="H207">
            <v>7.7069851889711796</v>
          </cell>
          <cell r="I207">
            <v>5.14399328657466</v>
          </cell>
          <cell r="J207">
            <v>1.41533307814327E-3</v>
          </cell>
        </row>
        <row r="208">
          <cell r="B208" t="str">
            <v>CO2_E</v>
          </cell>
          <cell r="C208" t="str">
            <v>VAR_fout</v>
          </cell>
          <cell r="D208" t="str">
            <v>EWSTINC</v>
          </cell>
          <cell r="E208">
            <v>1689.29320234291</v>
          </cell>
          <cell r="F208">
            <v>1924.60801188862</v>
          </cell>
          <cell r="G208">
            <v>2090.9211973517299</v>
          </cell>
          <cell r="H208">
            <v>1920.64304478329</v>
          </cell>
          <cell r="I208">
            <v>1573.5031220487599</v>
          </cell>
          <cell r="J208">
            <v>1208.0848120082201</v>
          </cell>
        </row>
        <row r="209">
          <cell r="B209" t="str">
            <v>CO2_E</v>
          </cell>
          <cell r="C209" t="str">
            <v>VAR_fout</v>
          </cell>
          <cell r="D209" t="str">
            <v>ENGA-GTCC</v>
          </cell>
          <cell r="I209">
            <v>4.9310644361418E-2</v>
          </cell>
          <cell r="J209">
            <v>2.33915080384688E-3</v>
          </cell>
        </row>
        <row r="210">
          <cell r="B210" t="str">
            <v>CO2_E</v>
          </cell>
          <cell r="C210" t="str">
            <v>VAR_fout</v>
          </cell>
          <cell r="D210" t="str">
            <v>HPLOIL</v>
          </cell>
          <cell r="E210">
            <v>15.8761906560777</v>
          </cell>
          <cell r="G210">
            <v>2.2116843667336298E-3</v>
          </cell>
          <cell r="H210">
            <v>1.0415395656189299E-3</v>
          </cell>
          <cell r="I210">
            <v>5.5352623461589598E-4</v>
          </cell>
        </row>
        <row r="211">
          <cell r="B211" t="str">
            <v>CO2_E</v>
          </cell>
          <cell r="C211" t="str">
            <v>VAR_fout</v>
          </cell>
          <cell r="D211" t="str">
            <v>CHPGFC</v>
          </cell>
          <cell r="I211">
            <v>15.7485859132351</v>
          </cell>
          <cell r="J211">
            <v>2.8141824750858198E-3</v>
          </cell>
        </row>
        <row r="212">
          <cell r="B212" t="str">
            <v>CO2_E</v>
          </cell>
          <cell r="C212" t="str">
            <v>VAR_fout</v>
          </cell>
          <cell r="D212" t="str">
            <v>EOIL-ENG</v>
          </cell>
          <cell r="E212">
            <v>8.3412535764867393</v>
          </cell>
          <cell r="G212">
            <v>3.07517106117236E-2</v>
          </cell>
          <cell r="H212">
            <v>3.4202214914012502E-3</v>
          </cell>
          <cell r="I212">
            <v>1.30426004432945E-2</v>
          </cell>
          <cell r="J212">
            <v>1.6944404349087401E-3</v>
          </cell>
        </row>
        <row r="213">
          <cell r="B213" t="str">
            <v>CO2_E</v>
          </cell>
          <cell r="C213" t="str">
            <v>VAR_fout</v>
          </cell>
          <cell r="D213" t="str">
            <v>ENGA-GTOC</v>
          </cell>
          <cell r="G213">
            <v>1.9478234333431699E-2</v>
          </cell>
          <cell r="H213">
            <v>8.4752829260705698E-3</v>
          </cell>
          <cell r="I213">
            <v>7.2742783111464897</v>
          </cell>
          <cell r="J213">
            <v>2.2057391555619499</v>
          </cell>
        </row>
        <row r="214">
          <cell r="B214" t="str">
            <v>CO2_E</v>
          </cell>
          <cell r="C214" t="str">
            <v>VAR_fout</v>
          </cell>
          <cell r="D214" t="str">
            <v>CHPOIL</v>
          </cell>
          <cell r="E214">
            <v>1.1494550824111001</v>
          </cell>
          <cell r="G214">
            <v>3.6562848067132503E-2</v>
          </cell>
          <cell r="H214">
            <v>6.0769569589808996E-3</v>
          </cell>
          <cell r="I214">
            <v>1.03240378018022E-2</v>
          </cell>
          <cell r="J214">
            <v>1.19216183317872E-3</v>
          </cell>
        </row>
        <row r="215">
          <cell r="B215" t="str">
            <v>CO2_E</v>
          </cell>
          <cell r="C215" t="str">
            <v>VAR_comnet</v>
          </cell>
          <cell r="D215" t="str">
            <v>-</v>
          </cell>
          <cell r="E215">
            <v>4819.7834956096904</v>
          </cell>
          <cell r="F215">
            <v>4538.5424172499697</v>
          </cell>
          <cell r="G215">
            <v>4543.2262232455096</v>
          </cell>
          <cell r="H215">
            <v>4510.1896225227601</v>
          </cell>
          <cell r="I215">
            <v>4560.4843707671798</v>
          </cell>
          <cell r="J215">
            <v>4637.0127209580996</v>
          </cell>
        </row>
        <row r="216">
          <cell r="B216" t="str">
            <v>CO2_I</v>
          </cell>
          <cell r="C216" t="str">
            <v>VAR_fout</v>
          </cell>
          <cell r="D216" t="str">
            <v>ITOT-CHPNGA</v>
          </cell>
          <cell r="E216">
            <v>107.965597622492</v>
          </cell>
          <cell r="F216">
            <v>12.452414911373801</v>
          </cell>
          <cell r="G216">
            <v>7.9272916120727901</v>
          </cell>
          <cell r="H216">
            <v>17.298958134487101</v>
          </cell>
          <cell r="I216">
            <v>2.17634277420674</v>
          </cell>
          <cell r="J216">
            <v>25.796979717110698</v>
          </cell>
        </row>
        <row r="217">
          <cell r="B217" t="str">
            <v>CO2_I</v>
          </cell>
          <cell r="C217" t="str">
            <v>VAR_fout</v>
          </cell>
          <cell r="D217" t="str">
            <v>ITOT-SWHNGABR</v>
          </cell>
          <cell r="E217">
            <v>2005.1531133281201</v>
          </cell>
          <cell r="F217">
            <v>1782.09591395335</v>
          </cell>
          <cell r="G217">
            <v>2005.61161866315</v>
          </cell>
          <cell r="H217">
            <v>1405.3160633182199</v>
          </cell>
          <cell r="I217">
            <v>759.87176903458999</v>
          </cell>
          <cell r="J217">
            <v>333.136048737473</v>
          </cell>
        </row>
        <row r="218">
          <cell r="B218" t="str">
            <v>CO2_I</v>
          </cell>
          <cell r="C218" t="str">
            <v>VAR_fout</v>
          </cell>
          <cell r="D218" t="str">
            <v>ITOT-CHPWSTCCS</v>
          </cell>
          <cell r="I218">
            <v>205.969849052336</v>
          </cell>
          <cell r="J218">
            <v>986.58294673949899</v>
          </cell>
        </row>
        <row r="219">
          <cell r="B219" t="str">
            <v>CO2_I</v>
          </cell>
          <cell r="C219" t="str">
            <v>VAR_fout</v>
          </cell>
          <cell r="D219" t="str">
            <v>ITOT-SWHLFOBR</v>
          </cell>
          <cell r="E219">
            <v>655.767869920306</v>
          </cell>
          <cell r="F219">
            <v>602.332078330743</v>
          </cell>
          <cell r="G219">
            <v>583.17060573519404</v>
          </cell>
          <cell r="H219">
            <v>468.22925315912499</v>
          </cell>
          <cell r="I219">
            <v>231.88341880255999</v>
          </cell>
          <cell r="J219">
            <v>17.179462185802901</v>
          </cell>
        </row>
        <row r="220">
          <cell r="B220" t="str">
            <v>CO2_I</v>
          </cell>
          <cell r="C220" t="str">
            <v>VAR_fout</v>
          </cell>
          <cell r="D220" t="str">
            <v>ITOT-CHPNGACCS</v>
          </cell>
          <cell r="I220">
            <v>4.4330623915911698E-3</v>
          </cell>
          <cell r="J220">
            <v>16.539342376181999</v>
          </cell>
        </row>
        <row r="221">
          <cell r="B221" t="str">
            <v>CO2_I</v>
          </cell>
          <cell r="C221" t="str">
            <v>VAR_fout</v>
          </cell>
          <cell r="D221" t="str">
            <v>ITOT-CHPGFC</v>
          </cell>
          <cell r="H221">
            <v>1.2416774042328001E-3</v>
          </cell>
          <cell r="I221">
            <v>4.0822819926494098E-3</v>
          </cell>
          <cell r="J221">
            <v>1.6714156436105499E-3</v>
          </cell>
        </row>
        <row r="222">
          <cell r="B222" t="str">
            <v>CO2_I</v>
          </cell>
          <cell r="C222" t="str">
            <v>VAR_fout</v>
          </cell>
          <cell r="D222" t="str">
            <v>ITOT-SWHCOABR</v>
          </cell>
          <cell r="E222">
            <v>330.01200742159602</v>
          </cell>
          <cell r="F222">
            <v>321.179213478912</v>
          </cell>
          <cell r="G222">
            <v>4.8331403790667998E-2</v>
          </cell>
          <cell r="H222">
            <v>7.9296250631923299E-4</v>
          </cell>
          <cell r="I222">
            <v>7.01111696092024E-4</v>
          </cell>
          <cell r="J222">
            <v>1.8289411180816501E-4</v>
          </cell>
        </row>
        <row r="223">
          <cell r="B223" t="str">
            <v>CO2_I</v>
          </cell>
          <cell r="C223" t="str">
            <v>VAR_fout</v>
          </cell>
          <cell r="D223" t="str">
            <v>ITOT-CHPOIL</v>
          </cell>
          <cell r="E223">
            <v>21.448008183215201</v>
          </cell>
          <cell r="F223">
            <v>51.245925424001101</v>
          </cell>
          <cell r="G223">
            <v>0.85748183054101601</v>
          </cell>
          <cell r="H223">
            <v>47.98636635754</v>
          </cell>
          <cell r="I223">
            <v>1.85452782902091</v>
          </cell>
          <cell r="J223">
            <v>0.42271855191958502</v>
          </cell>
        </row>
        <row r="224">
          <cell r="B224" t="str">
            <v>CO2_I</v>
          </cell>
          <cell r="C224" t="str">
            <v>VAR_fout</v>
          </cell>
          <cell r="D224" t="str">
            <v>ITOT-SWHWSTBR</v>
          </cell>
          <cell r="E224">
            <v>723.658116726618</v>
          </cell>
          <cell r="F224">
            <v>749.83699550407596</v>
          </cell>
          <cell r="G224">
            <v>520.44668375698404</v>
          </cell>
          <cell r="H224">
            <v>514.634351796754</v>
          </cell>
          <cell r="I224">
            <v>506.25366301721999</v>
          </cell>
          <cell r="J224">
            <v>7.0565694295982397E-4</v>
          </cell>
        </row>
        <row r="225">
          <cell r="B225" t="str">
            <v>CO2_I</v>
          </cell>
          <cell r="C225" t="str">
            <v>VAR_fout</v>
          </cell>
          <cell r="D225" t="str">
            <v>ITOT-SWHNGAHP</v>
          </cell>
          <cell r="G225">
            <v>7.8027377347735603E-3</v>
          </cell>
          <cell r="H225">
            <v>6.7897671350715602E-3</v>
          </cell>
          <cell r="I225">
            <v>4.3580163384486902E-3</v>
          </cell>
          <cell r="J225">
            <v>4.0111026448618496E-3</v>
          </cell>
        </row>
        <row r="226">
          <cell r="B226" t="str">
            <v>CO2_I</v>
          </cell>
          <cell r="C226" t="str">
            <v>VAR_fout</v>
          </cell>
          <cell r="D226" t="str">
            <v>ITOT-CHPWST</v>
          </cell>
          <cell r="E226">
            <v>344.46989272384502</v>
          </cell>
          <cell r="F226">
            <v>310.77697048124401</v>
          </cell>
          <cell r="G226">
            <v>504.19447719293299</v>
          </cell>
          <cell r="H226">
            <v>498.56366092555697</v>
          </cell>
          <cell r="I226">
            <v>284.47541302832798</v>
          </cell>
          <cell r="J226">
            <v>1.6338566645462101E-3</v>
          </cell>
        </row>
        <row r="227">
          <cell r="B227" t="str">
            <v>CO2_I</v>
          </cell>
          <cell r="C227" t="str">
            <v>VAR_fout</v>
          </cell>
          <cell r="D227" t="str">
            <v>ITOT-SWHHFOBR</v>
          </cell>
          <cell r="E227">
            <v>210.210006233656</v>
          </cell>
          <cell r="F227">
            <v>1.21661671809404E-5</v>
          </cell>
          <cell r="G227">
            <v>7.3729702169597804E-3</v>
          </cell>
          <cell r="H227">
            <v>9.0376956776850995E-4</v>
          </cell>
          <cell r="I227">
            <v>8.1143858777128698E-4</v>
          </cell>
        </row>
        <row r="228">
          <cell r="B228" t="str">
            <v>CO2_I</v>
          </cell>
          <cell r="C228" t="str">
            <v>VAR_comnet</v>
          </cell>
          <cell r="D228" t="str">
            <v>-</v>
          </cell>
          <cell r="E228">
            <v>4398.6846121598401</v>
          </cell>
          <cell r="F228">
            <v>3829.9195242498699</v>
          </cell>
          <cell r="G228">
            <v>3622.27166590262</v>
          </cell>
          <cell r="H228">
            <v>2952.0383818682999</v>
          </cell>
          <cell r="I228">
            <v>1992.49936944927</v>
          </cell>
          <cell r="J228">
            <v>1379.6657032339999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0.111288748266656</v>
          </cell>
          <cell r="I4">
            <v>1.81301267706687E-8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3.9082287362069801E-7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4.59854350710524E-8</v>
          </cell>
          <cell r="I6">
            <v>2.7719458820505601E-8</v>
          </cell>
          <cell r="J6">
            <v>0.79606524897785202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1.0076822168537601E-8</v>
          </cell>
          <cell r="I7">
            <v>2.2513602253427398E-6</v>
          </cell>
          <cell r="J7">
            <v>2.2724240601253E-6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I8">
            <v>1.32478057230955E-8</v>
          </cell>
          <cell r="J8">
            <v>2.1914684057307701E-8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2.1227999583669301E-5</v>
          </cell>
          <cell r="J9">
            <v>5.8299410858899703E-8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4.0950725647864502E-3</v>
          </cell>
          <cell r="H10">
            <v>7.4810539995455894E-2</v>
          </cell>
          <cell r="I10">
            <v>1.4262206220464599E-2</v>
          </cell>
          <cell r="J10">
            <v>0.246407114636254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1.2289690624694601E-8</v>
          </cell>
          <cell r="F11">
            <v>1.4550909445676799E-8</v>
          </cell>
          <cell r="G11">
            <v>3.0447823311101003E-8</v>
          </cell>
          <cell r="H11">
            <v>0.14643275821353999</v>
          </cell>
          <cell r="I11">
            <v>4.1957138127584401E-6</v>
          </cell>
          <cell r="J11">
            <v>8.9586737487416093E-2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1.4230905023735399E-2</v>
          </cell>
          <cell r="F12">
            <v>0.14119068610015501</v>
          </cell>
          <cell r="I12">
            <v>6.4373571135247401E-2</v>
          </cell>
          <cell r="J12">
            <v>7.7549786746901203E-2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3.8273253455892101E-7</v>
          </cell>
        </row>
        <row r="14">
          <cell r="A14" t="str">
            <v>-</v>
          </cell>
          <cell r="B14" t="str">
            <v>VAR_ncap</v>
          </cell>
          <cell r="C14" t="str">
            <v>SUP_ELCH2_D</v>
          </cell>
          <cell r="H14">
            <v>2.6919534717402002E-7</v>
          </cell>
          <cell r="I14">
            <v>1.53036724579395E-5</v>
          </cell>
          <cell r="J14">
            <v>2.5082298459270099E-6</v>
          </cell>
        </row>
        <row r="15">
          <cell r="A15" t="str">
            <v>-</v>
          </cell>
          <cell r="B15" t="str">
            <v>VAR_ncap</v>
          </cell>
          <cell r="C15" t="str">
            <v>SUP_H2GSL</v>
          </cell>
          <cell r="H15">
            <v>1.6346915286117099E-8</v>
          </cell>
          <cell r="I15">
            <v>3.1382475440275599E-6</v>
          </cell>
          <cell r="J15">
            <v>6.5393311543007898E-2</v>
          </cell>
        </row>
        <row r="16">
          <cell r="A16" t="str">
            <v>-</v>
          </cell>
          <cell r="B16" t="str">
            <v>VAR_ncap</v>
          </cell>
          <cell r="C16" t="str">
            <v>ESOL-PV_E</v>
          </cell>
          <cell r="H16">
            <v>7.33033477469502E-7</v>
          </cell>
          <cell r="I16">
            <v>4.1977083499569599E-5</v>
          </cell>
          <cell r="J16">
            <v>3.65549283707514E-7</v>
          </cell>
        </row>
        <row r="17">
          <cell r="A17" t="str">
            <v>-</v>
          </cell>
          <cell r="B17" t="str">
            <v>VAR_ncap</v>
          </cell>
          <cell r="C17" t="str">
            <v>SUP_MNRBIO</v>
          </cell>
          <cell r="E17">
            <v>4.9186212781109198E-2</v>
          </cell>
          <cell r="F17">
            <v>0.145636910485445</v>
          </cell>
          <cell r="G17">
            <v>3.8308638872228801E-3</v>
          </cell>
          <cell r="H17">
            <v>2.2876203247924599E-2</v>
          </cell>
          <cell r="I17">
            <v>0.102097363722446</v>
          </cell>
          <cell r="J17">
            <v>0.24160430752613599</v>
          </cell>
        </row>
        <row r="18">
          <cell r="A18" t="str">
            <v>-</v>
          </cell>
          <cell r="B18" t="str">
            <v>VAR_ncap</v>
          </cell>
          <cell r="C18" t="str">
            <v>D-RNGA</v>
          </cell>
          <cell r="J18">
            <v>0.12370478810383299</v>
          </cell>
        </row>
        <row r="19">
          <cell r="A19" t="str">
            <v>-</v>
          </cell>
          <cell r="B19" t="str">
            <v>VAR_ncap</v>
          </cell>
          <cell r="C19" t="str">
            <v>SUP_WSTHTGBIOCCS</v>
          </cell>
          <cell r="I19">
            <v>1.5549646686705601E-7</v>
          </cell>
          <cell r="J19">
            <v>2.7440016208287001E-8</v>
          </cell>
        </row>
        <row r="20">
          <cell r="A20" t="str">
            <v>-</v>
          </cell>
          <cell r="B20" t="str">
            <v>VAR_ncap</v>
          </cell>
          <cell r="C20" t="str">
            <v>SUP_WODBIO</v>
          </cell>
          <cell r="E20">
            <v>3.7123771639378901E-8</v>
          </cell>
          <cell r="F20">
            <v>1.84594990289969E-6</v>
          </cell>
          <cell r="I20">
            <v>1.8468029400810299E-8</v>
          </cell>
          <cell r="J20">
            <v>3.10287600512306E-7</v>
          </cell>
        </row>
        <row r="21">
          <cell r="A21" t="str">
            <v>-</v>
          </cell>
          <cell r="B21" t="str">
            <v>VAR_ncap</v>
          </cell>
          <cell r="C21" t="str">
            <v>SUP_ELCH2_SOEC</v>
          </cell>
          <cell r="I21">
            <v>6.4903149911046096E-6</v>
          </cell>
          <cell r="J21">
            <v>2.2404744066261599E-6</v>
          </cell>
        </row>
        <row r="22">
          <cell r="A22" t="str">
            <v>-</v>
          </cell>
          <cell r="B22" t="str">
            <v>VAR_ncap</v>
          </cell>
          <cell r="C22" t="str">
            <v>SUP_WODH2CCS</v>
          </cell>
          <cell r="J22">
            <v>0.23050252506239699</v>
          </cell>
        </row>
        <row r="23">
          <cell r="A23" t="str">
            <v>-</v>
          </cell>
          <cell r="B23" t="str">
            <v>VAR_ncap</v>
          </cell>
          <cell r="C23" t="str">
            <v>SUP_WODBIOCCS</v>
          </cell>
          <cell r="I23">
            <v>4.5600171925484002E-7</v>
          </cell>
          <cell r="J23">
            <v>4.4198226178863099E-8</v>
          </cell>
        </row>
        <row r="24">
          <cell r="A24" t="str">
            <v>-</v>
          </cell>
          <cell r="B24" t="str">
            <v>VAR_ncap</v>
          </cell>
          <cell r="C24" t="str">
            <v>SUP_NGAH2CCS</v>
          </cell>
          <cell r="I24">
            <v>3.4616489421829802E-6</v>
          </cell>
          <cell r="J24">
            <v>0.40148574722825803</v>
          </cell>
        </row>
        <row r="25">
          <cell r="A25" t="str">
            <v>-</v>
          </cell>
          <cell r="B25" t="str">
            <v>VAR_ncap</v>
          </cell>
          <cell r="C25" t="str">
            <v>SUP_ELCH2</v>
          </cell>
          <cell r="E25">
            <v>2.20242025129806E-4</v>
          </cell>
          <cell r="F25">
            <v>1.8477397726132101E-3</v>
          </cell>
          <cell r="G25">
            <v>3.22373363582605E-8</v>
          </cell>
          <cell r="H25">
            <v>1.07794782419641E-7</v>
          </cell>
          <cell r="I25">
            <v>0.186598904573399</v>
          </cell>
          <cell r="J25">
            <v>0.83309078743697695</v>
          </cell>
        </row>
        <row r="26">
          <cell r="A26" t="str">
            <v>-</v>
          </cell>
          <cell r="B26" t="str">
            <v>VAR_ncap</v>
          </cell>
          <cell r="C26" t="str">
            <v>CT_CWODBDS</v>
          </cell>
          <cell r="I26">
            <v>3.8922179572410801E-8</v>
          </cell>
        </row>
        <row r="27">
          <cell r="A27" t="str">
            <v>-</v>
          </cell>
          <cell r="B27" t="str">
            <v>VAR_ncap</v>
          </cell>
          <cell r="C27" t="str">
            <v>CT_CWODETHCCS</v>
          </cell>
          <cell r="I27">
            <v>2.8670524886534E-7</v>
          </cell>
          <cell r="J27">
            <v>6.5621379141313803E-8</v>
          </cell>
        </row>
        <row r="28">
          <cell r="A28" t="str">
            <v>-</v>
          </cell>
          <cell r="B28" t="str">
            <v>VAR_ncap</v>
          </cell>
          <cell r="C28" t="str">
            <v>CT_CWODPLT</v>
          </cell>
          <cell r="E28">
            <v>0.15246233865832301</v>
          </cell>
          <cell r="F28">
            <v>6.0031444139738203E-2</v>
          </cell>
          <cell r="G28">
            <v>5.7829400075928301E-8</v>
          </cell>
          <cell r="H28">
            <v>7.0358219450397897E-3</v>
          </cell>
          <cell r="I28">
            <v>0.21139226670668501</v>
          </cell>
          <cell r="J28">
            <v>0.101676591985651</v>
          </cell>
        </row>
        <row r="29">
          <cell r="A29" t="str">
            <v>-</v>
          </cell>
          <cell r="B29" t="str">
            <v>VAR_ncap</v>
          </cell>
          <cell r="C29" t="str">
            <v>D-DH2</v>
          </cell>
          <cell r="H29">
            <v>7.1814227448110104E-7</v>
          </cell>
          <cell r="I29">
            <v>1.5292935674692201E-5</v>
          </cell>
          <cell r="J29">
            <v>1.16594461244629E-6</v>
          </cell>
        </row>
        <row r="30">
          <cell r="A30" t="str">
            <v>-</v>
          </cell>
          <cell r="B30" t="str">
            <v>VAR_ncap</v>
          </cell>
          <cell r="C30" t="str">
            <v>CT_CWODETH</v>
          </cell>
          <cell r="E30">
            <v>4.9063805567470696E-3</v>
          </cell>
          <cell r="I30">
            <v>1.6019067437933999E-7</v>
          </cell>
          <cell r="J30">
            <v>1.09938729440442E-7</v>
          </cell>
        </row>
        <row r="31">
          <cell r="A31" t="str">
            <v>-</v>
          </cell>
          <cell r="B31" t="str">
            <v>VAR_ncap</v>
          </cell>
          <cell r="C31" t="str">
            <v>D-INGA</v>
          </cell>
          <cell r="I31">
            <v>2.51150485755213E-8</v>
          </cell>
          <cell r="J31">
            <v>9.9285712879403496E-8</v>
          </cell>
        </row>
        <row r="32">
          <cell r="A32" t="str">
            <v>-</v>
          </cell>
          <cell r="B32" t="str">
            <v>VAR_ncap</v>
          </cell>
          <cell r="C32" t="str">
            <v>SUP_H2DSL</v>
          </cell>
          <cell r="H32">
            <v>1.7692011259675699E-8</v>
          </cell>
          <cell r="I32">
            <v>3.5925629578202598E-6</v>
          </cell>
          <cell r="J32">
            <v>7.6250476970250294E-2</v>
          </cell>
        </row>
        <row r="33">
          <cell r="A33" t="str">
            <v>-</v>
          </cell>
          <cell r="B33" t="str">
            <v>VAR_ncap</v>
          </cell>
          <cell r="C33" t="str">
            <v>SUP_DAC</v>
          </cell>
          <cell r="I33">
            <v>2.5816292806485399E-5</v>
          </cell>
          <cell r="J33">
            <v>6.3505262144871697E-5</v>
          </cell>
        </row>
        <row r="34">
          <cell r="A34" t="str">
            <v>-</v>
          </cell>
          <cell r="B34" t="str">
            <v>VAR_ncap</v>
          </cell>
          <cell r="C34" t="str">
            <v>CT_CWODBDSCCS</v>
          </cell>
          <cell r="I34">
            <v>5.1215934928744198E-7</v>
          </cell>
          <cell r="J34">
            <v>0.18524345402249001</v>
          </cell>
        </row>
        <row r="35">
          <cell r="A35" t="str">
            <v>-</v>
          </cell>
          <cell r="B35" t="str">
            <v>VAR_cap</v>
          </cell>
          <cell r="C35" t="str">
            <v>SUP_NGAH2</v>
          </cell>
          <cell r="H35">
            <v>0.111288748266656</v>
          </cell>
          <cell r="I35">
            <v>0.37413115514674089</v>
          </cell>
          <cell r="J35">
            <v>2.4117175729809759E-6</v>
          </cell>
        </row>
        <row r="36">
          <cell r="A36" t="str">
            <v>-</v>
          </cell>
          <cell r="B36" t="str">
            <v>VAR_cap</v>
          </cell>
          <cell r="C36" t="str">
            <v>SUP_WSTHTGBIO</v>
          </cell>
          <cell r="I36">
            <v>3.9082287362069801E-7</v>
          </cell>
          <cell r="J36">
            <v>3.9082287362069801E-7</v>
          </cell>
        </row>
        <row r="37">
          <cell r="A37" t="str">
            <v>-</v>
          </cell>
          <cell r="B37" t="str">
            <v>VAR_cap</v>
          </cell>
          <cell r="C37" t="str">
            <v>STG-H2</v>
          </cell>
          <cell r="H37">
            <v>4.59854350710524E-8</v>
          </cell>
          <cell r="I37">
            <v>1.3074422900554E-7</v>
          </cell>
          <cell r="J37">
            <v>0.79606532982500944</v>
          </cell>
        </row>
        <row r="38">
          <cell r="A38" t="str">
            <v>-</v>
          </cell>
          <cell r="B38" t="str">
            <v>VAR_cap</v>
          </cell>
          <cell r="C38" t="str">
            <v>SUP_H2NGA</v>
          </cell>
          <cell r="H38">
            <v>1.0076822168537601E-8</v>
          </cell>
          <cell r="I38">
            <v>2.2893339249347268E-6</v>
          </cell>
          <cell r="J38">
            <v>4.5710335559585904E-6</v>
          </cell>
        </row>
        <row r="39">
          <cell r="A39" t="str">
            <v>-</v>
          </cell>
          <cell r="B39" t="str">
            <v>VAR_cap</v>
          </cell>
          <cell r="C39" t="str">
            <v>D-ENGA</v>
          </cell>
          <cell r="E39">
            <v>1.0275119945409801</v>
          </cell>
          <cell r="F39">
            <v>1.0275119945409801</v>
          </cell>
          <cell r="G39">
            <v>1.0275119945409801</v>
          </cell>
          <cell r="H39">
            <v>1.0275119945409801</v>
          </cell>
          <cell r="I39">
            <v>1.0275120178968962</v>
          </cell>
          <cell r="J39">
            <v>0.72467672658536009</v>
          </cell>
        </row>
        <row r="40">
          <cell r="A40" t="str">
            <v>-</v>
          </cell>
          <cell r="B40" t="str">
            <v>VAR_cap</v>
          </cell>
          <cell r="C40" t="str">
            <v>D-CHEAT</v>
          </cell>
          <cell r="I40">
            <v>2.1227999583669301E-5</v>
          </cell>
          <cell r="J40">
            <v>2.1286298994528201E-5</v>
          </cell>
        </row>
        <row r="41">
          <cell r="A41" t="str">
            <v>-</v>
          </cell>
          <cell r="B41" t="str">
            <v>VAR_cap</v>
          </cell>
          <cell r="C41" t="str">
            <v>SUP_WSTBIO</v>
          </cell>
          <cell r="E41">
            <v>0.21266560485850844</v>
          </cell>
          <cell r="F41">
            <v>0.20895787213300293</v>
          </cell>
          <cell r="G41">
            <v>0.20895785403322301</v>
          </cell>
          <cell r="H41">
            <v>0.2122238870047434</v>
          </cell>
          <cell r="I41">
            <v>0.20569192503142897</v>
          </cell>
          <cell r="J41">
            <v>0.37191008443357798</v>
          </cell>
        </row>
        <row r="42">
          <cell r="A42" t="str">
            <v>-</v>
          </cell>
          <cell r="B42" t="str">
            <v>VAR_cap</v>
          </cell>
          <cell r="C42" t="str">
            <v>D-CNGA</v>
          </cell>
          <cell r="E42">
            <v>1.2289690624694601E-8</v>
          </cell>
          <cell r="F42">
            <v>2.6840600070371401E-8</v>
          </cell>
          <cell r="G42">
            <v>5.7288423381472401E-8</v>
          </cell>
          <cell r="H42">
            <v>0.14643281550196299</v>
          </cell>
          <cell r="I42">
            <v>0.49228303332484702</v>
          </cell>
          <cell r="J42">
            <v>0.58186977081226299</v>
          </cell>
        </row>
        <row r="43">
          <cell r="A43" t="str">
            <v>-</v>
          </cell>
          <cell r="B43" t="str">
            <v>VAR_cap</v>
          </cell>
          <cell r="C43" t="str">
            <v>SUP_BIONGA</v>
          </cell>
          <cell r="E43">
            <v>4.2249335484606597E-2</v>
          </cell>
          <cell r="F43">
            <v>0.18344002158476119</v>
          </cell>
          <cell r="G43">
            <v>0.18337498433428498</v>
          </cell>
          <cell r="H43">
            <v>0.15000146055027158</v>
          </cell>
          <cell r="I43">
            <v>0.14066553782119201</v>
          </cell>
          <cell r="J43">
            <v>0.141923371091175</v>
          </cell>
        </row>
        <row r="44">
          <cell r="A44" t="str">
            <v>-</v>
          </cell>
          <cell r="B44" t="str">
            <v>VAR_cap</v>
          </cell>
          <cell r="C44" t="str">
            <v>SUP_WODH2</v>
          </cell>
          <cell r="J44">
            <v>3.8273253455892101E-7</v>
          </cell>
        </row>
        <row r="45">
          <cell r="A45" t="str">
            <v>-</v>
          </cell>
          <cell r="B45" t="str">
            <v>VAR_cap</v>
          </cell>
          <cell r="C45" t="str">
            <v>D-TNGA</v>
          </cell>
          <cell r="E45">
            <v>0.95961769308164402</v>
          </cell>
          <cell r="F45">
            <v>0.95961769308164402</v>
          </cell>
          <cell r="G45">
            <v>0.95961769308164402</v>
          </cell>
          <cell r="H45">
            <v>0.95961769308164402</v>
          </cell>
          <cell r="I45">
            <v>0.95961769308164402</v>
          </cell>
          <cell r="J45">
            <v>0.48125334943558801</v>
          </cell>
        </row>
        <row r="46">
          <cell r="A46" t="str">
            <v>-</v>
          </cell>
          <cell r="B46" t="str">
            <v>VAR_cap</v>
          </cell>
          <cell r="C46" t="str">
            <v>SUP_ELCH2_D</v>
          </cell>
          <cell r="H46">
            <v>2.6919534717402002E-7</v>
          </cell>
          <cell r="I46">
            <v>2.0448980536049001E-5</v>
          </cell>
          <cell r="J46">
            <v>2.1767483380049499E-5</v>
          </cell>
        </row>
        <row r="47">
          <cell r="A47" t="str">
            <v>-</v>
          </cell>
          <cell r="B47" t="str">
            <v>VAR_cap</v>
          </cell>
          <cell r="C47" t="str">
            <v>SUP_H2GSL</v>
          </cell>
          <cell r="H47">
            <v>1.6346915286117099E-8</v>
          </cell>
          <cell r="I47">
            <v>3.1977500428182863E-6</v>
          </cell>
          <cell r="J47">
            <v>6.5396472776365386E-2</v>
          </cell>
        </row>
        <row r="48">
          <cell r="A48" t="str">
            <v>-</v>
          </cell>
          <cell r="B48" t="str">
            <v>VAR_cap</v>
          </cell>
          <cell r="C48" t="str">
            <v>ESOL-PV_E</v>
          </cell>
          <cell r="H48">
            <v>7.33033477469502E-7</v>
          </cell>
          <cell r="I48">
            <v>5.6660239750160801E-5</v>
          </cell>
          <cell r="J48">
            <v>5.7025789033868303E-5</v>
          </cell>
        </row>
        <row r="49">
          <cell r="A49" t="str">
            <v>-</v>
          </cell>
          <cell r="B49" t="str">
            <v>VAR_cap</v>
          </cell>
          <cell r="C49" t="str">
            <v>D-SNGA</v>
          </cell>
          <cell r="E49">
            <v>2.2350522016251402</v>
          </cell>
          <cell r="F49">
            <v>2.2350522016251402</v>
          </cell>
          <cell r="G49">
            <v>2.2350522016251402</v>
          </cell>
          <cell r="H49">
            <v>2.2350522016251402</v>
          </cell>
          <cell r="I49">
            <v>2.2350522016251402</v>
          </cell>
          <cell r="J49">
            <v>1.12089050248886</v>
          </cell>
        </row>
        <row r="50">
          <cell r="A50" t="str">
            <v>-</v>
          </cell>
          <cell r="B50" t="str">
            <v>VAR_cap</v>
          </cell>
          <cell r="C50" t="str">
            <v>SUP_MNRBIO</v>
          </cell>
          <cell r="E50">
            <v>4.9186212781109198E-2</v>
          </cell>
          <cell r="F50">
            <v>0.19482312326655499</v>
          </cell>
          <cell r="G50">
            <v>0.19865397561016934</v>
          </cell>
          <cell r="H50">
            <v>0.22153016022545452</v>
          </cell>
          <cell r="I50">
            <v>0.22153018571447089</v>
          </cell>
          <cell r="J50">
            <v>0.34965036263731603</v>
          </cell>
        </row>
        <row r="51">
          <cell r="A51" t="str">
            <v>-</v>
          </cell>
          <cell r="B51" t="str">
            <v>VAR_cap</v>
          </cell>
          <cell r="C51" t="str">
            <v>D-RNGA</v>
          </cell>
          <cell r="E51">
            <v>3.0972400073959201</v>
          </cell>
          <cell r="F51">
            <v>3.0972400073959201</v>
          </cell>
          <cell r="G51">
            <v>3.0972400073959201</v>
          </cell>
          <cell r="H51">
            <v>3.0972400073959201</v>
          </cell>
          <cell r="I51">
            <v>3.0972400073959201</v>
          </cell>
          <cell r="J51">
            <v>1.676987036140053</v>
          </cell>
        </row>
        <row r="52">
          <cell r="A52" t="str">
            <v>-</v>
          </cell>
          <cell r="B52" t="str">
            <v>VAR_cap</v>
          </cell>
          <cell r="C52" t="str">
            <v>SUP_WSTHTGBIOCCS</v>
          </cell>
          <cell r="I52">
            <v>1.5549646686705601E-7</v>
          </cell>
          <cell r="J52">
            <v>1.8293648307534299E-7</v>
          </cell>
        </row>
        <row r="53">
          <cell r="A53" t="str">
            <v>-</v>
          </cell>
          <cell r="B53" t="str">
            <v>VAR_cap</v>
          </cell>
          <cell r="C53" t="str">
            <v>SUP_WODBIO</v>
          </cell>
          <cell r="E53">
            <v>3.7123771639378901E-8</v>
          </cell>
          <cell r="F53">
            <v>1.88307367453907E-6</v>
          </cell>
          <cell r="G53">
            <v>1.8335824293699234E-6</v>
          </cell>
          <cell r="H53">
            <v>1.3383556643571941E-6</v>
          </cell>
          <cell r="I53">
            <v>7.0784610500063007E-7</v>
          </cell>
          <cell r="J53">
            <v>3.2875562991311598E-7</v>
          </cell>
        </row>
        <row r="54">
          <cell r="A54" t="str">
            <v>-</v>
          </cell>
          <cell r="B54" t="str">
            <v>VAR_cap</v>
          </cell>
          <cell r="C54" t="str">
            <v>SUP_ELCH2_SOEC</v>
          </cell>
          <cell r="I54">
            <v>6.4903149911046096E-6</v>
          </cell>
          <cell r="J54">
            <v>4.4635451891428098E-6</v>
          </cell>
        </row>
        <row r="55">
          <cell r="A55" t="str">
            <v>-</v>
          </cell>
          <cell r="B55" t="str">
            <v>VAR_cap</v>
          </cell>
          <cell r="C55" t="str">
            <v>SUP_WODH2CCS</v>
          </cell>
          <cell r="J55">
            <v>0.23050252506239699</v>
          </cell>
        </row>
        <row r="56">
          <cell r="A56" t="str">
            <v>-</v>
          </cell>
          <cell r="B56" t="str">
            <v>VAR_cap</v>
          </cell>
          <cell r="C56" t="str">
            <v>SUP_WODBIOCCS</v>
          </cell>
          <cell r="I56">
            <v>4.5600171925484002E-7</v>
          </cell>
          <cell r="J56">
            <v>5.00199945433703E-7</v>
          </cell>
        </row>
        <row r="57">
          <cell r="A57" t="str">
            <v>-</v>
          </cell>
          <cell r="B57" t="str">
            <v>VAR_cap</v>
          </cell>
          <cell r="C57" t="str">
            <v>SUP_NGAH2CCS</v>
          </cell>
          <cell r="I57">
            <v>3.4616489421829802E-6</v>
          </cell>
          <cell r="J57">
            <v>0.40148920887720002</v>
          </cell>
        </row>
        <row r="58">
          <cell r="A58" t="str">
            <v>-</v>
          </cell>
          <cell r="B58" t="str">
            <v>VAR_cap</v>
          </cell>
          <cell r="C58" t="str">
            <v>SUP_ELCH2</v>
          </cell>
          <cell r="E58">
            <v>2.20242025129806E-4</v>
          </cell>
          <cell r="F58">
            <v>2.0679817977430101E-3</v>
          </cell>
          <cell r="G58">
            <v>2.0680021866973206E-3</v>
          </cell>
          <cell r="H58">
            <v>2.0680953867008639E-3</v>
          </cell>
          <cell r="I58">
            <v>0.18801305287133643</v>
          </cell>
          <cell r="J58">
            <v>1.0199916569055065</v>
          </cell>
        </row>
        <row r="59">
          <cell r="A59" t="str">
            <v>-</v>
          </cell>
          <cell r="B59" t="str">
            <v>VAR_cap</v>
          </cell>
          <cell r="C59" t="str">
            <v>CT_CWODBDS</v>
          </cell>
          <cell r="E59">
            <v>2.2938726391056298E-2</v>
          </cell>
          <cell r="F59">
            <v>2.2938667650116699E-2</v>
          </cell>
          <cell r="G59">
            <v>2.2938660276738E-2</v>
          </cell>
          <cell r="H59">
            <v>7.2130042230028613E-7</v>
          </cell>
          <cell r="I59">
            <v>4.8364784313500904E-7</v>
          </cell>
          <cell r="J59">
            <v>3.93306399728277E-7</v>
          </cell>
        </row>
        <row r="60">
          <cell r="A60" t="str">
            <v>-</v>
          </cell>
          <cell r="B60" t="str">
            <v>VAR_cap</v>
          </cell>
          <cell r="C60" t="str">
            <v>CT_CWODETHCCS</v>
          </cell>
          <cell r="I60">
            <v>2.8670524886534E-7</v>
          </cell>
          <cell r="J60">
            <v>3.52326628006654E-7</v>
          </cell>
        </row>
        <row r="61">
          <cell r="A61" t="str">
            <v>-</v>
          </cell>
          <cell r="B61" t="str">
            <v>VAR_cap</v>
          </cell>
          <cell r="C61" t="str">
            <v>CT_CWODPLT</v>
          </cell>
          <cell r="E61">
            <v>0.35476159229697801</v>
          </cell>
          <cell r="F61">
            <v>0.41479302427189102</v>
          </cell>
          <cell r="G61">
            <v>0.41479304936523853</v>
          </cell>
          <cell r="H61">
            <v>0.42182883474690924</v>
          </cell>
          <cell r="I61">
            <v>0.46804190728481704</v>
          </cell>
          <cell r="J61">
            <v>0.44648927801101185</v>
          </cell>
        </row>
        <row r="62">
          <cell r="A62" t="str">
            <v>-</v>
          </cell>
          <cell r="B62" t="str">
            <v>VAR_cap</v>
          </cell>
          <cell r="C62" t="str">
            <v>D-DH2</v>
          </cell>
          <cell r="H62">
            <v>7.1814227448110104E-7</v>
          </cell>
          <cell r="I62">
            <v>2.05137396920549E-5</v>
          </cell>
          <cell r="J62">
            <v>2.16796843045012E-5</v>
          </cell>
        </row>
        <row r="63">
          <cell r="A63" t="str">
            <v>-</v>
          </cell>
          <cell r="B63" t="str">
            <v>VAR_cap</v>
          </cell>
          <cell r="C63" t="str">
            <v>CT_CWODETH</v>
          </cell>
          <cell r="E63">
            <v>6.9437160293140295E-3</v>
          </cell>
          <cell r="F63">
            <v>8.7244015383944329E-7</v>
          </cell>
          <cell r="G63">
            <v>8.5955715781963621E-7</v>
          </cell>
          <cell r="H63">
            <v>5.2931692328967578E-7</v>
          </cell>
          <cell r="I63">
            <v>3.5911011085003157E-7</v>
          </cell>
          <cell r="J63">
            <v>2.8366132145630201E-7</v>
          </cell>
        </row>
        <row r="64">
          <cell r="A64" t="str">
            <v>-</v>
          </cell>
          <cell r="B64" t="str">
            <v>VAR_cap</v>
          </cell>
          <cell r="C64" t="str">
            <v>D-INGA</v>
          </cell>
          <cell r="E64">
            <v>1.9844833702661</v>
          </cell>
          <cell r="F64">
            <v>1.9844833702661</v>
          </cell>
          <cell r="G64">
            <v>1.9844833702661</v>
          </cell>
          <cell r="H64">
            <v>1.9844833702661</v>
          </cell>
          <cell r="I64">
            <v>1.9844834115404799</v>
          </cell>
          <cell r="J64">
            <v>1.0954595780060128</v>
          </cell>
        </row>
        <row r="65">
          <cell r="A65" t="str">
            <v>-</v>
          </cell>
          <cell r="B65" t="str">
            <v>VAR_cap</v>
          </cell>
          <cell r="C65" t="str">
            <v>SUP_H2DSL</v>
          </cell>
          <cell r="H65">
            <v>1.7692011259675699E-8</v>
          </cell>
          <cell r="I65">
            <v>3.6614558891918885E-6</v>
          </cell>
          <cell r="J65">
            <v>7.6254093962522154E-2</v>
          </cell>
        </row>
        <row r="66">
          <cell r="A66" t="str">
            <v>-</v>
          </cell>
          <cell r="B66" t="str">
            <v>VAR_cap</v>
          </cell>
          <cell r="C66" t="str">
            <v>SUP_DAC</v>
          </cell>
          <cell r="I66">
            <v>2.5816292806485399E-5</v>
          </cell>
          <cell r="J66">
            <v>8.2126177817429827E-5</v>
          </cell>
        </row>
        <row r="67">
          <cell r="A67" t="str">
            <v>-</v>
          </cell>
          <cell r="B67" t="str">
            <v>VAR_cap</v>
          </cell>
          <cell r="C67" t="str">
            <v>CT_CWODBDSCCS</v>
          </cell>
          <cell r="I67">
            <v>5.1215934928744198E-7</v>
          </cell>
          <cell r="J67">
            <v>0.185243966181839</v>
          </cell>
        </row>
        <row r="68">
          <cell r="A68" t="str">
            <v>CO2_M</v>
          </cell>
          <cell r="B68" t="str">
            <v>VAR_fin</v>
          </cell>
          <cell r="C68" t="str">
            <v>SUP_H2NGA</v>
          </cell>
          <cell r="I68">
            <v>1.9033859600285687E-4</v>
          </cell>
          <cell r="J68">
            <v>1.2052891070055741E-3</v>
          </cell>
        </row>
        <row r="69">
          <cell r="A69" t="str">
            <v>CO2_M</v>
          </cell>
          <cell r="B69" t="str">
            <v>VAR_fin</v>
          </cell>
          <cell r="C69" t="str">
            <v>SUP_H2GSL</v>
          </cell>
          <cell r="I69">
            <v>3.9339681029836276E-4</v>
          </cell>
          <cell r="J69">
            <v>21.708237898571745</v>
          </cell>
        </row>
        <row r="70">
          <cell r="A70" t="str">
            <v>CO2_M</v>
          </cell>
          <cell r="B70" t="str">
            <v>VAR_fin</v>
          </cell>
          <cell r="C70" t="str">
            <v>SUP_H2DSL</v>
          </cell>
          <cell r="I70">
            <v>6.8827003691488689E-4</v>
          </cell>
          <cell r="J70">
            <v>6.904563589735794</v>
          </cell>
        </row>
        <row r="71">
          <cell r="A71" t="str">
            <v>ELC35</v>
          </cell>
          <cell r="B71" t="str">
            <v>VAR_fout</v>
          </cell>
          <cell r="C71" t="str">
            <v>SUP_WSTBIO</v>
          </cell>
          <cell r="E71">
            <v>0.11258767044729996</v>
          </cell>
          <cell r="F71">
            <v>0.10849822129397589</v>
          </cell>
          <cell r="G71">
            <v>0.10855956071328386</v>
          </cell>
          <cell r="H71">
            <v>0.1123538194251735</v>
          </cell>
          <cell r="I71">
            <v>0.10889575303883187</v>
          </cell>
          <cell r="J71">
            <v>0.19689357561836621</v>
          </cell>
        </row>
        <row r="72">
          <cell r="A72" t="str">
            <v>ELC35</v>
          </cell>
          <cell r="B72" t="str">
            <v>VAR_fout</v>
          </cell>
          <cell r="C72" t="str">
            <v>SUP_WODBIO</v>
          </cell>
          <cell r="F72">
            <v>1.3428522085599779E-6</v>
          </cell>
          <cell r="G72">
            <v>3.0889398382070484E-7</v>
          </cell>
        </row>
        <row r="73">
          <cell r="A73" t="str">
            <v>ELC35</v>
          </cell>
          <cell r="B73" t="str">
            <v>VAR_fin</v>
          </cell>
          <cell r="C73" t="str">
            <v>D-CELC</v>
          </cell>
          <cell r="E73">
            <v>0.33897153142298575</v>
          </cell>
          <cell r="F73">
            <v>4.2365859690737084E-2</v>
          </cell>
          <cell r="G73">
            <v>7.2316731162215792E-2</v>
          </cell>
          <cell r="H73">
            <v>4.027592840936902E-2</v>
          </cell>
          <cell r="I73">
            <v>1.9269171875668456</v>
          </cell>
          <cell r="J73">
            <v>8.5966944429152079</v>
          </cell>
        </row>
        <row r="74">
          <cell r="A74" t="str">
            <v>CO2_O</v>
          </cell>
          <cell r="B74" t="str">
            <v>VAR_fout</v>
          </cell>
          <cell r="C74" t="str">
            <v>SUP_WSTHTGBIOCCS</v>
          </cell>
          <cell r="I74">
            <v>7.2852729639131814E-5</v>
          </cell>
          <cell r="J74">
            <v>1.3799655906831287E-4</v>
          </cell>
        </row>
        <row r="75">
          <cell r="A75" t="str">
            <v>CO2_O</v>
          </cell>
          <cell r="B75" t="str">
            <v>VAR_fout</v>
          </cell>
          <cell r="C75" t="str">
            <v>SUP_WODH2CCS</v>
          </cell>
          <cell r="J75">
            <v>1026.0864650639626</v>
          </cell>
        </row>
        <row r="76">
          <cell r="A76" t="str">
            <v>CO2_O</v>
          </cell>
          <cell r="B76" t="str">
            <v>VAR_fout</v>
          </cell>
          <cell r="C76" t="str">
            <v>SUP_WODBIOCCS</v>
          </cell>
          <cell r="I76">
            <v>4.3214094529246119E-4</v>
          </cell>
          <cell r="J76">
            <v>6.7511282437375791E-4</v>
          </cell>
        </row>
        <row r="77">
          <cell r="A77" t="str">
            <v>CO2_O</v>
          </cell>
          <cell r="B77" t="str">
            <v>VAR_fout</v>
          </cell>
          <cell r="C77" t="str">
            <v>SUP_NGAH2CCS</v>
          </cell>
          <cell r="I77">
            <v>3.0119345793142909E-3</v>
          </cell>
          <cell r="J77">
            <v>679.39785056544792</v>
          </cell>
        </row>
        <row r="78">
          <cell r="A78" t="str">
            <v>CO2_O</v>
          </cell>
          <cell r="B78" t="str">
            <v>VAR_fout</v>
          </cell>
          <cell r="C78" t="str">
            <v>CT_CWODETHCCS</v>
          </cell>
          <cell r="J78">
            <v>3.2618155918960047E-5</v>
          </cell>
        </row>
        <row r="79">
          <cell r="A79" t="str">
            <v>CO2_O</v>
          </cell>
          <cell r="B79" t="str">
            <v>VAR_fout</v>
          </cell>
          <cell r="C79" t="str">
            <v>SUP_DAC</v>
          </cell>
          <cell r="I79">
            <v>9.4445211627684338E-5</v>
          </cell>
          <cell r="J79">
            <v>5.8692946248147058E-4</v>
          </cell>
        </row>
        <row r="80">
          <cell r="A80" t="str">
            <v>CO2_O</v>
          </cell>
          <cell r="B80" t="str">
            <v>VAR_fout</v>
          </cell>
          <cell r="C80" t="str">
            <v>CT_CWODBDSCCS</v>
          </cell>
          <cell r="I80">
            <v>8.6380977129897965E-4</v>
          </cell>
          <cell r="J80">
            <v>638.4538212852824</v>
          </cell>
        </row>
        <row r="81">
          <cell r="A81" t="str">
            <v>SCH2S</v>
          </cell>
          <cell r="B81" t="str">
            <v>VAR_fin</v>
          </cell>
          <cell r="C81" t="str">
            <v>SUP_NGAH2</v>
          </cell>
          <cell r="H81">
            <v>2.9903410514998781</v>
          </cell>
          <cell r="I81">
            <v>8.9542623226441407</v>
          </cell>
          <cell r="J81">
            <v>4.4521824919709489E-7</v>
          </cell>
        </row>
        <row r="82">
          <cell r="A82" t="str">
            <v>SCH2S</v>
          </cell>
          <cell r="B82" t="str">
            <v>VAR_fin</v>
          </cell>
          <cell r="C82" t="str">
            <v>SUP_NGAH2CCS</v>
          </cell>
          <cell r="I82">
            <v>4.1402399787370751E-5</v>
          </cell>
          <cell r="J82">
            <v>9.3390811397354252</v>
          </cell>
        </row>
        <row r="83">
          <cell r="A83" t="str">
            <v>CWST</v>
          </cell>
          <cell r="B83" t="str">
            <v>VAR_fout</v>
          </cell>
          <cell r="C83" t="str">
            <v>D-CWST</v>
          </cell>
          <cell r="E83">
            <v>9.679322867883581</v>
          </cell>
          <cell r="F83">
            <v>9.327747082102098</v>
          </cell>
          <cell r="G83">
            <v>9.3330205196077358</v>
          </cell>
          <cell r="H83">
            <v>9.659218361438489</v>
          </cell>
          <cell r="I83">
            <v>9.3619361677553794</v>
          </cell>
          <cell r="J83">
            <v>16.927240909467823</v>
          </cell>
        </row>
        <row r="84">
          <cell r="A84" t="str">
            <v>CWST</v>
          </cell>
          <cell r="B84" t="str">
            <v>VAR_fin</v>
          </cell>
          <cell r="C84" t="str">
            <v>SUP_WSTHTGBIO</v>
          </cell>
          <cell r="I84">
            <v>1.2481548250959501E-5</v>
          </cell>
          <cell r="J84">
            <v>1.3290706240371002E-5</v>
          </cell>
        </row>
        <row r="85">
          <cell r="A85" t="str">
            <v>CWST</v>
          </cell>
          <cell r="B85" t="str">
            <v>VAR_fin</v>
          </cell>
          <cell r="C85" t="str">
            <v>SUP_WSTBIO</v>
          </cell>
          <cell r="E85">
            <v>9.679322867883581</v>
          </cell>
          <cell r="F85">
            <v>9.327747082102098</v>
          </cell>
          <cell r="G85">
            <v>9.3330205196077358</v>
          </cell>
          <cell r="H85">
            <v>9.659218361438489</v>
          </cell>
          <cell r="I85">
            <v>9.3619234541098564</v>
          </cell>
          <cell r="J85">
            <v>16.927221972447519</v>
          </cell>
        </row>
        <row r="86">
          <cell r="A86" t="str">
            <v>CWST</v>
          </cell>
          <cell r="B86" t="str">
            <v>VAR_fin</v>
          </cell>
          <cell r="C86" t="str">
            <v>SUP_WSTHTGBIOCCS</v>
          </cell>
          <cell r="I86">
            <v>2.7070722963411063E-6</v>
          </cell>
          <cell r="J86">
            <v>5.1276961603861806E-6</v>
          </cell>
        </row>
        <row r="87">
          <cell r="A87" t="str">
            <v>NGA</v>
          </cell>
          <cell r="B87" t="str">
            <v>VAR_fout</v>
          </cell>
          <cell r="C87" t="str">
            <v>SUP_H2NGA</v>
          </cell>
          <cell r="I87">
            <v>3.3747978014690926E-6</v>
          </cell>
          <cell r="J87">
            <v>2.1370374237687477E-5</v>
          </cell>
        </row>
        <row r="88">
          <cell r="A88" t="str">
            <v>NGA</v>
          </cell>
          <cell r="B88" t="str">
            <v>VAR_fout</v>
          </cell>
          <cell r="C88" t="str">
            <v>D-LNGA</v>
          </cell>
          <cell r="H88">
            <v>2.8594682723098458E-5</v>
          </cell>
          <cell r="I88">
            <v>3.3730229719468854E-5</v>
          </cell>
          <cell r="J88">
            <v>5.7360188935091155E-6</v>
          </cell>
        </row>
        <row r="89">
          <cell r="A89" t="str">
            <v>NGA</v>
          </cell>
          <cell r="B89" t="str">
            <v>VAR_fin</v>
          </cell>
          <cell r="C89" t="str">
            <v>D-ENGA</v>
          </cell>
          <cell r="E89">
            <v>5.5143317921545583</v>
          </cell>
          <cell r="F89">
            <v>4.2361115508958362E-6</v>
          </cell>
          <cell r="G89">
            <v>7.9561045169815783E-2</v>
          </cell>
          <cell r="H89">
            <v>0.5897667463505375</v>
          </cell>
          <cell r="I89">
            <v>0.50270606611203383</v>
          </cell>
          <cell r="J89">
            <v>4.7619773445376934E-6</v>
          </cell>
        </row>
        <row r="90">
          <cell r="A90" t="str">
            <v>NGA</v>
          </cell>
          <cell r="B90" t="str">
            <v>VAR_fin</v>
          </cell>
          <cell r="C90" t="str">
            <v>D-CNGA</v>
          </cell>
          <cell r="H90">
            <v>3.9472171152074482</v>
          </cell>
          <cell r="I90">
            <v>11.819604777119084</v>
          </cell>
          <cell r="J90">
            <v>13.315233142425013</v>
          </cell>
        </row>
        <row r="91">
          <cell r="A91" t="str">
            <v>NGA</v>
          </cell>
          <cell r="B91" t="str">
            <v>VAR_fin</v>
          </cell>
          <cell r="C91" t="str">
            <v>D-TNGA</v>
          </cell>
          <cell r="E91">
            <v>0.17612271696374596</v>
          </cell>
          <cell r="F91">
            <v>2.7687561142397371E-2</v>
          </cell>
          <cell r="G91">
            <v>1.9465367976127002</v>
          </cell>
          <cell r="H91">
            <v>6.5206390194906927</v>
          </cell>
          <cell r="I91">
            <v>0.68500743805098696</v>
          </cell>
          <cell r="J91">
            <v>1.0426439658796138</v>
          </cell>
        </row>
        <row r="92">
          <cell r="A92" t="str">
            <v>NGA</v>
          </cell>
          <cell r="B92" t="str">
            <v>VAR_fin</v>
          </cell>
          <cell r="C92" t="str">
            <v>D-SNGA</v>
          </cell>
          <cell r="E92">
            <v>26.974948933273833</v>
          </cell>
          <cell r="F92">
            <v>23.799363471683542</v>
          </cell>
          <cell r="G92">
            <v>27.027388399697355</v>
          </cell>
          <cell r="H92">
            <v>27.303342645882893</v>
          </cell>
          <cell r="I92">
            <v>21.036643152455184</v>
          </cell>
          <cell r="J92">
            <v>10.157865191659516</v>
          </cell>
        </row>
        <row r="93">
          <cell r="A93" t="str">
            <v>NGA</v>
          </cell>
          <cell r="B93" t="str">
            <v>VAR_fin</v>
          </cell>
          <cell r="C93" t="str">
            <v>D-RNGA</v>
          </cell>
          <cell r="E93">
            <v>46.977397494973694</v>
          </cell>
          <cell r="F93">
            <v>44.486482117620206</v>
          </cell>
          <cell r="G93">
            <v>48.71577677334939</v>
          </cell>
          <cell r="H93">
            <v>49.473012139853338</v>
          </cell>
          <cell r="I93">
            <v>40.23282087246865</v>
          </cell>
          <cell r="J93">
            <v>26.576068818808213</v>
          </cell>
        </row>
        <row r="94">
          <cell r="A94" t="str">
            <v>NGA</v>
          </cell>
          <cell r="B94" t="str">
            <v>VAR_fin</v>
          </cell>
          <cell r="C94" t="str">
            <v>D-INGA</v>
          </cell>
          <cell r="E94">
            <v>37.252504008981326</v>
          </cell>
          <cell r="F94">
            <v>31.596467811120835</v>
          </cell>
          <cell r="G94">
            <v>31.680589423806662</v>
          </cell>
          <cell r="H94">
            <v>21.119748414344112</v>
          </cell>
          <cell r="I94">
            <v>9.434464286853661</v>
          </cell>
          <cell r="J94">
            <v>2.4405621111582296</v>
          </cell>
        </row>
        <row r="95">
          <cell r="A95" t="str">
            <v>CO2</v>
          </cell>
          <cell r="B95" t="str">
            <v>VAR_fout</v>
          </cell>
          <cell r="C95" t="str">
            <v>D-ENGA</v>
          </cell>
          <cell r="E95">
            <v>311.00831307751702</v>
          </cell>
          <cell r="F95">
            <v>2.38916691470525E-4</v>
          </cell>
          <cell r="G95">
            <v>4.4872429475776103</v>
          </cell>
          <cell r="H95">
            <v>33.262844494170302</v>
          </cell>
          <cell r="I95">
            <v>28.3526221287187</v>
          </cell>
          <cell r="J95">
            <v>2.6857552223192601E-4</v>
          </cell>
        </row>
        <row r="96">
          <cell r="A96" t="str">
            <v>CO2</v>
          </cell>
          <cell r="B96" t="str">
            <v>VAR_fout</v>
          </cell>
          <cell r="C96" t="str">
            <v>D-ILFO</v>
          </cell>
          <cell r="E96">
            <v>688.71827594085198</v>
          </cell>
          <cell r="F96">
            <v>664.67889695091503</v>
          </cell>
          <cell r="G96">
            <v>593.94754651345295</v>
          </cell>
          <cell r="H96">
            <v>507.08297784456101</v>
          </cell>
          <cell r="I96">
            <v>219.807407313564</v>
          </cell>
          <cell r="J96">
            <v>5.9165691871987901E-4</v>
          </cell>
        </row>
        <row r="97">
          <cell r="A97" t="str">
            <v>CO2</v>
          </cell>
          <cell r="B97" t="str">
            <v>VAR_fout</v>
          </cell>
          <cell r="C97" t="str">
            <v>D-CNGA</v>
          </cell>
          <cell r="H97">
            <v>222.6230452977</v>
          </cell>
          <cell r="I97">
            <v>666.62570942951595</v>
          </cell>
          <cell r="J97">
            <v>750.97914923277006</v>
          </cell>
        </row>
        <row r="98">
          <cell r="A98" t="str">
            <v>CO2</v>
          </cell>
          <cell r="B98" t="str">
            <v>VAR_fout</v>
          </cell>
          <cell r="C98" t="str">
            <v>D-TNGA</v>
          </cell>
          <cell r="E98">
            <v>9.9333212367552708</v>
          </cell>
          <cell r="F98">
            <v>1.5615784484312101</v>
          </cell>
          <cell r="G98">
            <v>109.784675385356</v>
          </cell>
          <cell r="H98">
            <v>367.76404069927497</v>
          </cell>
          <cell r="I98">
            <v>38.634419506075602</v>
          </cell>
          <cell r="J98">
            <v>58.8051196756102</v>
          </cell>
        </row>
        <row r="99">
          <cell r="A99" t="str">
            <v>CO2</v>
          </cell>
          <cell r="B99" t="str">
            <v>VAR_fout</v>
          </cell>
          <cell r="C99" t="str">
            <v>D-SNGA</v>
          </cell>
          <cell r="E99">
            <v>1521.3871198366401</v>
          </cell>
          <cell r="F99">
            <v>1342.2840998029501</v>
          </cell>
          <cell r="G99">
            <v>1524.34470574293</v>
          </cell>
          <cell r="H99">
            <v>1539.9085252277901</v>
          </cell>
          <cell r="I99">
            <v>1186.4666737984701</v>
          </cell>
          <cell r="J99">
            <v>572.90359680959602</v>
          </cell>
        </row>
        <row r="100">
          <cell r="A100" t="str">
            <v>CO2</v>
          </cell>
          <cell r="B100" t="str">
            <v>VAR_fout</v>
          </cell>
          <cell r="C100" t="str">
            <v>D-RNGA</v>
          </cell>
          <cell r="E100">
            <v>2649.5252187165202</v>
          </cell>
          <cell r="F100">
            <v>2509.0375914337801</v>
          </cell>
          <cell r="G100">
            <v>2747.5698100169102</v>
          </cell>
          <cell r="H100">
            <v>2790.27788468773</v>
          </cell>
          <cell r="I100">
            <v>2269.1310972072301</v>
          </cell>
          <cell r="J100">
            <v>1498.8902813807799</v>
          </cell>
        </row>
        <row r="101">
          <cell r="A101" t="str">
            <v>CO2</v>
          </cell>
          <cell r="B101" t="str">
            <v>VAR_fout</v>
          </cell>
          <cell r="C101" t="str">
            <v>SUP_WSTHTGBIOCCS</v>
          </cell>
          <cell r="I101">
            <v>-7.2852729639131801E-5</v>
          </cell>
          <cell r="J101">
            <v>-1.37996559068313E-4</v>
          </cell>
        </row>
        <row r="102">
          <cell r="A102" t="str">
            <v>CO2</v>
          </cell>
          <cell r="B102" t="str">
            <v>VAR_fout</v>
          </cell>
          <cell r="C102" t="str">
            <v>D-SLFO</v>
          </cell>
          <cell r="E102">
            <v>2267.7886207963902</v>
          </cell>
          <cell r="F102">
            <v>1816.7874292189599</v>
          </cell>
          <cell r="G102">
            <v>2001.6798293490399</v>
          </cell>
          <cell r="H102">
            <v>1462.84780444999</v>
          </cell>
          <cell r="I102">
            <v>636.86916967478396</v>
          </cell>
          <cell r="J102">
            <v>3.8781890345629599E-3</v>
          </cell>
        </row>
        <row r="103">
          <cell r="A103" t="str">
            <v>CO2</v>
          </cell>
          <cell r="B103" t="str">
            <v>VAR_fout</v>
          </cell>
          <cell r="C103" t="str">
            <v>D-RLFO</v>
          </cell>
          <cell r="E103">
            <v>4514.4818909444402</v>
          </cell>
          <cell r="F103">
            <v>4127.0322115123899</v>
          </cell>
          <cell r="G103">
            <v>3965.8858428804201</v>
          </cell>
          <cell r="H103">
            <v>2886.9356774462199</v>
          </cell>
          <cell r="I103">
            <v>1505.71992282121</v>
          </cell>
          <cell r="J103">
            <v>3.5436563666100701E-3</v>
          </cell>
        </row>
        <row r="104">
          <cell r="A104" t="str">
            <v>CO2</v>
          </cell>
          <cell r="B104" t="str">
            <v>VAR_fout</v>
          </cell>
          <cell r="C104" t="str">
            <v>D-TGSL</v>
          </cell>
          <cell r="E104">
            <v>5888.0454966771604</v>
          </cell>
          <cell r="F104">
            <v>6116.87704005459</v>
          </cell>
          <cell r="G104">
            <v>5568.7548531049097</v>
          </cell>
          <cell r="H104">
            <v>3033.51259412016</v>
          </cell>
          <cell r="I104">
            <v>434.56672789082199</v>
          </cell>
          <cell r="J104">
            <v>81.064757229414894</v>
          </cell>
        </row>
        <row r="105">
          <cell r="A105" t="str">
            <v>CO2</v>
          </cell>
          <cell r="B105" t="str">
            <v>VAR_fout</v>
          </cell>
          <cell r="C105" t="str">
            <v>SUP_WODH2CCS</v>
          </cell>
          <cell r="J105">
            <v>-1026.0864650639601</v>
          </cell>
        </row>
        <row r="106">
          <cell r="A106" t="str">
            <v>CO2</v>
          </cell>
          <cell r="B106" t="str">
            <v>VAR_fout</v>
          </cell>
          <cell r="C106" t="str">
            <v>SUP_WODBIOCCS</v>
          </cell>
          <cell r="I106">
            <v>-4.3214094529246103E-4</v>
          </cell>
          <cell r="J106">
            <v>-6.7511282437375899E-4</v>
          </cell>
        </row>
        <row r="107">
          <cell r="A107" t="str">
            <v>CO2</v>
          </cell>
          <cell r="B107" t="str">
            <v>VAR_fout</v>
          </cell>
          <cell r="C107" t="str">
            <v>SUP_NGAH2CCS</v>
          </cell>
          <cell r="I107">
            <v>-3.0119345793142901E-3</v>
          </cell>
          <cell r="J107">
            <v>-679.39785056544804</v>
          </cell>
        </row>
        <row r="108">
          <cell r="A108" t="str">
            <v>CO2</v>
          </cell>
          <cell r="B108" t="str">
            <v>VAR_fout</v>
          </cell>
          <cell r="C108" t="str">
            <v>CT_CWODETHCCS</v>
          </cell>
          <cell r="J108">
            <v>-3.2618155918959999E-5</v>
          </cell>
        </row>
        <row r="109">
          <cell r="A109" t="str">
            <v>CO2</v>
          </cell>
          <cell r="B109" t="str">
            <v>VAR_fout</v>
          </cell>
          <cell r="C109" t="str">
            <v>D-INGA</v>
          </cell>
          <cell r="E109">
            <v>2101.0412261065499</v>
          </cell>
          <cell r="F109">
            <v>1782.04078454722</v>
          </cell>
          <cell r="G109">
            <v>1786.78524350269</v>
          </cell>
          <cell r="H109">
            <v>1191.1538105690099</v>
          </cell>
          <cell r="I109">
            <v>532.10378577854704</v>
          </cell>
          <cell r="J109">
            <v>137.647703069324</v>
          </cell>
        </row>
        <row r="110">
          <cell r="A110" t="str">
            <v>CO2</v>
          </cell>
          <cell r="B110" t="str">
            <v>VAR_fout</v>
          </cell>
          <cell r="C110" t="str">
            <v>SUP_DAC</v>
          </cell>
          <cell r="I110">
            <v>-9.4445211627684297E-5</v>
          </cell>
          <cell r="J110">
            <v>-5.8692946248147101E-4</v>
          </cell>
        </row>
        <row r="111">
          <cell r="A111" t="str">
            <v>CO2</v>
          </cell>
          <cell r="B111" t="str">
            <v>VAR_fout</v>
          </cell>
          <cell r="C111" t="str">
            <v>CT_CWODBDSCCS</v>
          </cell>
          <cell r="I111">
            <v>-8.6380977129897998E-4</v>
          </cell>
          <cell r="J111">
            <v>-638.45382128528195</v>
          </cell>
        </row>
        <row r="112">
          <cell r="A112" t="str">
            <v>ENGA</v>
          </cell>
          <cell r="B112" t="str">
            <v>VAR_fout</v>
          </cell>
          <cell r="C112" t="str">
            <v>D-ENGA</v>
          </cell>
          <cell r="E112">
            <v>5.6937346261241686</v>
          </cell>
          <cell r="F112">
            <v>4.9770299894012389E-6</v>
          </cell>
          <cell r="G112">
            <v>9.9166975163520965E-2</v>
          </cell>
          <cell r="H112">
            <v>0.58790381979441808</v>
          </cell>
          <cell r="I112">
            <v>0.50112184631734702</v>
          </cell>
          <cell r="J112">
            <v>3.9552773985107363E-2</v>
          </cell>
        </row>
        <row r="113">
          <cell r="A113" t="str">
            <v>ILFO</v>
          </cell>
          <cell r="B113" t="str">
            <v>VAR_fout</v>
          </cell>
          <cell r="C113" t="str">
            <v>D-ILFO</v>
          </cell>
          <cell r="E113">
            <v>9.1888178847153466</v>
          </cell>
          <cell r="F113">
            <v>8.8680866317245339</v>
          </cell>
          <cell r="G113">
            <v>7.9243973889516308</v>
          </cell>
          <cell r="H113">
            <v>7.0042822853548596</v>
          </cell>
          <cell r="I113">
            <v>3.1714773006048742</v>
          </cell>
          <cell r="J113">
            <v>0.23883447896582807</v>
          </cell>
        </row>
        <row r="114">
          <cell r="A114" t="str">
            <v>CHEAT</v>
          </cell>
          <cell r="B114" t="str">
            <v>VAR_fout</v>
          </cell>
          <cell r="C114" t="str">
            <v>D-CHEAT</v>
          </cell>
          <cell r="I114">
            <v>1.6992328783531019E-5</v>
          </cell>
          <cell r="J114">
            <v>9.179956234209348E-6</v>
          </cell>
        </row>
        <row r="115">
          <cell r="A115" t="str">
            <v>CHEAT</v>
          </cell>
          <cell r="B115" t="str">
            <v>VAR_fin</v>
          </cell>
          <cell r="C115" t="str">
            <v>SUP_ELCH2_SOEC</v>
          </cell>
          <cell r="I115">
            <v>1.6364345540314817E-5</v>
          </cell>
          <cell r="J115">
            <v>5.4390025454749993E-6</v>
          </cell>
        </row>
        <row r="116">
          <cell r="A116" t="str">
            <v>CHEAT</v>
          </cell>
          <cell r="B116" t="str">
            <v>VAR_fin</v>
          </cell>
          <cell r="C116" t="str">
            <v>SUP_DAC</v>
          </cell>
          <cell r="I116">
            <v>6.2798324321620977E-7</v>
          </cell>
          <cell r="J116">
            <v>3.7409536887343564E-6</v>
          </cell>
        </row>
        <row r="117">
          <cell r="A117" t="str">
            <v>TDSL</v>
          </cell>
          <cell r="B117" t="str">
            <v>VAR_fout</v>
          </cell>
          <cell r="C117" t="str">
            <v>D-TBDS1</v>
          </cell>
          <cell r="E117">
            <v>2.9709285743637874</v>
          </cell>
          <cell r="F117">
            <v>2.9709284620297085</v>
          </cell>
          <cell r="G117">
            <v>3.0535515830619491</v>
          </cell>
          <cell r="H117">
            <v>2.631922591270198</v>
          </cell>
          <cell r="I117">
            <v>1.1885441493258249</v>
          </cell>
          <cell r="J117">
            <v>27.378769038308803</v>
          </cell>
        </row>
        <row r="118">
          <cell r="A118" t="str">
            <v>CNGA</v>
          </cell>
          <cell r="B118" t="str">
            <v>VAR_fout</v>
          </cell>
          <cell r="C118" t="str">
            <v>D-CNGA</v>
          </cell>
          <cell r="H118">
            <v>3.9346592782893177</v>
          </cell>
          <cell r="I118">
            <v>11.781984112220243</v>
          </cell>
          <cell r="J118">
            <v>13.534903137655753</v>
          </cell>
        </row>
        <row r="119">
          <cell r="A119" t="str">
            <v>CNGA</v>
          </cell>
          <cell r="B119" t="str">
            <v>VAR_fin</v>
          </cell>
          <cell r="C119" t="str">
            <v>SUP_NGAH2</v>
          </cell>
          <cell r="H119">
            <v>3.9346592782893177</v>
          </cell>
          <cell r="I119">
            <v>11.781924108742286</v>
          </cell>
          <cell r="J119">
            <v>1.9032482080424116E-6</v>
          </cell>
        </row>
        <row r="120">
          <cell r="A120" t="str">
            <v>CNGA</v>
          </cell>
          <cell r="B120" t="str">
            <v>VAR_fin</v>
          </cell>
          <cell r="C120" t="str">
            <v>SUP_NGAH2CCS</v>
          </cell>
          <cell r="I120">
            <v>6.0003477952711203E-5</v>
          </cell>
          <cell r="J120">
            <v>13.534900202515123</v>
          </cell>
        </row>
        <row r="121">
          <cell r="A121" t="str">
            <v>LBIO</v>
          </cell>
          <cell r="B121" t="str">
            <v>VAR_fin</v>
          </cell>
          <cell r="C121" t="str">
            <v>D-LBIO</v>
          </cell>
          <cell r="H121">
            <v>3.9920783311961319E-5</v>
          </cell>
          <cell r="I121">
            <v>0.44033754325307073</v>
          </cell>
          <cell r="J121">
            <v>2.135689199968009</v>
          </cell>
        </row>
        <row r="122">
          <cell r="A122" t="str">
            <v>H2_E</v>
          </cell>
          <cell r="B122" t="str">
            <v>VAR_fout</v>
          </cell>
          <cell r="C122" t="str">
            <v>SUP_ELCH2_D</v>
          </cell>
          <cell r="H122">
            <v>1.3714481276921207E-6</v>
          </cell>
          <cell r="I122">
            <v>1.5222618563056326E-4</v>
          </cell>
          <cell r="J122">
            <v>1.6189852904304611E-4</v>
          </cell>
        </row>
        <row r="123">
          <cell r="A123" t="str">
            <v>H2_E</v>
          </cell>
          <cell r="B123" t="str">
            <v>VAR_fin</v>
          </cell>
          <cell r="C123" t="str">
            <v>D-DH2</v>
          </cell>
          <cell r="H123">
            <v>1.3714481276921209E-6</v>
          </cell>
          <cell r="I123">
            <v>1.5222618563056326E-4</v>
          </cell>
          <cell r="J123">
            <v>1.6189852904304611E-4</v>
          </cell>
        </row>
        <row r="124">
          <cell r="A124" t="str">
            <v>BNGA</v>
          </cell>
          <cell r="B124" t="str">
            <v>VAR_fout</v>
          </cell>
          <cell r="C124" t="str">
            <v>SUP_BIONGA</v>
          </cell>
          <cell r="E124">
            <v>1.1764706341947189</v>
          </cell>
          <cell r="F124">
            <v>5.2926466924452811</v>
          </cell>
          <cell r="G124">
            <v>4.9220189355994028</v>
          </cell>
          <cell r="H124">
            <v>4.3043571244421583</v>
          </cell>
          <cell r="I124">
            <v>4.3043653805147857</v>
          </cell>
          <cell r="J124">
            <v>4.3428548416204498</v>
          </cell>
        </row>
        <row r="125">
          <cell r="A125" t="str">
            <v>BNGA</v>
          </cell>
          <cell r="B125" t="str">
            <v>VAR_fin</v>
          </cell>
          <cell r="C125" t="str">
            <v>D-ENGA</v>
          </cell>
          <cell r="E125">
            <v>0.19759215013545572</v>
          </cell>
          <cell r="G125">
            <v>1.9871877785964359E-2</v>
          </cell>
          <cell r="H125">
            <v>9.5493288278667382E-6</v>
          </cell>
          <cell r="I125">
            <v>1.2296470515860761E-5</v>
          </cell>
          <cell r="J125">
            <v>3.8489983888596813E-2</v>
          </cell>
        </row>
        <row r="126">
          <cell r="A126" t="str">
            <v>BNGA</v>
          </cell>
          <cell r="B126" t="str">
            <v>VAR_fin</v>
          </cell>
          <cell r="C126" t="str">
            <v>D-CNGA</v>
          </cell>
          <cell r="H126">
            <v>8.8441225169291482E-6</v>
          </cell>
          <cell r="I126">
            <v>1.3094416669283962E-5</v>
          </cell>
          <cell r="J126">
            <v>1.6601050048279539E-5</v>
          </cell>
        </row>
        <row r="127">
          <cell r="A127" t="str">
            <v>BNGA</v>
          </cell>
          <cell r="B127" t="str">
            <v>VAR_fin</v>
          </cell>
          <cell r="C127" t="str">
            <v>D-TNGA</v>
          </cell>
          <cell r="E127">
            <v>1.4360861532951037E-2</v>
          </cell>
          <cell r="F127">
            <v>5.39401591264713E-3</v>
          </cell>
          <cell r="G127">
            <v>0.14019038678734774</v>
          </cell>
          <cell r="H127">
            <v>8.9705208759156252E-6</v>
          </cell>
          <cell r="I127">
            <v>1.0434241535343997E-5</v>
          </cell>
          <cell r="J127">
            <v>1.5306080758367047E-5</v>
          </cell>
        </row>
        <row r="128">
          <cell r="A128" t="str">
            <v>BNGA</v>
          </cell>
          <cell r="B128" t="str">
            <v>VAR_fin</v>
          </cell>
          <cell r="C128" t="str">
            <v>D-SNGA</v>
          </cell>
          <cell r="E128">
            <v>0.31244464057600857</v>
          </cell>
          <cell r="F128">
            <v>4.7799253250087865</v>
          </cell>
          <cell r="G128">
            <v>0.45762873700201279</v>
          </cell>
          <cell r="H128">
            <v>9.0092723482042539E-6</v>
          </cell>
          <cell r="I128">
            <v>1.3248224571163072E-5</v>
          </cell>
          <cell r="J128">
            <v>1.8201096387667491E-5</v>
          </cell>
        </row>
        <row r="129">
          <cell r="A129" t="str">
            <v>BNGA</v>
          </cell>
          <cell r="B129" t="str">
            <v>VAR_fin</v>
          </cell>
          <cell r="C129" t="str">
            <v>D-RNGA</v>
          </cell>
          <cell r="E129">
            <v>0.31824198117403046</v>
          </cell>
          <cell r="F129">
            <v>0.18391569924136708</v>
          </cell>
          <cell r="G129">
            <v>0.18391561376397325</v>
          </cell>
          <cell r="H129">
            <v>0.18391562640288062</v>
          </cell>
          <cell r="I129">
            <v>0.18391568250544443</v>
          </cell>
          <cell r="J129">
            <v>0.18391568337492423</v>
          </cell>
        </row>
        <row r="130">
          <cell r="A130" t="str">
            <v>BNGA</v>
          </cell>
          <cell r="B130" t="str">
            <v>VAR_fin</v>
          </cell>
          <cell r="C130" t="str">
            <v>D-INGA</v>
          </cell>
          <cell r="E130">
            <v>0.3338314764178193</v>
          </cell>
          <cell r="F130">
            <v>0.32341647660616951</v>
          </cell>
          <cell r="G130">
            <v>4.120415639966053</v>
          </cell>
          <cell r="H130">
            <v>4.1204157437109963</v>
          </cell>
          <cell r="I130">
            <v>4.1204158576262282</v>
          </cell>
          <cell r="J130">
            <v>4.1204142601882392</v>
          </cell>
        </row>
        <row r="131">
          <cell r="A131" t="str">
            <v>LFO</v>
          </cell>
          <cell r="B131" t="str">
            <v>VAR_fin</v>
          </cell>
          <cell r="C131" t="str">
            <v>D-ILFO</v>
          </cell>
          <cell r="E131">
            <v>9.3448884116804916</v>
          </cell>
          <cell r="F131">
            <v>9.0187095922783609</v>
          </cell>
          <cell r="G131">
            <v>8.058989776301944</v>
          </cell>
          <cell r="H131">
            <v>6.880366049451295</v>
          </cell>
          <cell r="I131">
            <v>2.9824614289493097</v>
          </cell>
          <cell r="J131">
            <v>8.0279093449101706E-6</v>
          </cell>
        </row>
        <row r="132">
          <cell r="A132" t="str">
            <v>LFO</v>
          </cell>
          <cell r="B132" t="str">
            <v>VAR_fin</v>
          </cell>
          <cell r="C132" t="str">
            <v>D-SLFO</v>
          </cell>
          <cell r="E132">
            <v>30.770537595609031</v>
          </cell>
          <cell r="F132">
            <v>24.651118442591006</v>
          </cell>
          <cell r="G132">
            <v>27.159834862266461</v>
          </cell>
          <cell r="H132">
            <v>19.848681200135601</v>
          </cell>
          <cell r="I132">
            <v>8.6413727228600337</v>
          </cell>
          <cell r="J132">
            <v>5.2621289478466185E-5</v>
          </cell>
        </row>
        <row r="133">
          <cell r="A133" t="str">
            <v>LFO</v>
          </cell>
          <cell r="B133" t="str">
            <v>VAR_fin</v>
          </cell>
          <cell r="C133" t="str">
            <v>D-RLFO</v>
          </cell>
          <cell r="E133">
            <v>61.254842482285333</v>
          </cell>
          <cell r="F133">
            <v>55.997723358377144</v>
          </cell>
          <cell r="G133">
            <v>53.811205466491359</v>
          </cell>
          <cell r="H133">
            <v>39.171447455172661</v>
          </cell>
          <cell r="I133">
            <v>20.430392439907873</v>
          </cell>
          <cell r="J133">
            <v>4.8082175937721387E-5</v>
          </cell>
        </row>
        <row r="134">
          <cell r="A134" t="str">
            <v>MNR</v>
          </cell>
          <cell r="B134" t="str">
            <v>VAR_fin</v>
          </cell>
          <cell r="C134" t="str">
            <v>SUP_MNRBIO</v>
          </cell>
          <cell r="E134">
            <v>3.798080370907138</v>
          </cell>
          <cell r="F134">
            <v>14.280049525713892</v>
          </cell>
          <cell r="G134">
            <v>15.340044949868057</v>
          </cell>
          <cell r="H134">
            <v>17.10655793281105</v>
          </cell>
          <cell r="I134">
            <v>17.106559116780588</v>
          </cell>
          <cell r="J134">
            <v>26.999999924603937</v>
          </cell>
        </row>
        <row r="135">
          <cell r="A135" t="str">
            <v>TNGA</v>
          </cell>
          <cell r="B135" t="str">
            <v>VAR_fout</v>
          </cell>
          <cell r="C135" t="str">
            <v>D-TNGA</v>
          </cell>
          <cell r="E135">
            <v>0.18987798218204949</v>
          </cell>
          <cell r="F135">
            <v>3.3376953759721308E-2</v>
          </cell>
          <cell r="G135">
            <v>2.0836085555569253</v>
          </cell>
          <cell r="H135">
            <v>6.4999216856638258</v>
          </cell>
          <cell r="I135">
            <v>0.68284725040636063</v>
          </cell>
          <cell r="J135">
            <v>1.0570621175803776</v>
          </cell>
        </row>
        <row r="136">
          <cell r="A136" t="str">
            <v>WOD</v>
          </cell>
          <cell r="B136" t="str">
            <v>VAR_fin</v>
          </cell>
          <cell r="C136" t="str">
            <v>D-CWOD</v>
          </cell>
          <cell r="E136">
            <v>8.6478679801715277</v>
          </cell>
          <cell r="F136">
            <v>8.2972588965478487</v>
          </cell>
          <cell r="G136">
            <v>9.4350188067786096</v>
          </cell>
          <cell r="H136">
            <v>8.4404254803716068</v>
          </cell>
          <cell r="I136">
            <v>9.3108026533362942</v>
          </cell>
          <cell r="J136">
            <v>29.239875883129621</v>
          </cell>
        </row>
        <row r="137">
          <cell r="A137" t="str">
            <v>GSL</v>
          </cell>
          <cell r="B137" t="str">
            <v>VAR_fout</v>
          </cell>
          <cell r="C137" t="str">
            <v>SUP_H2GSL</v>
          </cell>
          <cell r="I137">
            <v>5.33058008534367E-6</v>
          </cell>
          <cell r="J137">
            <v>0.29414956502129747</v>
          </cell>
        </row>
        <row r="138">
          <cell r="A138" t="str">
            <v>GSL</v>
          </cell>
          <cell r="B138" t="str">
            <v>VAR_fin</v>
          </cell>
          <cell r="C138" t="str">
            <v>D-TGSL</v>
          </cell>
          <cell r="E138">
            <v>79.783814318118615</v>
          </cell>
          <cell r="F138">
            <v>82.884512737867098</v>
          </cell>
          <cell r="G138">
            <v>75.457382833399805</v>
          </cell>
          <cell r="H138">
            <v>41.104506695395131</v>
          </cell>
          <cell r="I138">
            <v>5.8884380473011184</v>
          </cell>
          <cell r="J138">
            <v>1.0984384448430211</v>
          </cell>
        </row>
        <row r="139">
          <cell r="A139" t="str">
            <v>IBIO</v>
          </cell>
          <cell r="B139" t="str">
            <v>VAR_fout</v>
          </cell>
          <cell r="C139" t="str">
            <v>D-IBIO</v>
          </cell>
          <cell r="E139">
            <v>0.43672378987796473</v>
          </cell>
          <cell r="F139">
            <v>0.55206475024979285</v>
          </cell>
          <cell r="G139">
            <v>1.8983995290829139</v>
          </cell>
          <cell r="H139">
            <v>4.3164937204135194</v>
          </cell>
          <cell r="I139">
            <v>4.3164942636794938</v>
          </cell>
          <cell r="J139">
            <v>4.3164942936805852</v>
          </cell>
        </row>
        <row r="140">
          <cell r="A140" t="str">
            <v>SNGA</v>
          </cell>
          <cell r="B140" t="str">
            <v>VAR_fout</v>
          </cell>
          <cell r="C140" t="str">
            <v>D-SNGA</v>
          </cell>
          <cell r="E140">
            <v>27.200498329082659</v>
          </cell>
          <cell r="F140">
            <v>28.488279580713559</v>
          </cell>
          <cell r="G140">
            <v>27.398059068473025</v>
          </cell>
          <cell r="H140">
            <v>27.216403092614016</v>
          </cell>
          <cell r="I140">
            <v>20.969658370161532</v>
          </cell>
          <cell r="J140">
            <v>10.308407198230885</v>
          </cell>
        </row>
        <row r="141">
          <cell r="A141" t="str">
            <v>AUX_H2STG_IN</v>
          </cell>
          <cell r="B141" t="str">
            <v>VAR_fin</v>
          </cell>
          <cell r="C141" t="str">
            <v>STG-H2</v>
          </cell>
          <cell r="H141">
            <v>1.205989448484266E-7</v>
          </cell>
          <cell r="I141">
            <v>3.4160719598659236E-7</v>
          </cell>
          <cell r="J141">
            <v>3.5529295959919152E-7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4.5058886009233946E-7</v>
          </cell>
          <cell r="I142">
            <v>1.3558034436092698E-6</v>
          </cell>
          <cell r="J142">
            <v>2.5104719842540018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8.6222090757991889E-8</v>
          </cell>
          <cell r="I143">
            <v>1.8861310411344641E-7</v>
          </cell>
          <cell r="J143">
            <v>3.2579560649903932E-7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1.1645883796447743E-7</v>
          </cell>
          <cell r="I144">
            <v>3.539786361557409E-7</v>
          </cell>
          <cell r="J144">
            <v>3.3438505202903795E-7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1.2730898652144361E-7</v>
          </cell>
          <cell r="I145">
            <v>4.7160450735349121E-7</v>
          </cell>
          <cell r="J145">
            <v>2.5104709687803797</v>
          </cell>
        </row>
        <row r="146">
          <cell r="A146" t="str">
            <v>H2</v>
          </cell>
          <cell r="B146" t="str">
            <v>VAR_fout</v>
          </cell>
          <cell r="C146" t="str">
            <v>SUP_NGAH2</v>
          </cell>
          <cell r="H146">
            <v>2.9903410514998781</v>
          </cell>
          <cell r="I146">
            <v>8.9542623226441407</v>
          </cell>
          <cell r="J146">
            <v>4.4521824919709489E-7</v>
          </cell>
        </row>
        <row r="147">
          <cell r="A147" t="str">
            <v>H2</v>
          </cell>
          <cell r="B147" t="str">
            <v>VAR_fout</v>
          </cell>
          <cell r="C147" t="str">
            <v>STG-H2</v>
          </cell>
          <cell r="H147">
            <v>9.8964529743911078E-8</v>
          </cell>
          <cell r="I147">
            <v>2.916701603070024E-7</v>
          </cell>
          <cell r="J147">
            <v>0.24767687369211527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4.459823317216444E-7</v>
          </cell>
          <cell r="I148">
            <v>1.3427541670813507E-6</v>
          </cell>
          <cell r="J148">
            <v>2.4853687663024124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1.441015881586603E-7</v>
          </cell>
          <cell r="I149">
            <v>5.2791586336490127E-7</v>
          </cell>
          <cell r="J149">
            <v>2.0962959927614717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9.9211772368016065E-8</v>
          </cell>
          <cell r="I150">
            <v>2.8807216746095118E-7</v>
          </cell>
          <cell r="J150">
            <v>0.14139504702245356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1.0370444145105615E-7</v>
          </cell>
          <cell r="I151">
            <v>2.3509597594849518E-7</v>
          </cell>
          <cell r="J151">
            <v>8.5282637323857887E-7</v>
          </cell>
        </row>
        <row r="152">
          <cell r="A152" t="str">
            <v>H2</v>
          </cell>
          <cell r="B152" t="str">
            <v>VAR_fout</v>
          </cell>
          <cell r="C152" t="str">
            <v>IMPH2</v>
          </cell>
          <cell r="I152">
            <v>0.16845214574394482</v>
          </cell>
          <cell r="J152">
            <v>0.16845191554830247</v>
          </cell>
        </row>
        <row r="153">
          <cell r="A153" t="str">
            <v>H2</v>
          </cell>
          <cell r="B153" t="str">
            <v>VAR_fout</v>
          </cell>
          <cell r="C153" t="str">
            <v>SUP_WODH2</v>
          </cell>
          <cell r="J153">
            <v>1.742600821196612E-7</v>
          </cell>
        </row>
        <row r="154">
          <cell r="A154" t="str">
            <v>H2</v>
          </cell>
          <cell r="B154" t="str">
            <v>VAR_fout</v>
          </cell>
          <cell r="C154" t="str">
            <v>SUP_ELCH2_SOEC</v>
          </cell>
          <cell r="I154">
            <v>1.095152355390299E-4</v>
          </cell>
          <cell r="J154">
            <v>4.8951022909275049E-5</v>
          </cell>
        </row>
        <row r="155">
          <cell r="A155" t="str">
            <v>H2</v>
          </cell>
          <cell r="B155" t="str">
            <v>VAR_fout</v>
          </cell>
          <cell r="C155" t="str">
            <v>SUP_WODH2CCS</v>
          </cell>
          <cell r="J155">
            <v>5.9040689458045357</v>
          </cell>
        </row>
        <row r="156">
          <cell r="A156" t="str">
            <v>H2</v>
          </cell>
          <cell r="B156" t="str">
            <v>VAR_fout</v>
          </cell>
          <cell r="C156" t="str">
            <v>SUP_NGAH2CCS</v>
          </cell>
          <cell r="I156">
            <v>4.1402399787370751E-5</v>
          </cell>
          <cell r="J156">
            <v>9.3390811397354252</v>
          </cell>
        </row>
        <row r="157">
          <cell r="A157" t="str">
            <v>H2</v>
          </cell>
          <cell r="B157" t="str">
            <v>VAR_fout</v>
          </cell>
          <cell r="C157" t="str">
            <v>SUP_ELCH2</v>
          </cell>
          <cell r="E157">
            <v>4.045821599421036E-3</v>
          </cell>
          <cell r="F157">
            <v>2.940184298175667E-2</v>
          </cell>
          <cell r="G157">
            <v>2.9401947282015114E-2</v>
          </cell>
          <cell r="H157">
            <v>2.940009365424933E-2</v>
          </cell>
          <cell r="I157">
            <v>1.493271311564806</v>
          </cell>
          <cell r="J157">
            <v>6.6711508683137817</v>
          </cell>
        </row>
        <row r="158">
          <cell r="A158" t="str">
            <v>H2</v>
          </cell>
          <cell r="B158" t="str">
            <v>VAR_fout</v>
          </cell>
          <cell r="C158" t="str">
            <v>D-DH2</v>
          </cell>
          <cell r="H158">
            <v>1.3577336464151997E-6</v>
          </cell>
          <cell r="I158">
            <v>1.5070392377425777E-4</v>
          </cell>
          <cell r="J158">
            <v>1.6027954375261551E-4</v>
          </cell>
        </row>
        <row r="159">
          <cell r="A159" t="str">
            <v>H2</v>
          </cell>
          <cell r="B159" t="str">
            <v>VAR_fin</v>
          </cell>
          <cell r="C159" t="str">
            <v>STG-H2</v>
          </cell>
          <cell r="H159">
            <v>1.205989448484266E-7</v>
          </cell>
          <cell r="I159">
            <v>3.4160719598659236E-7</v>
          </cell>
          <cell r="J159">
            <v>3.5529295959919152E-7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4.5058886009233946E-7</v>
          </cell>
          <cell r="I160">
            <v>1.3558034436092698E-6</v>
          </cell>
          <cell r="J160">
            <v>2.5104719842540018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8.6222090757991889E-8</v>
          </cell>
          <cell r="I161">
            <v>1.8861310411344641E-7</v>
          </cell>
          <cell r="J161">
            <v>3.2579560649903932E-7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1.1645883796447743E-7</v>
          </cell>
          <cell r="I162">
            <v>3.539786361557409E-7</v>
          </cell>
          <cell r="J162">
            <v>3.3438505202903795E-7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1.2730898652144361E-7</v>
          </cell>
          <cell r="I163">
            <v>4.7160450735349121E-7</v>
          </cell>
          <cell r="J163">
            <v>2.5104709687803797</v>
          </cell>
        </row>
        <row r="164">
          <cell r="A164" t="str">
            <v>H2</v>
          </cell>
          <cell r="B164" t="str">
            <v>VAR_fin</v>
          </cell>
          <cell r="C164" t="str">
            <v>SUP_H2NGA</v>
          </cell>
          <cell r="I164">
            <v>4.3828542876222057E-6</v>
          </cell>
          <cell r="J164">
            <v>2.7753732776217529E-5</v>
          </cell>
        </row>
        <row r="165">
          <cell r="A165" t="str">
            <v>H2</v>
          </cell>
          <cell r="B165" t="str">
            <v>VAR_fin</v>
          </cell>
          <cell r="C165" t="str">
            <v>D-ENGA</v>
          </cell>
          <cell r="G165">
            <v>5.0760917724518288E-5</v>
          </cell>
          <cell r="H165">
            <v>6.8408440778738808E-6</v>
          </cell>
          <cell r="I165">
            <v>4.8473580363008782E-6</v>
          </cell>
          <cell r="J165">
            <v>1.1859723285920663E-3</v>
          </cell>
        </row>
        <row r="166">
          <cell r="A166" t="str">
            <v>H2</v>
          </cell>
          <cell r="B166" t="str">
            <v>VAR_fin</v>
          </cell>
          <cell r="C166" t="str">
            <v>D-CNGA</v>
          </cell>
          <cell r="H166">
            <v>7.0887386272141613E-6</v>
          </cell>
          <cell r="I166">
            <v>7.6876904904147058E-6</v>
          </cell>
          <cell r="J166">
            <v>0.26289575351687522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4.0168065113190449E-4</v>
          </cell>
          <cell r="G167">
            <v>3.5276567522145954E-3</v>
          </cell>
          <cell r="H167">
            <v>7.1104260948633372E-6</v>
          </cell>
          <cell r="I167">
            <v>7.4396705748513946E-6</v>
          </cell>
          <cell r="J167">
            <v>1.7774468291138136E-2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7.6151144076338123E-6</v>
          </cell>
          <cell r="J168">
            <v>0.42021366431613993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5.683079487198286E-4</v>
          </cell>
          <cell r="H169">
            <v>7.1739385663705959E-6</v>
          </cell>
          <cell r="I169">
            <v>9.9213490435530163E-6</v>
          </cell>
          <cell r="J169">
            <v>0.18347149364591495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1.205637587259096E-3</v>
          </cell>
          <cell r="H170">
            <v>7.2239550825521131E-6</v>
          </cell>
          <cell r="I170">
            <v>1.0176398375273864E-5</v>
          </cell>
          <cell r="J170">
            <v>0.47647959494171471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1.4231426512497671E-2</v>
          </cell>
          <cell r="H171">
            <v>6.4235649730624581E-2</v>
          </cell>
          <cell r="I171">
            <v>9.764797050921971E-6</v>
          </cell>
          <cell r="J171">
            <v>0.11770584078981115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1.6189256172434631E-5</v>
          </cell>
          <cell r="J172">
            <v>0.16240681560097117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9.8964529743911078E-8</v>
          </cell>
          <cell r="I173">
            <v>2.916701603070024E-7</v>
          </cell>
          <cell r="J173">
            <v>0.24767687369211527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4.4598233172164455E-7</v>
          </cell>
          <cell r="I174">
            <v>1.3427541670813507E-6</v>
          </cell>
          <cell r="J174">
            <v>2.4853687663024124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1.4410158815866046E-7</v>
          </cell>
          <cell r="I175">
            <v>5.2791586336490127E-7</v>
          </cell>
          <cell r="J175">
            <v>2.0962959927614717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9.921177236801625E-8</v>
          </cell>
          <cell r="I176">
            <v>2.8807216746095118E-7</v>
          </cell>
          <cell r="J176">
            <v>0.14139504702245367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1.0370444145105615E-7</v>
          </cell>
          <cell r="I177">
            <v>2.3509597594849531E-7</v>
          </cell>
          <cell r="J177">
            <v>8.5282637323858141E-7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47.145029042887558</v>
          </cell>
          <cell r="F178">
            <v>44.528147325196372</v>
          </cell>
          <cell r="G178">
            <v>48.74517573148534</v>
          </cell>
          <cell r="H178">
            <v>49.498805142128909</v>
          </cell>
          <cell r="I178">
            <v>40.288041763988545</v>
          </cell>
          <cell r="J178">
            <v>27.149731034551227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8.6478679801715277</v>
          </cell>
          <cell r="F179">
            <v>8.2972588965478487</v>
          </cell>
          <cell r="G179">
            <v>9.4350188067786096</v>
          </cell>
          <cell r="H179">
            <v>8.4404254803716068</v>
          </cell>
          <cell r="I179">
            <v>9.3108026533362942</v>
          </cell>
          <cell r="J179">
            <v>29.239875883129621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2.9043347019943584E-7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6.2673564434705939E-5</v>
          </cell>
          <cell r="G181">
            <v>4.0318418899885641E-5</v>
          </cell>
          <cell r="H181">
            <v>1.391131380551594E-5</v>
          </cell>
          <cell r="I181">
            <v>8.8191721419379313E-6</v>
          </cell>
          <cell r="J181">
            <v>2.3616529777215753E-6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10.179429216904381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1.1728247781348271E-5</v>
          </cell>
          <cell r="J183">
            <v>1.713649766142113E-5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1.1402577393786744</v>
          </cell>
          <cell r="G184">
            <v>1.2605134455339022</v>
          </cell>
          <cell r="H184">
            <v>6.1064955069381079E-6</v>
          </cell>
          <cell r="I184">
            <v>1.5523858169742537E-5</v>
          </cell>
          <cell r="J184">
            <v>8.2893015850791234E-7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J185">
            <v>2.0802395356479615E-6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7.1185975572305882</v>
          </cell>
          <cell r="F186">
            <v>8.2971959845238903</v>
          </cell>
          <cell r="G186">
            <v>8.1744459548516613</v>
          </cell>
          <cell r="H186">
            <v>8.4404033234036824</v>
          </cell>
          <cell r="I186">
            <v>9.3107442271205159</v>
          </cell>
          <cell r="J186">
            <v>8.8809854017089176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0.38901268356226704</v>
          </cell>
          <cell r="G187">
            <v>1.9087067928040595E-5</v>
          </cell>
          <cell r="J187">
            <v>6.1713349884725694E-7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1.7132558487878703E-5</v>
          </cell>
          <cell r="J188">
            <v>10.179429548553607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J189">
            <v>1.8285846808657283E-6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0.13797372244371806</v>
          </cell>
          <cell r="G190">
            <v>3.4045796670374817E-6</v>
          </cell>
          <cell r="I190">
            <v>8.3539446584680109E-6</v>
          </cell>
          <cell r="J190">
            <v>8.6438128207419016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2.6150802314840278</v>
          </cell>
          <cell r="F191">
            <v>2.877266986849047</v>
          </cell>
          <cell r="G191">
            <v>2.6567403254955644</v>
          </cell>
          <cell r="H191">
            <v>3.5818115632608465</v>
          </cell>
          <cell r="I191">
            <v>3.2581230146357765</v>
          </cell>
          <cell r="J191">
            <v>18.63615511257489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0.40016063849049871</v>
          </cell>
          <cell r="G192">
            <v>0.44236302703418234</v>
          </cell>
          <cell r="I192">
            <v>3.7694370176560556E-6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5.1169291508916167E-6</v>
          </cell>
          <cell r="J193">
            <v>3.5723563953513291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6.8125482862429507E-6</v>
          </cell>
          <cell r="H194">
            <v>0.24288692183418681</v>
          </cell>
          <cell r="I194">
            <v>0.24288669368494625</v>
          </cell>
          <cell r="J194">
            <v>0.2428860744829226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4.1660260409868468E-6</v>
          </cell>
          <cell r="H195">
            <v>1.197479432192327E-5</v>
          </cell>
          <cell r="I195">
            <v>9.5551302657041658E-6</v>
          </cell>
          <cell r="J195">
            <v>0.88678013656778554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4.1373398209056876E-6</v>
          </cell>
          <cell r="H196">
            <v>1.1548670055566774E-5</v>
          </cell>
          <cell r="I196">
            <v>9.2679894997502774E-6</v>
          </cell>
          <cell r="J196">
            <v>0.21954977098242992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3.015240869974527</v>
          </cell>
          <cell r="F197">
            <v>3.0152407559649532</v>
          </cell>
          <cell r="G197">
            <v>3.0990962257635188</v>
          </cell>
          <cell r="H197">
            <v>3.3389088775687248</v>
          </cell>
          <cell r="I197">
            <v>3.0152409236214308</v>
          </cell>
          <cell r="J197">
            <v>29.503112282275602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8.7370837756716496E-6</v>
          </cell>
          <cell r="J198">
            <v>9.3034943682596985E-6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5.6293835223649946</v>
          </cell>
          <cell r="F199">
            <v>5.4249110646988017</v>
          </cell>
          <cell r="G199">
            <v>5.427978035664192</v>
          </cell>
          <cell r="H199">
            <v>5.6176909712586758</v>
          </cell>
          <cell r="I199">
            <v>5.4447876519415948</v>
          </cell>
          <cell r="J199">
            <v>9.8446787809183043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3.9920783311961319E-5</v>
          </cell>
          <cell r="I200">
            <v>0.44033754325307073</v>
          </cell>
          <cell r="J200">
            <v>2.135689199968009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1.3280001296878132</v>
          </cell>
          <cell r="F201">
            <v>4.9930243096901759</v>
          </cell>
          <cell r="G201">
            <v>5.3636520803734546</v>
          </cell>
          <cell r="H201">
            <v>5.9813139625213543</v>
          </cell>
          <cell r="I201">
            <v>5.9813143764967176</v>
          </cell>
          <cell r="J201">
            <v>9.440559414197196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1.7054555466948973E-6</v>
          </cell>
          <cell r="J202">
            <v>3.2304485810432944E-6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4.6424862544226617E-5</v>
          </cell>
          <cell r="G203">
            <v>2.9865495481396749E-5</v>
          </cell>
          <cell r="H203">
            <v>1.0304676892974778E-5</v>
          </cell>
          <cell r="I203">
            <v>6.5327201051392011E-6</v>
          </cell>
          <cell r="J203">
            <v>1.7345421967284558E-6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7.8664878012594709E-6</v>
          </cell>
          <cell r="J204">
            <v>1.1465054475252423E-5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0.43672378987796473</v>
          </cell>
          <cell r="F205">
            <v>0.55206475024979285</v>
          </cell>
          <cell r="G205">
            <v>1.8983995290829139</v>
          </cell>
          <cell r="H205">
            <v>4.3164937204135194</v>
          </cell>
          <cell r="I205">
            <v>4.3164942636794938</v>
          </cell>
          <cell r="J205">
            <v>4.3164942936805852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1.1839491554680894</v>
          </cell>
          <cell r="G206">
            <v>1.5505727426852804E-5</v>
          </cell>
          <cell r="H206">
            <v>6.993103550792055E-6</v>
          </cell>
          <cell r="I206">
            <v>7.7595969661664305E-6</v>
          </cell>
          <cell r="J206">
            <v>9.6957227034587849E-7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1.2890702096719113</v>
          </cell>
          <cell r="F207">
            <v>5.7992039777684523</v>
          </cell>
          <cell r="G207">
            <v>5.3931035734395536</v>
          </cell>
          <cell r="H207">
            <v>4.7163255755256488</v>
          </cell>
          <cell r="I207">
            <v>4.7163346217839823</v>
          </cell>
          <cell r="J207">
            <v>4.7585078951794388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4.047640866325831</v>
          </cell>
          <cell r="F208">
            <v>4.5832126606675443</v>
          </cell>
          <cell r="G208">
            <v>4.667282748925528</v>
          </cell>
          <cell r="H208">
            <v>4.7976416472523837</v>
          </cell>
          <cell r="I208">
            <v>8.926487335120143</v>
          </cell>
          <cell r="J208">
            <v>12.345956327272733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1.1839491554680894</v>
          </cell>
          <cell r="G209">
            <v>1.5505727426852804E-5</v>
          </cell>
          <cell r="H209">
            <v>6.993103550792055E-6</v>
          </cell>
          <cell r="I209">
            <v>7.7595969661664305E-6</v>
          </cell>
          <cell r="J209">
            <v>9.6957227034587849E-7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5.9796219480736941</v>
          </cell>
          <cell r="F210">
            <v>6.9696446270000694</v>
          </cell>
          <cell r="G210">
            <v>6.8665346020753946</v>
          </cell>
          <cell r="H210">
            <v>7.0899387916590966</v>
          </cell>
          <cell r="I210">
            <v>7.8210251507812254</v>
          </cell>
          <cell r="J210">
            <v>7.46002773743548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30.256633757919012</v>
          </cell>
          <cell r="F211">
            <v>24.239416036299403</v>
          </cell>
          <cell r="G211">
            <v>26.70623769544142</v>
          </cell>
          <cell r="H211">
            <v>19.517195990937967</v>
          </cell>
          <cell r="I211">
            <v>8.4970603886646945</v>
          </cell>
          <cell r="J211">
            <v>0.87202123578615987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4.4341500078709917</v>
          </cell>
          <cell r="F212">
            <v>4.7998453740174467</v>
          </cell>
          <cell r="G212">
            <v>4.3697310266414453</v>
          </cell>
          <cell r="H212">
            <v>2.3803879506319654</v>
          </cell>
          <cell r="I212">
            <v>6.0404943458949303</v>
          </cell>
          <cell r="J212">
            <v>6.056480446410486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J213">
            <v>9.9532992136266101E-7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0.18613047060395566</v>
          </cell>
          <cell r="G214">
            <v>9.1325683866222938E-6</v>
          </cell>
          <cell r="J214">
            <v>2.9527918605131928E-7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4.6202804784749496</v>
          </cell>
          <cell r="F215">
            <v>4.7998454244801891</v>
          </cell>
          <cell r="G215">
            <v>4.3697401592098268</v>
          </cell>
          <cell r="H215">
            <v>2.3803889734737891</v>
          </cell>
          <cell r="I215">
            <v>6.0404968396436134</v>
          </cell>
          <cell r="J215">
            <v>6.0564829521162888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83.163683379295989</v>
          </cell>
          <cell r="F216">
            <v>86.395739651627594</v>
          </cell>
          <cell r="G216">
            <v>78.653975232831073</v>
          </cell>
          <cell r="H216">
            <v>42.845837075234613</v>
          </cell>
          <cell r="I216">
            <v>11.753626010531146</v>
          </cell>
          <cell r="J216">
            <v>7.0497718870750719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60.23181522671883</v>
          </cell>
          <cell r="F217">
            <v>55.062496118802358</v>
          </cell>
          <cell r="G217">
            <v>52.912499622546989</v>
          </cell>
          <cell r="H217">
            <v>38.517249988781309</v>
          </cell>
          <cell r="I217">
            <v>20.089190190068056</v>
          </cell>
          <cell r="J217">
            <v>0.21593030083073581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2.1779204452421344E-6</v>
          </cell>
          <cell r="I218">
            <v>1.9646398198901109E-4</v>
          </cell>
          <cell r="J218">
            <v>1.9748056407708334E-4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1.8786960653316722E-6</v>
          </cell>
          <cell r="I219">
            <v>1.9642088468459792E-4</v>
          </cell>
          <cell r="J219">
            <v>1.9743723054029997E-4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1.2890702096719113</v>
          </cell>
          <cell r="F220">
            <v>5.7992039777684523</v>
          </cell>
          <cell r="G220">
            <v>5.3931035734395536</v>
          </cell>
          <cell r="H220">
            <v>4.7163255755256488</v>
          </cell>
          <cell r="I220">
            <v>4.7163346217839823</v>
          </cell>
          <cell r="J220">
            <v>4.7585078951794388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1.2890702096719113</v>
          </cell>
          <cell r="F221">
            <v>5.7992039777684523</v>
          </cell>
          <cell r="G221">
            <v>5.3931035734395536</v>
          </cell>
          <cell r="H221">
            <v>4.7163255755256488</v>
          </cell>
          <cell r="I221">
            <v>4.7163346217839823</v>
          </cell>
          <cell r="J221">
            <v>4.7585078951794388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4.0285566256799298E-6</v>
          </cell>
          <cell r="G222">
            <v>2.6062262507073291E-6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J223">
            <v>8.2437760764317284E-7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0.15606264901129399</v>
          </cell>
          <cell r="G224">
            <v>0.17252158054333111</v>
          </cell>
          <cell r="I224">
            <v>1.4700804368858585E-6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1.6013524203112497E-6</v>
          </cell>
          <cell r="J225">
            <v>1.393218994187017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3.2193024417158387E-6</v>
          </cell>
          <cell r="J226">
            <v>2.7774656023782091E-6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2.8594682723098458E-5</v>
          </cell>
          <cell r="I227">
            <v>3.3730229719468854E-5</v>
          </cell>
          <cell r="J227">
            <v>5.7360188935091155E-6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1.5394509397562775E-5</v>
          </cell>
          <cell r="J228">
            <v>5.2047102061417885E-6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2.1779204452421344E-6</v>
          </cell>
          <cell r="I229">
            <v>1.9646398198901109E-4</v>
          </cell>
          <cell r="J229">
            <v>1.9748056407708334E-4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0.65791736289597602</v>
          </cell>
          <cell r="I230">
            <v>1.78238454320957</v>
          </cell>
          <cell r="J230">
            <v>1.69076247109616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0.33897153142298575</v>
          </cell>
          <cell r="F231">
            <v>4.2365859690737084E-2</v>
          </cell>
          <cell r="G231">
            <v>7.2316731162215792E-2</v>
          </cell>
          <cell r="H231">
            <v>4.027592840936902E-2</v>
          </cell>
          <cell r="I231">
            <v>1.9269171875668456</v>
          </cell>
          <cell r="J231">
            <v>8.5966944429152079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7.7620349433789076E-8</v>
          </cell>
          <cell r="J232">
            <v>4.9151860746681206E-7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1.095152355390299E-4</v>
          </cell>
          <cell r="J233">
            <v>4.8951022909275049E-5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5.9063089042642866E-3</v>
          </cell>
          <cell r="F234">
            <v>4.2365767985240166E-2</v>
          </cell>
          <cell r="G234">
            <v>4.155752266009205E-2</v>
          </cell>
          <cell r="H234">
            <v>4.0274100896231985E-2</v>
          </cell>
          <cell r="I234">
            <v>1.9268016923416889</v>
          </cell>
          <cell r="J234">
            <v>8.1355498394070498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2.7811164375089618E-2</v>
          </cell>
          <cell r="G235">
            <v>3.0744230378875696E-2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J236">
            <v>2.0901928348615887E-6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0.30525397179048747</v>
          </cell>
          <cell r="G237">
            <v>1.4977412154060566E-5</v>
          </cell>
          <cell r="J237">
            <v>4.842578651241635E-7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1.3096402679038902E-7</v>
          </cell>
          <cell r="J238">
            <v>5.3410581085813808E-7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J239">
            <v>0.46108908786704911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4.047640866325831</v>
          </cell>
          <cell r="F240">
            <v>4.5832126606675443</v>
          </cell>
          <cell r="G240">
            <v>4.667282748925528</v>
          </cell>
          <cell r="H240">
            <v>4.7976416472523837</v>
          </cell>
          <cell r="I240">
            <v>8.926487335120143</v>
          </cell>
          <cell r="J240">
            <v>12.345956327272733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37.466643811180965</v>
          </cell>
          <cell r="F241">
            <v>31.818232781289446</v>
          </cell>
          <cell r="G241">
            <v>35.701184786050668</v>
          </cell>
          <cell r="H241">
            <v>25.223812571583608</v>
          </cell>
          <cell r="I241">
            <v>13.511715009013798</v>
          </cell>
          <cell r="J241">
            <v>6.6574092833885006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8.0980462507228097E-6</v>
          </cell>
          <cell r="J242">
            <v>9.4193436622645565E-2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9.679322867883581</v>
          </cell>
          <cell r="F243">
            <v>9.327747082102098</v>
          </cell>
          <cell r="G243">
            <v>9.3330205196077358</v>
          </cell>
          <cell r="H243">
            <v>9.659218361438489</v>
          </cell>
          <cell r="I243">
            <v>9.3619361677553794</v>
          </cell>
          <cell r="J243">
            <v>16.927240909467823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2.1779204452421302E-6</v>
          </cell>
          <cell r="I244">
            <v>1.9646398198901101E-4</v>
          </cell>
          <cell r="J244">
            <v>1.9748056407708299E-4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1.78923325762682E-2</v>
          </cell>
          <cell r="E4">
            <v>1.7876246637825301E-2</v>
          </cell>
          <cell r="F4">
            <v>1.78183164481906E-2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4.4314234220294048E-3</v>
          </cell>
          <cell r="E5">
            <v>3.5457712943368193E-3</v>
          </cell>
          <cell r="F5">
            <v>2.2160643701899627E-3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3.1723993929553521E-4</v>
          </cell>
          <cell r="E6">
            <v>3.1695472762101611E-4</v>
          </cell>
          <cell r="F6">
            <v>3.1592759659912397E-4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3.5427703199213179</v>
          </cell>
          <cell r="F8">
            <v>3.8809167199465699</v>
          </cell>
          <cell r="G8">
            <v>9.3329464441779191</v>
          </cell>
          <cell r="H8">
            <v>27.255890089118999</v>
          </cell>
          <cell r="I8">
            <v>57.587003124533894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6.4840017064637656E-3</v>
          </cell>
          <cell r="F9">
            <v>7.3883098226909935E-3</v>
          </cell>
          <cell r="G9">
            <v>1.8245186435405399E-2</v>
          </cell>
          <cell r="H9">
            <v>5.7634261365988419E-2</v>
          </cell>
          <cell r="I9">
            <v>0.13166883826491069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6.2815076594349664E-2</v>
          </cell>
          <cell r="F10">
            <v>6.881058014089661E-2</v>
          </cell>
          <cell r="G10">
            <v>0.16547777383294185</v>
          </cell>
          <cell r="H10">
            <v>0.4832604625730319</v>
          </cell>
          <cell r="I10">
            <v>1.0210461546903182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F11">
            <v>1.3899990019305901E-4</v>
          </cell>
          <cell r="G11">
            <v>2.4153213439713701E-4</v>
          </cell>
          <cell r="H11">
            <v>6.8765873252850797E-4</v>
          </cell>
          <cell r="I11">
            <v>2.3591679269893001E-3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-6.4608400010199296E-11</v>
          </cell>
          <cell r="F12">
            <v>1.3899992654752333E-4</v>
          </cell>
          <cell r="G12">
            <v>3.4323792986719272E-4</v>
          </cell>
          <cell r="H12">
            <v>1.0842637141209701E-3</v>
          </cell>
          <cell r="I12">
            <v>2.4798442202166402E-3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2.3390926231894266E-4</v>
          </cell>
          <cell r="E13">
            <v>1.0259049325933768E-4</v>
          </cell>
          <cell r="F13">
            <v>7.9797369530382756E-5</v>
          </cell>
          <cell r="G13">
            <v>7.4384073556583741E-5</v>
          </cell>
          <cell r="H13">
            <v>2.5054710071598197E-5</v>
          </cell>
          <cell r="I13">
            <v>1.5549240882256958E-5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2.3390926231894266E-4</v>
          </cell>
          <cell r="E14">
            <v>1.0259049325933768E-4</v>
          </cell>
          <cell r="F14">
            <v>7.9797369530382756E-5</v>
          </cell>
          <cell r="G14">
            <v>7.4384073556583741E-5</v>
          </cell>
          <cell r="H14">
            <v>2.5054710071598197E-5</v>
          </cell>
          <cell r="I14">
            <v>1.5549240882256958E-5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3.0206516183694201E-7</v>
          </cell>
          <cell r="F15">
            <v>1.1885073158824299E-6</v>
          </cell>
          <cell r="G15">
            <v>1.22945695508193E-6</v>
          </cell>
          <cell r="H15">
            <v>1.7560086377150399E-6</v>
          </cell>
          <cell r="I15">
            <v>1.3226012674281299E-6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  <cell r="E16">
            <v>1.1341064496990545E-5</v>
          </cell>
          <cell r="F16">
            <v>1.222052644405281E-5</v>
          </cell>
          <cell r="G16">
            <v>1.1595105195854787E-5</v>
          </cell>
          <cell r="H16">
            <v>3.9826144545462201E-6</v>
          </cell>
          <cell r="I16">
            <v>2.5230880236270499E-6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2.75409624556118E-3</v>
          </cell>
          <cell r="E17">
            <v>5.6203823504054626E-3</v>
          </cell>
          <cell r="F17">
            <v>2.2697647618497831E-2</v>
          </cell>
          <cell r="G17">
            <v>8.2381242699773274E-2</v>
          </cell>
          <cell r="H17">
            <v>0.36608824840008525</v>
          </cell>
          <cell r="I17">
            <v>1.3715834900767225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1.0248647936005462E-2</v>
          </cell>
          <cell r="E18">
            <v>2.0746631408640848E-2</v>
          </cell>
          <cell r="F18">
            <v>8.1829068713571304E-2</v>
          </cell>
          <cell r="G18">
            <v>0.28354971727668543</v>
          </cell>
          <cell r="H18">
            <v>1.169619977031181</v>
          </cell>
          <cell r="I18">
            <v>4.0498706297547074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3.9043056242244998E-5</v>
          </cell>
          <cell r="F19">
            <v>2.8358928856153198E-4</v>
          </cell>
          <cell r="G19">
            <v>1.3082277978734101E-3</v>
          </cell>
          <cell r="H19">
            <v>4.5908547735973096E-3</v>
          </cell>
          <cell r="I19">
            <v>2.4996959660964699E-2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1.51043056242245E-4</v>
          </cell>
          <cell r="F20">
            <v>4.27089162547699E-4</v>
          </cell>
          <cell r="G20">
            <v>1.5497897255710537E-3</v>
          </cell>
          <cell r="H20">
            <v>6.8869568201691597E-3</v>
          </cell>
          <cell r="I20">
            <v>2.5802602504742301E-2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4.6576635168414669E-2</v>
          </cell>
          <cell r="E21">
            <v>9.8453804701227776E-2</v>
          </cell>
          <cell r="F21">
            <v>6.8288328454795627E-2</v>
          </cell>
          <cell r="G21">
            <v>7.7088241321791748E-2</v>
          </cell>
          <cell r="H21">
            <v>1.1322776637621359E-4</v>
          </cell>
          <cell r="I21">
            <v>7.2669780531933173E-5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4.6576635168414669E-2</v>
          </cell>
          <cell r="E22">
            <v>9.8453804701227776E-2</v>
          </cell>
          <cell r="F22">
            <v>6.8288328454795627E-2</v>
          </cell>
          <cell r="G22">
            <v>7.7088241321791748E-2</v>
          </cell>
          <cell r="H22">
            <v>1.1322776637621359E-4</v>
          </cell>
          <cell r="I22">
            <v>7.2669780531933173E-5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7.7698279184695404E-7</v>
          </cell>
          <cell r="F23">
            <v>1.77319351403166E-6</v>
          </cell>
          <cell r="G23">
            <v>1.71354744965099E-6</v>
          </cell>
          <cell r="H23">
            <v>6.7843619607062703E-6</v>
          </cell>
          <cell r="I23">
            <v>3.3336155151598701E-6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4.886141213091966E-3</v>
          </cell>
          <cell r="E24">
            <v>7.4700083575043683E-3</v>
          </cell>
          <cell r="F24">
            <v>7.196939952742014E-3</v>
          </cell>
          <cell r="G24">
            <v>5.8491566959948046E-3</v>
          </cell>
          <cell r="H24">
            <v>1.17779031206372E-5</v>
          </cell>
          <cell r="I24">
            <v>7.5841775538304196E-6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10.710392970793247</v>
          </cell>
          <cell r="E25">
            <v>10.779722197724825</v>
          </cell>
          <cell r="F25">
            <v>14.961582550411606</v>
          </cell>
          <cell r="G25">
            <v>30.687447798713738</v>
          </cell>
          <cell r="H25">
            <v>52.864017378658723</v>
          </cell>
          <cell r="I25">
            <v>58.080439985495403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7.9725453464288417E-5</v>
          </cell>
          <cell r="E26">
            <v>2.8958441878716844E-5</v>
          </cell>
          <cell r="F26">
            <v>3.3359634797692449E-5</v>
          </cell>
          <cell r="G26">
            <v>7.7128408525809211E-2</v>
          </cell>
          <cell r="H26">
            <v>1.9549798121072928</v>
          </cell>
          <cell r="I26">
            <v>5.7174402947088989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0.27990417600280532</v>
          </cell>
          <cell r="E27">
            <v>6.357658066586569E-2</v>
          </cell>
          <cell r="F27">
            <v>0.17128398669449943</v>
          </cell>
          <cell r="G27">
            <v>2.4013389792095361</v>
          </cell>
          <cell r="H27">
            <v>17.83547621888221</v>
          </cell>
          <cell r="I27">
            <v>19.508364455329627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0.22190183300692634</v>
          </cell>
          <cell r="E28">
            <v>5.0936560009307026E-2</v>
          </cell>
          <cell r="F28">
            <v>0.11559888611468776</v>
          </cell>
          <cell r="G28">
            <v>1.278953947339099</v>
          </cell>
          <cell r="H28">
            <v>6.9519442805223264</v>
          </cell>
          <cell r="I28">
            <v>9.8396210302735181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10.208507236330062</v>
          </cell>
          <cell r="E29">
            <v>10.665180516808812</v>
          </cell>
          <cell r="F29">
            <v>14.674666403872935</v>
          </cell>
          <cell r="G29">
            <v>26.930026550361262</v>
          </cell>
          <cell r="H29">
            <v>26.121617101916129</v>
          </cell>
          <cell r="I29">
            <v>23.015014282263984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4.1531220195212916E-2</v>
          </cell>
          <cell r="E30">
            <v>0.15424492104736054</v>
          </cell>
          <cell r="F30">
            <v>1.3948897909321039</v>
          </cell>
          <cell r="G30">
            <v>5.464158726201334</v>
          </cell>
          <cell r="H30">
            <v>9.9759281364410839</v>
          </cell>
          <cell r="I30">
            <v>9.0286605461900162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4.1531220195212916E-2</v>
          </cell>
          <cell r="E31">
            <v>0.15424492104736054</v>
          </cell>
          <cell r="F31">
            <v>1.3948897909321039</v>
          </cell>
          <cell r="G31">
            <v>5.464158726201334</v>
          </cell>
          <cell r="H31">
            <v>9.9759281364410839</v>
          </cell>
          <cell r="I31">
            <v>9.0286605461900162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2.2927755280801001E-6</v>
          </cell>
          <cell r="F32">
            <v>8.7011137863088797E-2</v>
          </cell>
          <cell r="G32">
            <v>0.30827744364118498</v>
          </cell>
          <cell r="H32">
            <v>0.23058135861833401</v>
          </cell>
          <cell r="I32">
            <v>0.47422853986949798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4.0688743014566072E-3</v>
          </cell>
          <cell r="E33">
            <v>1.0605456899240253E-2</v>
          </cell>
          <cell r="F33">
            <v>9.5908934878066301E-2</v>
          </cell>
          <cell r="G33">
            <v>0.37569878651538952</v>
          </cell>
          <cell r="H33">
            <v>0.68591506158724003</v>
          </cell>
          <cell r="I33">
            <v>0.62078461313289302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1.3152504480768465E-5</v>
          </cell>
          <cell r="E34">
            <v>1.5725525090936839E-5</v>
          </cell>
          <cell r="F34">
            <v>2.0051491800594367E-5</v>
          </cell>
          <cell r="G34">
            <v>2.5316881761182366E-5</v>
          </cell>
          <cell r="H34">
            <v>2.5693337974872575E-5</v>
          </cell>
          <cell r="I34">
            <v>1.5530546333350385E-5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1.3152504480768465E-5</v>
          </cell>
          <cell r="E35">
            <v>1.5725525090936839E-5</v>
          </cell>
          <cell r="F35">
            <v>2.0051491800594367E-5</v>
          </cell>
          <cell r="G35">
            <v>2.5316881761182366E-5</v>
          </cell>
          <cell r="H35">
            <v>2.5693337974872575E-5</v>
          </cell>
          <cell r="I35">
            <v>1.5530546333350385E-5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3.4350330660170902E-7</v>
          </cell>
          <cell r="F36">
            <v>1.3191637137070099E-6</v>
          </cell>
          <cell r="G36">
            <v>1.31881183438646E-6</v>
          </cell>
          <cell r="H36">
            <v>1.7524782357331501E-6</v>
          </cell>
          <cell r="I36">
            <v>1.30176402307843E-6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1.8318625233936449E-6</v>
          </cell>
          <cell r="F37">
            <v>3.1250888995308894E-6</v>
          </cell>
          <cell r="G37">
            <v>3.96985198693372E-6</v>
          </cell>
          <cell r="H37">
            <v>4.0720273389769204E-6</v>
          </cell>
          <cell r="I37">
            <v>2.5174874297700898E-6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9.2137122572395494E-2</v>
          </cell>
          <cell r="E38">
            <v>0.15830896183843507</v>
          </cell>
          <cell r="F38">
            <v>0.15176717604952689</v>
          </cell>
          <cell r="G38">
            <v>0.1213357199959138</v>
          </cell>
          <cell r="H38">
            <v>1.2373880817586458E-4</v>
          </cell>
          <cell r="I38">
            <v>7.8829879255539579E-5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9.2137122572395494E-2</v>
          </cell>
          <cell r="E39">
            <v>0.15830896183843507</v>
          </cell>
          <cell r="F39">
            <v>0.15176717604952689</v>
          </cell>
          <cell r="G39">
            <v>0.1213357199959138</v>
          </cell>
          <cell r="H39">
            <v>1.2373880817586458E-4</v>
          </cell>
          <cell r="I39">
            <v>7.8829879255539579E-5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6.8126835974378996E-6</v>
          </cell>
          <cell r="F40">
            <v>3.2816826890953501E-6</v>
          </cell>
          <cell r="G40">
            <v>6.5249615611649597E-6</v>
          </cell>
          <cell r="H40">
            <v>5.7642413230882404E-6</v>
          </cell>
          <cell r="I40">
            <v>4.7439254185397998E-6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7.2629074093576197E-3</v>
          </cell>
          <cell r="E41">
            <v>1.2465320552578148E-2</v>
          </cell>
          <cell r="F41">
            <v>1.1951810407410965E-2</v>
          </cell>
          <cell r="G41">
            <v>9.5548275593022695E-3</v>
          </cell>
          <cell r="H41">
            <v>1.32879300517297E-5</v>
          </cell>
          <cell r="I41">
            <v>8.4242997295267606E-6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2.3654286723845484E-6</v>
          </cell>
          <cell r="E42">
            <v>1.7228380696202124E-5</v>
          </cell>
          <cell r="F42">
            <v>3.8849858084359556E-5</v>
          </cell>
          <cell r="G42">
            <v>6.1600507780079885E-5</v>
          </cell>
          <cell r="H42">
            <v>1.2274998342032571E-4</v>
          </cell>
          <cell r="I42">
            <v>7.1857624069518813E-5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2.3654286723845484E-6</v>
          </cell>
          <cell r="E43">
            <v>1.7228380696202124E-5</v>
          </cell>
          <cell r="F43">
            <v>3.8849858084359556E-5</v>
          </cell>
          <cell r="G43">
            <v>6.1600507780079885E-5</v>
          </cell>
          <cell r="H43">
            <v>1.2274998342032571E-4</v>
          </cell>
          <cell r="I43">
            <v>7.1857624069518813E-5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1.1365766127765E-6</v>
          </cell>
          <cell r="F44">
            <v>2.29572040602584E-6</v>
          </cell>
          <cell r="G44">
            <v>2.0333922938818699E-6</v>
          </cell>
          <cell r="H44">
            <v>6.5005921312667997E-6</v>
          </cell>
          <cell r="I44">
            <v>3.0203161265982398E-6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1.371758778327833E-6</v>
          </cell>
          <cell r="F45">
            <v>3.5553322305800997E-6</v>
          </cell>
          <cell r="G45">
            <v>4.9480622443830469E-6</v>
          </cell>
          <cell r="H45">
            <v>1.27754147049314E-5</v>
          </cell>
          <cell r="I45">
            <v>7.4967175560113997E-6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0.22017042774192144</v>
          </cell>
          <cell r="H46">
            <v>0.24502559991231695</v>
          </cell>
          <cell r="I46">
            <v>0.26340103947919746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8.7118090125762091</v>
          </cell>
          <cell r="H47">
            <v>9.7093205100309099</v>
          </cell>
          <cell r="I47">
            <v>10.452586907059088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4.4019721178285601E-5</v>
          </cell>
          <cell r="E48">
            <v>5.4053774883171597E-5</v>
          </cell>
          <cell r="F48">
            <v>8.1080678277915905E-5</v>
          </cell>
          <cell r="G48">
            <v>1.3513458750472401E-4</v>
          </cell>
          <cell r="H48">
            <v>1.33441782865208E-4</v>
          </cell>
          <cell r="I48">
            <v>1.28034230339831E-3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2.0938222190434656E-3</v>
          </cell>
          <cell r="E49">
            <v>2.1478759939266372E-3</v>
          </cell>
          <cell r="F49">
            <v>2.2289566722045531E-3</v>
          </cell>
          <cell r="G49">
            <v>2.3640912597092771E-3</v>
          </cell>
          <cell r="H49">
            <v>2.6309751431353458E-3</v>
          </cell>
          <cell r="I49">
            <v>2.8282822092635801E-3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5.2172207868231011E-5</v>
          </cell>
          <cell r="E50">
            <v>1.1697548572094666E-4</v>
          </cell>
          <cell r="F50">
            <v>0.58815842567375665</v>
          </cell>
          <cell r="G50">
            <v>3.5195346201965108</v>
          </cell>
          <cell r="H50">
            <v>7.6012866902825715</v>
          </cell>
          <cell r="I50">
            <v>6.301347629987184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5.2172207868231011E-5</v>
          </cell>
          <cell r="E51">
            <v>1.1697548572094666E-4</v>
          </cell>
          <cell r="F51">
            <v>0.58815842567375665</v>
          </cell>
          <cell r="G51">
            <v>3.5195346201965108</v>
          </cell>
          <cell r="H51">
            <v>7.6012866902825715</v>
          </cell>
          <cell r="I51">
            <v>6.301347629987184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4.1229644263579397E-6</v>
          </cell>
          <cell r="F52">
            <v>4.09780241725606E-2</v>
          </cell>
          <cell r="G52">
            <v>0.21773243655625199</v>
          </cell>
          <cell r="H52">
            <v>0.17158932562151299</v>
          </cell>
          <cell r="I52">
            <v>0.31286471091065998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8.0934697813962607E-6</v>
          </cell>
          <cell r="F53">
            <v>4.0440233809155388E-2</v>
          </cell>
          <cell r="G53">
            <v>0.24199238471642218</v>
          </cell>
          <cell r="H53">
            <v>0.52264216324506996</v>
          </cell>
          <cell r="I53">
            <v>0.433263541047123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3.2678965862815556E-3</v>
          </cell>
          <cell r="E54">
            <v>0.57150115798457102</v>
          </cell>
          <cell r="F54">
            <v>0.5389593730462473</v>
          </cell>
          <cell r="G54">
            <v>0.43252858722557674</v>
          </cell>
          <cell r="H54">
            <v>1.2415351130906603E-4</v>
          </cell>
          <cell r="I54">
            <v>7.4384315681431772E-5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3.2678965862815556E-3</v>
          </cell>
          <cell r="E55">
            <v>0.57150115798457102</v>
          </cell>
          <cell r="F55">
            <v>0.5389593730462473</v>
          </cell>
          <cell r="G55">
            <v>0.43252858722557674</v>
          </cell>
          <cell r="H55">
            <v>1.2415351130906603E-4</v>
          </cell>
          <cell r="I55">
            <v>7.4384315681431772E-5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4.4918083153903797E-2</v>
          </cell>
          <cell r="F56">
            <v>3.2772801423555702E-6</v>
          </cell>
          <cell r="G56">
            <v>6.7580098188508397E-6</v>
          </cell>
          <cell r="H56">
            <v>5.6845223276918596E-6</v>
          </cell>
          <cell r="I56">
            <v>4.21244752522547E-6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4.5000149031568751E-2</v>
          </cell>
          <cell r="F57">
            <v>4.243913496818575E-2</v>
          </cell>
          <cell r="G57">
            <v>3.4058113898519295E-2</v>
          </cell>
          <cell r="H57">
            <v>1.3343722446586499E-5</v>
          </cell>
          <cell r="I57">
            <v>7.9430990831228608E-6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1.6672643066325202E-6</v>
          </cell>
          <cell r="H58">
            <v>2.138884881096074E-5</v>
          </cell>
          <cell r="I58">
            <v>9.4594017358022794E-3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7.1128488720587063E-6</v>
          </cell>
          <cell r="H59">
            <v>8.2042362535269476E-5</v>
          </cell>
          <cell r="I59">
            <v>3.1176867150457577E-2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4.8928431835065002E-8</v>
          </cell>
          <cell r="H60">
            <v>2.54824911590764E-7</v>
          </cell>
          <cell r="I60">
            <v>1.9846331972401499E-4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4.8928431835065002E-8</v>
          </cell>
          <cell r="H61">
            <v>4.8661122878887799E-7</v>
          </cell>
          <cell r="I61">
            <v>1.9863027079311001E-4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2.3443177156572484E-4</v>
          </cell>
          <cell r="E62">
            <v>1.0397565944491967E-4</v>
          </cell>
          <cell r="F62">
            <v>7.1540930141526663E-5</v>
          </cell>
          <cell r="G62">
            <v>6.1687542826622364E-5</v>
          </cell>
          <cell r="H62">
            <v>1.6367117839517337E-5</v>
          </cell>
          <cell r="I62">
            <v>5.8016957568585036E-6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2.4241726670965299E-2</v>
          </cell>
          <cell r="E63">
            <v>1.075174026055789E-2</v>
          </cell>
          <cell r="F63">
            <v>7.3977842793859303E-3</v>
          </cell>
          <cell r="G63">
            <v>6.3788817625651684E-3</v>
          </cell>
          <cell r="H63">
            <v>1.5881592064200781E-3</v>
          </cell>
          <cell r="I63">
            <v>5.0270124358711579E-4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3.2847868117839152E-4</v>
          </cell>
          <cell r="E64">
            <v>1.4568753740593361E-4</v>
          </cell>
          <cell r="F64">
            <v>1.002409793954734E-4</v>
          </cell>
          <cell r="G64">
            <v>8.6434712229880358E-5</v>
          </cell>
          <cell r="H64">
            <v>2.1519772444716475E-5</v>
          </cell>
          <cell r="I64">
            <v>6.8116699673050991E-6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4.8663522759329885E-7</v>
          </cell>
          <cell r="H65">
            <v>1.2447380119563872E-5</v>
          </cell>
          <cell r="I65">
            <v>6.4665444559504699E-6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2.8777697763498948E-6</v>
          </cell>
          <cell r="H66">
            <v>6.5098259733855401E-5</v>
          </cell>
          <cell r="I66">
            <v>3.2314871918134992E-5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1.9272290911156801E-8</v>
          </cell>
          <cell r="H67">
            <v>1.8996554966976899E-7</v>
          </cell>
          <cell r="I67">
            <v>4.92248409642625E-8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1.9272290911156801E-8</v>
          </cell>
          <cell r="H68">
            <v>2.5675373105611E-7</v>
          </cell>
          <cell r="I68">
            <v>1.55615097513214E-7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5.8605807882819096</v>
          </cell>
          <cell r="E69">
            <v>12.398736615652531</v>
          </cell>
          <cell r="F69">
            <v>8.5950792208778708</v>
          </cell>
          <cell r="G69">
            <v>7.4362587469873356</v>
          </cell>
          <cell r="H69">
            <v>7.9779868592186731E-3</v>
          </cell>
          <cell r="I69">
            <v>2.9773720527041716E-3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4.6536516630288356E-2</v>
          </cell>
          <cell r="E70">
            <v>9.8453384323711451E-2</v>
          </cell>
          <cell r="F70">
            <v>6.8250069668997479E-2</v>
          </cell>
          <cell r="G70">
            <v>5.9048342024093786E-2</v>
          </cell>
          <cell r="H70">
            <v>6.8393772765491958E-5</v>
          </cell>
          <cell r="I70">
            <v>2.9135311402447446E-5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7.9411663797857898E-2</v>
          </cell>
          <cell r="E71">
            <v>0.16800456118770377</v>
          </cell>
          <cell r="F71">
            <v>0.11646448808777596</v>
          </cell>
          <cell r="G71">
            <v>0.10076231364481486</v>
          </cell>
          <cell r="H71">
            <v>1.0810280297044274E-4</v>
          </cell>
          <cell r="I71">
            <v>4.0343794752089046E-5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H72">
            <v>8.838523679006274E-3</v>
          </cell>
          <cell r="I72">
            <v>3.0284126241949538E-3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H73">
            <v>6.806865325558438E-2</v>
          </cell>
          <cell r="I73">
            <v>2.3321077687369331E-2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H74">
            <v>1.66637389132301E-4</v>
          </cell>
          <cell r="I74">
            <v>4.64210148374851E-8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H75">
            <v>1.6668760310990601E-4</v>
          </cell>
          <cell r="I75">
            <v>5.7123267294655297E-5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F76">
            <v>5.1295544754723599E-6</v>
          </cell>
          <cell r="G76">
            <v>1.5123665941375534E-5</v>
          </cell>
          <cell r="H76">
            <v>3.9768817678209765E-5</v>
          </cell>
          <cell r="I76">
            <v>3.6845217875166229E-5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F77">
            <v>5.1295544754723599E-6</v>
          </cell>
          <cell r="G77">
            <v>1.5123665941375531E-5</v>
          </cell>
          <cell r="H77">
            <v>3.9768817678209758E-5</v>
          </cell>
          <cell r="I77">
            <v>3.6845217875166229E-5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F78">
            <v>5.4208450516906553E-6</v>
          </cell>
          <cell r="G78">
            <v>1.5354564698804958E-5</v>
          </cell>
          <cell r="H78">
            <v>3.9914381674048009E-5</v>
          </cell>
          <cell r="I78">
            <v>3.693025092734745E-5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F79">
            <v>5.4208450516906553E-6</v>
          </cell>
          <cell r="G79">
            <v>1.5354564698804958E-5</v>
          </cell>
          <cell r="H79">
            <v>3.9914381674048009E-5</v>
          </cell>
          <cell r="I79">
            <v>3.693025092734745E-5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3.3913349447883897E-5</v>
          </cell>
          <cell r="F80">
            <v>1.4429549527471099E-4</v>
          </cell>
          <cell r="G80">
            <v>1.2624188018398299E-4</v>
          </cell>
          <cell r="H80">
            <v>1.5077981922067001E-4</v>
          </cell>
          <cell r="I80">
            <v>1.07452971533195E-4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3.3913349447883897E-5</v>
          </cell>
          <cell r="F81">
            <v>1.7819279986953945E-4</v>
          </cell>
          <cell r="G81">
            <v>3.0436600684920711E-4</v>
          </cell>
          <cell r="H81">
            <v>4.4302324615291946E-4</v>
          </cell>
          <cell r="I81">
            <v>2.9314134893942929E-4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5.6183426693064398</v>
          </cell>
          <cell r="E82">
            <v>20.866162587555699</v>
          </cell>
          <cell r="F82">
            <v>152.49758161273752</v>
          </cell>
          <cell r="G82">
            <v>521.25769060317702</v>
          </cell>
          <cell r="H82">
            <v>627.51705120042561</v>
          </cell>
          <cell r="I82">
            <v>329.27311336892132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4.1531317215218973E-2</v>
          </cell>
          <cell r="E83">
            <v>0.15424463556173373</v>
          </cell>
          <cell r="F83">
            <v>1.127276460211738</v>
          </cell>
          <cell r="G83">
            <v>3.8531858545369602</v>
          </cell>
          <cell r="H83">
            <v>5.192329844634533</v>
          </cell>
          <cell r="I83">
            <v>3.054677905567404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7.6129304462146843E-2</v>
          </cell>
          <cell r="E84">
            <v>0.28273933045468447</v>
          </cell>
          <cell r="F84">
            <v>2.0663628944815384</v>
          </cell>
          <cell r="G84">
            <v>7.0631123387964472</v>
          </cell>
          <cell r="H84">
            <v>8.5029410731764923</v>
          </cell>
          <cell r="I84">
            <v>4.4616953031019149</v>
          </cell>
        </row>
        <row r="85">
          <cell r="A85" t="str">
            <v>T-PHEV-STG_S2</v>
          </cell>
          <cell r="B85" t="str">
            <v>VAR_fout</v>
          </cell>
          <cell r="C85" t="str">
            <v>T-ELC-car-PlgSTGAUXout_S2</v>
          </cell>
          <cell r="D85">
            <v>2.6887133262483722E-5</v>
          </cell>
          <cell r="F85">
            <v>2.9325163695618792E-5</v>
          </cell>
          <cell r="G85">
            <v>1.2013120762165253E-2</v>
          </cell>
          <cell r="H85">
            <v>1.9247006906897196E-4</v>
          </cell>
          <cell r="I85">
            <v>5.9936911650840048E-5</v>
          </cell>
        </row>
        <row r="86">
          <cell r="A86" t="str">
            <v>T-PHEV-STG_S2</v>
          </cell>
          <cell r="B86" t="str">
            <v>VAR_fout</v>
          </cell>
          <cell r="C86" t="str">
            <v>T-ELC-car-PlgSTGOut_S2</v>
          </cell>
          <cell r="D86">
            <v>2.6887133262483719E-5</v>
          </cell>
          <cell r="F86">
            <v>2.9325163695618785E-5</v>
          </cell>
          <cell r="G86">
            <v>1.2013120762165251E-2</v>
          </cell>
          <cell r="H86">
            <v>1.924700690689719E-4</v>
          </cell>
          <cell r="I86">
            <v>5.9936911650840041E-5</v>
          </cell>
        </row>
        <row r="87">
          <cell r="A87" t="str">
            <v>T-PHEV-STG_S2</v>
          </cell>
          <cell r="B87" t="str">
            <v>VAR_fin</v>
          </cell>
          <cell r="C87" t="str">
            <v>T-ELC-car-PlgSTGAUXin_S2</v>
          </cell>
          <cell r="D87">
            <v>2.6925786989706852E-5</v>
          </cell>
          <cell r="F87">
            <v>2.958344449411631E-5</v>
          </cell>
          <cell r="G87">
            <v>1.2014680989539376E-2</v>
          </cell>
          <cell r="H87">
            <v>1.9340138110880958E-4</v>
          </cell>
          <cell r="I87">
            <v>6.0120241228325428E-5</v>
          </cell>
        </row>
        <row r="88">
          <cell r="A88" t="str">
            <v>T-PHEV-STG_S2</v>
          </cell>
          <cell r="B88" t="str">
            <v>VAR_fin</v>
          </cell>
          <cell r="C88" t="str">
            <v>T-ELC-car-PlgSTGin_S2</v>
          </cell>
          <cell r="D88">
            <v>2.6925786989706852E-5</v>
          </cell>
          <cell r="F88">
            <v>2.958344449411631E-5</v>
          </cell>
          <cell r="G88">
            <v>1.2014680989539376E-2</v>
          </cell>
          <cell r="H88">
            <v>1.9340138110880958E-4</v>
          </cell>
          <cell r="I88">
            <v>6.0120241228325428E-5</v>
          </cell>
        </row>
        <row r="89">
          <cell r="A89" t="str">
            <v>T-PHEV-STG_S2</v>
          </cell>
          <cell r="B89" t="str">
            <v>VAR_ncap</v>
          </cell>
          <cell r="C89" t="str">
            <v>-</v>
          </cell>
          <cell r="D89">
            <v>3.3051312840310098E-4</v>
          </cell>
          <cell r="E89">
            <v>3.0661032778833198E-4</v>
          </cell>
          <cell r="F89">
            <v>5.6087037017713004E-4</v>
          </cell>
          <cell r="G89">
            <v>4.8840625929444702E-3</v>
          </cell>
          <cell r="H89">
            <v>2.9564759830780002E-4</v>
          </cell>
          <cell r="I89">
            <v>2.5589259026838698E-4</v>
          </cell>
        </row>
        <row r="90">
          <cell r="A90" t="str">
            <v>T-PHEV-STG_S2</v>
          </cell>
          <cell r="B90" t="str">
            <v>VAR_cap</v>
          </cell>
          <cell r="C90" t="str">
            <v>-</v>
          </cell>
          <cell r="D90">
            <v>3.3051312840310098E-4</v>
          </cell>
          <cell r="E90">
            <v>6.3702991849582345E-4</v>
          </cell>
          <cell r="F90">
            <v>1.1977188827117153E-3</v>
          </cell>
          <cell r="G90">
            <v>6.0814536307493058E-3</v>
          </cell>
          <cell r="H90">
            <v>4.3521514287550751E-3</v>
          </cell>
          <cell r="I90">
            <v>7.3470358200307027E-4</v>
          </cell>
        </row>
        <row r="91">
          <cell r="A91" t="str">
            <v>T-Plg-GSL-mix_S4</v>
          </cell>
          <cell r="B91" t="str">
            <v>VAR_fout</v>
          </cell>
          <cell r="C91" t="str">
            <v>CO2_T</v>
          </cell>
          <cell r="D91">
            <v>13.082530591825901</v>
          </cell>
          <cell r="E91">
            <v>22.478225265783699</v>
          </cell>
          <cell r="F91">
            <v>17.690986091391487</v>
          </cell>
          <cell r="G91">
            <v>12.47505795231146</v>
          </cell>
          <cell r="H91">
            <v>9.0148900129185389E-3</v>
          </cell>
          <cell r="I91">
            <v>3.209906107612005E-3</v>
          </cell>
        </row>
        <row r="92">
          <cell r="A92" t="str">
            <v>T-Plg-GSL-mix_S4</v>
          </cell>
          <cell r="B92" t="str">
            <v>VAR_fout</v>
          </cell>
          <cell r="C92" t="str">
            <v>T-PEVmix-ELC_GSL_S4</v>
          </cell>
          <cell r="D92">
            <v>9.2137122572395383E-2</v>
          </cell>
          <cell r="E92">
            <v>0.15830874477889259</v>
          </cell>
          <cell r="F92">
            <v>0.12459336842273579</v>
          </cell>
          <cell r="G92">
            <v>8.7858838592590083E-2</v>
          </cell>
          <cell r="H92">
            <v>6.8109266914057515E-5</v>
          </cell>
          <cell r="I92">
            <v>2.7546828879647516E-5</v>
          </cell>
        </row>
        <row r="93">
          <cell r="A93" t="str">
            <v>T-Plg-GSL-mix_S4</v>
          </cell>
          <cell r="B93" t="str">
            <v>VAR_fin</v>
          </cell>
          <cell r="C93" t="str">
            <v>TGSL</v>
          </cell>
          <cell r="D93">
            <v>0.17727006221986374</v>
          </cell>
          <cell r="E93">
            <v>0.30458299818135076</v>
          </cell>
          <cell r="F93">
            <v>0.23971525869094168</v>
          </cell>
          <cell r="G93">
            <v>0.16903872564107675</v>
          </cell>
          <cell r="H93">
            <v>1.2215298120485816E-4</v>
          </cell>
          <cell r="I93">
            <v>4.3494662704769628E-5</v>
          </cell>
        </row>
        <row r="94">
          <cell r="A94" t="str">
            <v>T-PHEV-STG_S3</v>
          </cell>
          <cell r="B94" t="str">
            <v>VAR_fout</v>
          </cell>
          <cell r="C94" t="str">
            <v>T-ELC-car-PlgSTGAUXout_S3</v>
          </cell>
          <cell r="F94">
            <v>0.27152625701612249</v>
          </cell>
          <cell r="G94">
            <v>1.8903532431938148</v>
          </cell>
          <cell r="H94">
            <v>5.5185595254481781</v>
          </cell>
          <cell r="I94">
            <v>6.2515637993294417</v>
          </cell>
        </row>
        <row r="95">
          <cell r="A95" t="str">
            <v>T-PHEV-STG_S3</v>
          </cell>
          <cell r="B95" t="str">
            <v>VAR_fout</v>
          </cell>
          <cell r="C95" t="str">
            <v>T-ELC-car-PlgSTGOut_S3</v>
          </cell>
          <cell r="F95">
            <v>0.27152625701612243</v>
          </cell>
          <cell r="G95">
            <v>1.8903532431938146</v>
          </cell>
          <cell r="H95">
            <v>5.5185595254481772</v>
          </cell>
          <cell r="I95">
            <v>6.2515637993294417</v>
          </cell>
        </row>
        <row r="96">
          <cell r="A96" t="str">
            <v>T-PHEV-STG_S3</v>
          </cell>
          <cell r="B96" t="str">
            <v>VAR_fin</v>
          </cell>
          <cell r="C96" t="str">
            <v>T-ELC-car-PlgSTGAUXin_S3</v>
          </cell>
          <cell r="F96">
            <v>0.27155356912392514</v>
          </cell>
          <cell r="G96">
            <v>1.8905425442468851</v>
          </cell>
          <cell r="H96">
            <v>5.5191115633463612</v>
          </cell>
          <cell r="I96">
            <v>6.252189155997546</v>
          </cell>
        </row>
        <row r="97">
          <cell r="A97" t="str">
            <v>T-PHEV-STG_S3</v>
          </cell>
          <cell r="B97" t="str">
            <v>VAR_fin</v>
          </cell>
          <cell r="C97" t="str">
            <v>T-ELC-car-PlgSTGin_S3</v>
          </cell>
          <cell r="F97">
            <v>0.27155356912392514</v>
          </cell>
          <cell r="G97">
            <v>1.8905425442468851</v>
          </cell>
          <cell r="H97">
            <v>5.5191115633463612</v>
          </cell>
          <cell r="I97">
            <v>6.252189155997546</v>
          </cell>
        </row>
        <row r="98">
          <cell r="A98" t="str">
            <v>T-PHEV-STG_S3</v>
          </cell>
          <cell r="B98" t="str">
            <v>VAR_ncap</v>
          </cell>
          <cell r="C98" t="str">
            <v>-</v>
          </cell>
          <cell r="E98">
            <v>5.7056809887878399E-4</v>
          </cell>
          <cell r="F98">
            <v>11.218823090490099</v>
          </cell>
          <cell r="G98">
            <v>45.064140956401502</v>
          </cell>
          <cell r="H98">
            <v>32.917726319852299</v>
          </cell>
          <cell r="I98">
            <v>61.5268760001807</v>
          </cell>
        </row>
        <row r="99">
          <cell r="A99" t="str">
            <v>T-PHEV-STG_S3</v>
          </cell>
          <cell r="B99" t="str">
            <v>VAR_cap</v>
          </cell>
          <cell r="C99" t="str">
            <v>-</v>
          </cell>
          <cell r="E99">
            <v>5.7056809887878399E-4</v>
          </cell>
          <cell r="F99">
            <v>11.219393456630467</v>
          </cell>
          <cell r="G99">
            <v>56.273549989013759</v>
          </cell>
          <cell r="H99">
            <v>79.828344607542306</v>
          </cell>
          <cell r="I99">
            <v>85.456934992962886</v>
          </cell>
        </row>
        <row r="100">
          <cell r="A100" t="str">
            <v>TFLGV-HYBDSL</v>
          </cell>
          <cell r="B100" t="str">
            <v>VAR_fout</v>
          </cell>
          <cell r="C100" t="str">
            <v>CO2_T</v>
          </cell>
          <cell r="E100">
            <v>35.368807482283202</v>
          </cell>
          <cell r="F100">
            <v>106.7926718612627</v>
          </cell>
          <cell r="G100">
            <v>319.9113658070986</v>
          </cell>
          <cell r="H100">
            <v>448.36893481919776</v>
          </cell>
          <cell r="I100">
            <v>292.17207916143934</v>
          </cell>
        </row>
        <row r="101">
          <cell r="A101" t="str">
            <v>TFLGV-HYBDSL</v>
          </cell>
          <cell r="B101" t="str">
            <v>VAR_fout</v>
          </cell>
          <cell r="C101" t="str">
            <v>TFLGV</v>
          </cell>
          <cell r="E101">
            <v>0.22233015386615904</v>
          </cell>
          <cell r="F101">
            <v>0.67130426092499995</v>
          </cell>
          <cell r="G101">
            <v>2.0109793981336046</v>
          </cell>
          <cell r="H101">
            <v>2.8184703235214275</v>
          </cell>
          <cell r="I101">
            <v>1.8366088070087501</v>
          </cell>
        </row>
        <row r="102">
          <cell r="A102" t="str">
            <v>TFLGV-HYBDSL</v>
          </cell>
          <cell r="B102" t="str">
            <v>VAR_fin</v>
          </cell>
          <cell r="C102" t="str">
            <v>TDSL</v>
          </cell>
          <cell r="E102">
            <v>0.4825212480529778</v>
          </cell>
          <cell r="F102">
            <v>1.4569259462655209</v>
          </cell>
          <cell r="G102">
            <v>4.3644115389781533</v>
          </cell>
          <cell r="H102">
            <v>6.1169022485565749</v>
          </cell>
          <cell r="I102">
            <v>3.9859765233484183</v>
          </cell>
        </row>
        <row r="103">
          <cell r="A103" t="str">
            <v>TFLGV-HYBDSL</v>
          </cell>
          <cell r="B103" t="str">
            <v>VAR_ncap</v>
          </cell>
          <cell r="C103" t="str">
            <v>-</v>
          </cell>
          <cell r="E103">
            <v>1.5496840053247401E-2</v>
          </cell>
          <cell r="F103">
            <v>3.1295053052189499E-2</v>
          </cell>
          <cell r="G103">
            <v>0.13632942027394501</v>
          </cell>
          <cell r="H103">
            <v>9.5337134092841794E-2</v>
          </cell>
          <cell r="I103">
            <v>0.106784266362108</v>
          </cell>
        </row>
        <row r="104">
          <cell r="A104" t="str">
            <v>TFLGV-HYBDSL</v>
          </cell>
          <cell r="B104" t="str">
            <v>VAR_cap</v>
          </cell>
          <cell r="C104" t="str">
            <v>-</v>
          </cell>
          <cell r="E104">
            <v>1.5496840053247401E-2</v>
          </cell>
          <cell r="F104">
            <v>4.6791893105437E-2</v>
          </cell>
          <cell r="G104">
            <v>0.18106805291599401</v>
          </cell>
          <cell r="H104">
            <v>0.28064562628065798</v>
          </cell>
          <cell r="I104">
            <v>0.182878366372108</v>
          </cell>
        </row>
        <row r="105">
          <cell r="A105" t="str">
            <v>TFHGV-FCLH2O</v>
          </cell>
          <cell r="B105" t="str">
            <v>VAR_fout</v>
          </cell>
          <cell r="C105" t="str">
            <v>TFHGV</v>
          </cell>
          <cell r="D105">
            <v>5.365116128042025E-4</v>
          </cell>
          <cell r="E105">
            <v>1.3472867460851015E-3</v>
          </cell>
          <cell r="F105">
            <v>1.3887762067114322E-3</v>
          </cell>
          <cell r="G105">
            <v>8.8048669763174242E-3</v>
          </cell>
          <cell r="H105">
            <v>0.25946785455413796</v>
          </cell>
          <cell r="I105">
            <v>0.65252865076873012</v>
          </cell>
        </row>
        <row r="106">
          <cell r="A106" t="str">
            <v>TFHGV-FCLH2O</v>
          </cell>
          <cell r="B106" t="str">
            <v>VAR_fin</v>
          </cell>
          <cell r="C106" t="str">
            <v>TH2O</v>
          </cell>
          <cell r="D106">
            <v>3.0752924141848482E-3</v>
          </cell>
          <cell r="E106">
            <v>7.6706416355767758E-3</v>
          </cell>
          <cell r="F106">
            <v>7.9068540452713054E-3</v>
          </cell>
          <cell r="G106">
            <v>4.7391657879827749E-2</v>
          </cell>
          <cell r="H106">
            <v>1.2982223823882966</v>
          </cell>
          <cell r="I106">
            <v>2.989781156237358</v>
          </cell>
        </row>
        <row r="107">
          <cell r="A107" t="str">
            <v>TFHGV-FCLH2O</v>
          </cell>
          <cell r="B107" t="str">
            <v>VAR_ncap</v>
          </cell>
          <cell r="C107" t="str">
            <v>-</v>
          </cell>
          <cell r="G107">
            <v>1.6532244326656999E-4</v>
          </cell>
          <cell r="H107">
            <v>2.96653204942797E-3</v>
          </cell>
          <cell r="I107">
            <v>1.19697399703876E-2</v>
          </cell>
        </row>
        <row r="108">
          <cell r="A108" t="str">
            <v>TFHGV-FCLH2O</v>
          </cell>
          <cell r="B108" t="str">
            <v>VAR_cap</v>
          </cell>
          <cell r="C108" t="str">
            <v>-</v>
          </cell>
          <cell r="D108">
            <v>1.0104671607501339E-5</v>
          </cell>
          <cell r="E108">
            <v>2.61544336061051E-5</v>
          </cell>
          <cell r="F108">
            <v>2.61546157734439E-5</v>
          </cell>
          <cell r="G108">
            <v>1.7325256398520426E-4</v>
          </cell>
          <cell r="H108">
            <v>5.0940789073464802E-3</v>
          </cell>
          <cell r="I108">
            <v>1.24903326343515E-2</v>
          </cell>
        </row>
        <row r="109">
          <cell r="A109" t="str">
            <v>T-PHEV-STG_S4</v>
          </cell>
          <cell r="B109" t="str">
            <v>VAR_fout</v>
          </cell>
          <cell r="C109" t="str">
            <v>T-ELC-car-PlgSTGAUXout_S4</v>
          </cell>
          <cell r="F109">
            <v>9.2336139026998498E-2</v>
          </cell>
          <cell r="G109">
            <v>0.11409316558702104</v>
          </cell>
          <cell r="H109">
            <v>1.8375130359292614E-4</v>
          </cell>
          <cell r="I109">
            <v>1.7134861702592543E-4</v>
          </cell>
        </row>
        <row r="110">
          <cell r="A110" t="str">
            <v>T-PHEV-STG_S4</v>
          </cell>
          <cell r="B110" t="str">
            <v>VAR_fout</v>
          </cell>
          <cell r="C110" t="str">
            <v>T-ELC-car-PlgSTGOut_S4</v>
          </cell>
          <cell r="F110">
            <v>9.2336139026998484E-2</v>
          </cell>
          <cell r="G110">
            <v>0.11409316558702104</v>
          </cell>
          <cell r="H110">
            <v>1.8375130359292614E-4</v>
          </cell>
          <cell r="I110">
            <v>1.7134861702592543E-4</v>
          </cell>
        </row>
        <row r="111">
          <cell r="A111" t="str">
            <v>T-PHEV-STG_S4</v>
          </cell>
          <cell r="B111" t="str">
            <v>VAR_fin</v>
          </cell>
          <cell r="C111" t="str">
            <v>T-ELC-car-PlgSTGAUXin_S4</v>
          </cell>
          <cell r="F111">
            <v>9.2345530330968553E-2</v>
          </cell>
          <cell r="G111">
            <v>0.11410488056265482</v>
          </cell>
          <cell r="H111">
            <v>1.8389716925210718E-4</v>
          </cell>
          <cell r="I111">
            <v>1.7151029019871601E-4</v>
          </cell>
        </row>
        <row r="112">
          <cell r="A112" t="str">
            <v>T-PHEV-STG_S4</v>
          </cell>
          <cell r="B112" t="str">
            <v>VAR_fin</v>
          </cell>
          <cell r="C112" t="str">
            <v>T-ELC-car-PlgSTGin_S4</v>
          </cell>
          <cell r="F112">
            <v>9.2345530330968553E-2</v>
          </cell>
          <cell r="G112">
            <v>0.11410488056265482</v>
          </cell>
          <cell r="H112">
            <v>1.8389716925210718E-4</v>
          </cell>
          <cell r="I112">
            <v>1.7151029019871601E-4</v>
          </cell>
        </row>
        <row r="113">
          <cell r="A113" t="str">
            <v>T-PHEV-STG_S4</v>
          </cell>
          <cell r="B113" t="str">
            <v>VAR_ncap</v>
          </cell>
          <cell r="C113" t="str">
            <v>-</v>
          </cell>
          <cell r="E113">
            <v>4.0146692038005103</v>
          </cell>
          <cell r="F113">
            <v>5.8000914883748296E-4</v>
          </cell>
          <cell r="G113">
            <v>1.29458062671527E-3</v>
          </cell>
          <cell r="H113">
            <v>9.4432852803765595E-4</v>
          </cell>
          <cell r="I113">
            <v>7.0677423560013702E-4</v>
          </cell>
        </row>
        <row r="114">
          <cell r="A114" t="str">
            <v>T-PHEV-STG_S4</v>
          </cell>
          <cell r="B114" t="str">
            <v>VAR_cap</v>
          </cell>
          <cell r="C114" t="str">
            <v>-</v>
          </cell>
          <cell r="E114">
            <v>4.0146692038005103</v>
          </cell>
          <cell r="F114">
            <v>4.0152489594594396</v>
          </cell>
          <cell r="G114">
            <v>4.0165432036818975</v>
          </cell>
          <cell r="H114">
            <v>2.9205829027739369E-3</v>
          </cell>
          <cell r="I114">
            <v>1.8102826918897476E-3</v>
          </cell>
        </row>
        <row r="115">
          <cell r="A115" t="str">
            <v>TFLGV-ICEGSLExt</v>
          </cell>
          <cell r="B115" t="str">
            <v>VAR_fout</v>
          </cell>
          <cell r="C115" t="str">
            <v>CO2_T</v>
          </cell>
          <cell r="D115">
            <v>61.3483999576396</v>
          </cell>
          <cell r="E115">
            <v>133.59778528697001</v>
          </cell>
          <cell r="F115">
            <v>39.968434543110597</v>
          </cell>
          <cell r="G115">
            <v>19.983759189168602</v>
          </cell>
        </row>
        <row r="116">
          <cell r="A116" t="str">
            <v>TFLGV-ICEGSLExt</v>
          </cell>
          <cell r="B116" t="str">
            <v>VAR_fout</v>
          </cell>
          <cell r="C116" t="str">
            <v>TFLGV</v>
          </cell>
          <cell r="D116">
            <v>0.23074916827947084</v>
          </cell>
          <cell r="E116">
            <v>0.50718342813018003</v>
          </cell>
          <cell r="F116">
            <v>0.15383567052595651</v>
          </cell>
          <cell r="G116">
            <v>7.691607213635282E-2</v>
          </cell>
        </row>
        <row r="117">
          <cell r="A117" t="str">
            <v>TFLGV-ICEGSLExt</v>
          </cell>
          <cell r="B117" t="str">
            <v>VAR_fin</v>
          </cell>
          <cell r="C117" t="str">
            <v>TGSL</v>
          </cell>
          <cell r="D117">
            <v>0.83127913221733929</v>
          </cell>
          <cell r="E117">
            <v>1.8102680933193793</v>
          </cell>
          <cell r="F117">
            <v>0.5415777038361872</v>
          </cell>
          <cell r="G117">
            <v>0.27078264483968228</v>
          </cell>
        </row>
        <row r="118">
          <cell r="A118" t="str">
            <v>TFLGV-ICEGSLExt</v>
          </cell>
          <cell r="B118" t="str">
            <v>VAR_cap</v>
          </cell>
          <cell r="C118" t="str">
            <v>-</v>
          </cell>
          <cell r="D118">
            <v>4.5952E-2</v>
          </cell>
          <cell r="E118">
            <v>3.98250666666667E-2</v>
          </cell>
          <cell r="F118">
            <v>3.0634666666666699E-2</v>
          </cell>
          <cell r="G118">
            <v>1.5317333333333299E-2</v>
          </cell>
        </row>
        <row r="119">
          <cell r="A119" t="str">
            <v>TFRLFELCEXT</v>
          </cell>
          <cell r="B119" t="str">
            <v>VAR_fout</v>
          </cell>
          <cell r="C119" t="str">
            <v>TFRLF</v>
          </cell>
          <cell r="D119">
            <v>2.509461154271184E-2</v>
          </cell>
          <cell r="E119">
            <v>2.5177399669047522E-2</v>
          </cell>
          <cell r="F119">
            <v>2.9174292955396492E-2</v>
          </cell>
          <cell r="G119">
            <v>3.1648799605694659E-2</v>
          </cell>
          <cell r="H119">
            <v>3.3887838708152644E-2</v>
          </cell>
          <cell r="I119">
            <v>3.6434736715003004E-2</v>
          </cell>
        </row>
        <row r="120">
          <cell r="A120" t="str">
            <v>TFRLFELCEXT</v>
          </cell>
          <cell r="B120" t="str">
            <v>VAR_fin</v>
          </cell>
          <cell r="C120" t="str">
            <v>TELC</v>
          </cell>
          <cell r="D120">
            <v>1.5023086170514626</v>
          </cell>
          <cell r="E120">
            <v>1.5072647932158945</v>
          </cell>
          <cell r="F120">
            <v>1.7465419470103341</v>
          </cell>
          <cell r="G120">
            <v>1.8946802298989465</v>
          </cell>
          <cell r="H120">
            <v>2.0287220632149401</v>
          </cell>
          <cell r="I120">
            <v>2.1811941114843529</v>
          </cell>
        </row>
        <row r="121">
          <cell r="A121" t="str">
            <v>TFRLFELCEXT</v>
          </cell>
          <cell r="B121" t="str">
            <v>VAR_ncap</v>
          </cell>
          <cell r="C121" t="str">
            <v>-</v>
          </cell>
          <cell r="E121">
            <v>7.6438576305151701E-6</v>
          </cell>
          <cell r="F121">
            <v>3.6897978859254702E-4</v>
          </cell>
          <cell r="G121">
            <v>2.2843909420023099E-4</v>
          </cell>
          <cell r="H121">
            <v>1.0335125796418701E-4</v>
          </cell>
          <cell r="I121">
            <v>1.4681477621692801E-3</v>
          </cell>
        </row>
        <row r="122">
          <cell r="A122" t="str">
            <v>TFRLFELCEXT</v>
          </cell>
          <cell r="B122" t="str">
            <v>VAR_cap</v>
          </cell>
          <cell r="C122" t="str">
            <v>-</v>
          </cell>
          <cell r="D122">
            <v>2.3166644876831798E-3</v>
          </cell>
          <cell r="E122">
            <v>2.3243083453136949E-3</v>
          </cell>
          <cell r="F122">
            <v>2.6932881339062427E-3</v>
          </cell>
          <cell r="G122">
            <v>2.9217272281064736E-3</v>
          </cell>
          <cell r="H122">
            <v>3.1284291731093479E-3</v>
          </cell>
          <cell r="I122">
            <v>3.3635525594989703E-3</v>
          </cell>
        </row>
        <row r="123">
          <cell r="A123" t="str">
            <v>TFLGV-ICEDSLExt</v>
          </cell>
          <cell r="B123" t="str">
            <v>VAR_fout</v>
          </cell>
          <cell r="C123" t="str">
            <v>CO2_T</v>
          </cell>
          <cell r="D123">
            <v>811.33851982721501</v>
          </cell>
          <cell r="E123">
            <v>545.25415379881997</v>
          </cell>
          <cell r="F123">
            <v>399.520747588039</v>
          </cell>
          <cell r="G123">
            <v>199.75951940239901</v>
          </cell>
        </row>
        <row r="124">
          <cell r="A124" t="str">
            <v>TFLGV-ICEDSLExt</v>
          </cell>
          <cell r="B124" t="str">
            <v>VAR_fout</v>
          </cell>
          <cell r="C124" t="str">
            <v>TFLGV</v>
          </cell>
          <cell r="D124">
            <v>2.8672087454792718</v>
          </cell>
          <cell r="E124">
            <v>1.9930970605319498</v>
          </cell>
          <cell r="F124">
            <v>1.5331606102508182</v>
          </cell>
          <cell r="G124">
            <v>0.76657702639811931</v>
          </cell>
        </row>
        <row r="125">
          <cell r="A125" t="str">
            <v>TFLGV-ICEDSLExt</v>
          </cell>
          <cell r="B125" t="str">
            <v>VAR_fin</v>
          </cell>
          <cell r="C125" t="str">
            <v>TDSL</v>
          </cell>
          <cell r="D125">
            <v>11.068738333249868</v>
          </cell>
          <cell r="E125">
            <v>7.4386651268597541</v>
          </cell>
          <cell r="F125">
            <v>5.4504876887863487</v>
          </cell>
          <cell r="G125">
            <v>2.725232188300128</v>
          </cell>
        </row>
        <row r="126">
          <cell r="A126" t="str">
            <v>TFLGV-ICEDSLExt</v>
          </cell>
          <cell r="B126" t="str">
            <v>VAR_cap</v>
          </cell>
          <cell r="C126" t="str">
            <v>-</v>
          </cell>
          <cell r="D126">
            <v>0.228993</v>
          </cell>
          <cell r="E126">
            <v>0.19846059999999999</v>
          </cell>
          <cell r="F126">
            <v>0.15266199999999999</v>
          </cell>
          <cell r="G126">
            <v>7.6330999999999996E-2</v>
          </cell>
        </row>
        <row r="127">
          <cell r="A127" t="str">
            <v>T_C-ICE-NGA-S1</v>
          </cell>
          <cell r="B127" t="str">
            <v>VAR_fout</v>
          </cell>
          <cell r="C127" t="str">
            <v>CO2_T</v>
          </cell>
          <cell r="D127">
            <v>0.21919263175109968</v>
          </cell>
          <cell r="E127">
            <v>8.4444394735721292E-3</v>
          </cell>
          <cell r="F127">
            <v>8.1113384039778903E-3</v>
          </cell>
          <cell r="G127">
            <v>6.5805043915126774E-3</v>
          </cell>
          <cell r="H127">
            <v>3.9483275893115752E-4</v>
          </cell>
          <cell r="I127">
            <v>7.6857587911102206E-5</v>
          </cell>
        </row>
        <row r="128">
          <cell r="A128" t="str">
            <v>T_C-ICE-NGA-S1</v>
          </cell>
          <cell r="B128" t="str">
            <v>VAR_fout</v>
          </cell>
          <cell r="C128" t="str">
            <v>TPCAR</v>
          </cell>
          <cell r="D128">
            <v>2.3942509494015566E-3</v>
          </cell>
          <cell r="E128">
            <v>9.4999944077686472E-5</v>
          </cell>
          <cell r="F128">
            <v>9.0956860046494106E-5</v>
          </cell>
          <cell r="G128">
            <v>7.3371528964436746E-5</v>
          </cell>
          <cell r="H128">
            <v>4.2981176829105392E-6</v>
          </cell>
          <cell r="I128">
            <v>9.2554805607260651E-7</v>
          </cell>
        </row>
        <row r="129">
          <cell r="A129" t="str">
            <v>T_C-ICE-NGA-S1</v>
          </cell>
          <cell r="B129" t="str">
            <v>VAR_fin</v>
          </cell>
          <cell r="C129" t="str">
            <v>TNGA</v>
          </cell>
          <cell r="D129">
            <v>3.8863941799840498E-3</v>
          </cell>
          <cell r="E129">
            <v>1.4972410414134982E-4</v>
          </cell>
          <cell r="F129">
            <v>1.4381805680811879E-4</v>
          </cell>
          <cell r="G129">
            <v>1.1667560977859363E-4</v>
          </cell>
          <cell r="H129">
            <v>7.0005808321127268E-6</v>
          </cell>
          <cell r="I129">
            <v>1.3627231899131609E-6</v>
          </cell>
        </row>
        <row r="130">
          <cell r="A130" t="str">
            <v>T_C-ICE-NGA-S1</v>
          </cell>
          <cell r="B130" t="str">
            <v>VAR_ncap</v>
          </cell>
          <cell r="C130" t="str">
            <v>-</v>
          </cell>
          <cell r="E130">
            <v>2.9986656994814698E-8</v>
          </cell>
          <cell r="F130">
            <v>4.4036878695501002E-7</v>
          </cell>
          <cell r="G130">
            <v>5.7612311522150904E-7</v>
          </cell>
          <cell r="H130">
            <v>3.1924657345748198E-7</v>
          </cell>
          <cell r="I130">
            <v>1.57823477261267E-7</v>
          </cell>
        </row>
        <row r="131">
          <cell r="A131" t="str">
            <v>T_C-ICE-NGA-S1</v>
          </cell>
          <cell r="B131" t="str">
            <v>VAR_cap</v>
          </cell>
          <cell r="C131" t="str">
            <v>-</v>
          </cell>
          <cell r="D131">
            <v>2.5629355550414398E-4</v>
          </cell>
          <cell r="E131">
            <v>1.469415580313872E-5</v>
          </cell>
          <cell r="F131">
            <v>1.4178192214866933E-5</v>
          </cell>
          <cell r="G131">
            <v>1.1604177764964823E-5</v>
          </cell>
          <cell r="H131">
            <v>9.9000082170972802E-7</v>
          </cell>
          <cell r="I131">
            <v>4.21051855267703E-7</v>
          </cell>
        </row>
        <row r="132">
          <cell r="A132" t="str">
            <v>D-T-ELC-car</v>
          </cell>
          <cell r="B132" t="str">
            <v>VAR_fout</v>
          </cell>
          <cell r="C132" t="str">
            <v>T-ELC-car</v>
          </cell>
          <cell r="D132">
            <v>0.57204011200447502</v>
          </cell>
          <cell r="E132">
            <v>0.36694729221722239</v>
          </cell>
          <cell r="F132">
            <v>3.7226471004270683</v>
          </cell>
          <cell r="G132">
            <v>17.83589414430536</v>
          </cell>
          <cell r="H132">
            <v>35.098169775988111</v>
          </cell>
          <cell r="I132">
            <v>34.01655541313832</v>
          </cell>
        </row>
        <row r="133">
          <cell r="A133" t="str">
            <v>D-T-ELC-car</v>
          </cell>
          <cell r="B133" t="str">
            <v>VAR_fin</v>
          </cell>
          <cell r="C133" t="str">
            <v>TELC</v>
          </cell>
          <cell r="D133">
            <v>0.57204011200447502</v>
          </cell>
          <cell r="E133">
            <v>0.36694729221722239</v>
          </cell>
          <cell r="F133">
            <v>3.7226471004270683</v>
          </cell>
          <cell r="G133">
            <v>17.83589414430536</v>
          </cell>
          <cell r="H133">
            <v>35.098169775988111</v>
          </cell>
          <cell r="I133">
            <v>34.01655541313832</v>
          </cell>
        </row>
        <row r="134">
          <cell r="A134" t="str">
            <v>D-T-ELC-car</v>
          </cell>
          <cell r="B134" t="str">
            <v>VAR_ncap</v>
          </cell>
          <cell r="C134" t="str">
            <v>-</v>
          </cell>
          <cell r="F134">
            <v>0.76392933407182995</v>
          </cell>
          <cell r="G134">
            <v>9.1543560592197508</v>
          </cell>
          <cell r="H134">
            <v>7.9890689171867697</v>
          </cell>
          <cell r="I134">
            <v>20.137159881074801</v>
          </cell>
        </row>
        <row r="135">
          <cell r="A135" t="str">
            <v>D-T-ELC-car</v>
          </cell>
          <cell r="B135" t="str">
            <v>VAR_cap</v>
          </cell>
          <cell r="C135" t="str">
            <v>-</v>
          </cell>
          <cell r="D135">
            <v>1.2762579570580499</v>
          </cell>
          <cell r="E135">
            <v>1.2762579570580499</v>
          </cell>
          <cell r="F135">
            <v>2.0401872911298797</v>
          </cell>
          <cell r="G135">
            <v>11.19454335034963</v>
          </cell>
          <cell r="H135">
            <v>29.203308319030601</v>
          </cell>
          <cell r="I135">
            <v>32.206680589848098</v>
          </cell>
        </row>
        <row r="136">
          <cell r="A136" t="str">
            <v>T_C-ICE-NGA-S2</v>
          </cell>
          <cell r="B136" t="str">
            <v>VAR_fout</v>
          </cell>
          <cell r="C136" t="str">
            <v>CO2_T</v>
          </cell>
          <cell r="D136">
            <v>0.48873578210230861</v>
          </cell>
          <cell r="E136">
            <v>5.136205247560865E-5</v>
          </cell>
          <cell r="F136">
            <v>7.42826866419741E-4</v>
          </cell>
          <cell r="G136">
            <v>1.4534826741351608E-3</v>
          </cell>
          <cell r="H136">
            <v>8.9244645328040396E-4</v>
          </cell>
          <cell r="I136">
            <v>2.5414488326427898E-4</v>
          </cell>
        </row>
        <row r="137">
          <cell r="A137" t="str">
            <v>T_C-ICE-NGA-S2</v>
          </cell>
          <cell r="B137" t="str">
            <v>VAR_fout</v>
          </cell>
          <cell r="C137" t="str">
            <v>TPCAR</v>
          </cell>
          <cell r="D137">
            <v>6.0012474421735221E-3</v>
          </cell>
          <cell r="E137">
            <v>6.2961518776546209E-7</v>
          </cell>
          <cell r="F137">
            <v>6.5817888384394794E-6</v>
          </cell>
          <cell r="G137">
            <v>1.2139808896372954E-5</v>
          </cell>
          <cell r="H137">
            <v>7.8023486511504943E-6</v>
          </cell>
          <cell r="I137">
            <v>2.4617776552520328E-6</v>
          </cell>
        </row>
        <row r="138">
          <cell r="A138" t="str">
            <v>T_C-ICE-NGA-S2</v>
          </cell>
          <cell r="B138" t="str">
            <v>VAR_fin</v>
          </cell>
          <cell r="C138" t="str">
            <v>TNGA</v>
          </cell>
          <cell r="D138">
            <v>8.6655280514593806E-3</v>
          </cell>
          <cell r="E138">
            <v>9.106746892838417E-7</v>
          </cell>
          <cell r="F138">
            <v>1.3170689120917389E-5</v>
          </cell>
          <cell r="G138">
            <v>2.577096939955961E-5</v>
          </cell>
          <cell r="H138">
            <v>1.5823518675184471E-5</v>
          </cell>
          <cell r="I138">
            <v>4.5061149514943044E-6</v>
          </cell>
        </row>
        <row r="139">
          <cell r="A139" t="str">
            <v>T_C-ICE-NGA-S2</v>
          </cell>
          <cell r="B139" t="str">
            <v>VAR_ncap</v>
          </cell>
          <cell r="C139" t="str">
            <v>-</v>
          </cell>
          <cell r="E139">
            <v>1.34365244956287E-8</v>
          </cell>
          <cell r="F139">
            <v>4.44014738605234E-7</v>
          </cell>
          <cell r="G139">
            <v>5.3947705105623998E-7</v>
          </cell>
          <cell r="H139">
            <v>3.0228368354896899E-7</v>
          </cell>
          <cell r="I139">
            <v>1.5747238125235999E-7</v>
          </cell>
        </row>
        <row r="140">
          <cell r="A140" t="str">
            <v>T_C-ICE-NGA-S2</v>
          </cell>
          <cell r="B140" t="str">
            <v>VAR_cap</v>
          </cell>
          <cell r="C140" t="str">
            <v>-</v>
          </cell>
          <cell r="D140">
            <v>4.5588479787680991E-4</v>
          </cell>
          <cell r="E140">
            <v>3.7558123270730465E-7</v>
          </cell>
          <cell r="F140">
            <v>8.3869516230615851E-7</v>
          </cell>
          <cell r="G140">
            <v>1.2607121615119433E-6</v>
          </cell>
          <cell r="H140">
            <v>9.4919058748442905E-7</v>
          </cell>
          <cell r="I140">
            <v>4.0900870493855601E-7</v>
          </cell>
        </row>
        <row r="141">
          <cell r="A141" t="str">
            <v>TFLGV-ICEDSL</v>
          </cell>
          <cell r="B141" t="str">
            <v>VAR_fout</v>
          </cell>
          <cell r="C141" t="str">
            <v>CO2_T</v>
          </cell>
          <cell r="D141">
            <v>326.33914599843695</v>
          </cell>
          <cell r="E141">
            <v>384.71538932238303</v>
          </cell>
          <cell r="F141">
            <v>415.39890801231968</v>
          </cell>
          <cell r="G141">
            <v>211.730790797362</v>
          </cell>
          <cell r="H141">
            <v>1.7642456802755379E-3</v>
          </cell>
          <cell r="I141">
            <v>9.2132214884997014E-4</v>
          </cell>
        </row>
        <row r="142">
          <cell r="A142" t="str">
            <v>TFLGV-ICEDSL</v>
          </cell>
          <cell r="B142" t="str">
            <v>VAR_fout</v>
          </cell>
          <cell r="C142" t="str">
            <v>TFLGV</v>
          </cell>
          <cell r="D142">
            <v>1.5231290333822247</v>
          </cell>
          <cell r="E142">
            <v>1.7955896074713436</v>
          </cell>
          <cell r="F142">
            <v>1.9387993901040148</v>
          </cell>
          <cell r="G142">
            <v>0.98821523154315316</v>
          </cell>
          <cell r="H142">
            <v>8.2342981238901318E-6</v>
          </cell>
          <cell r="I142">
            <v>4.3001047567189773E-6</v>
          </cell>
        </row>
        <row r="143">
          <cell r="A143" t="str">
            <v>TFLGV-ICEDSL</v>
          </cell>
          <cell r="B143" t="str">
            <v>VAR_fin</v>
          </cell>
          <cell r="C143" t="str">
            <v>TDSL</v>
          </cell>
          <cell r="D143">
            <v>4.4521029467726754</v>
          </cell>
          <cell r="E143">
            <v>5.2485046292275976</v>
          </cell>
          <cell r="F143">
            <v>5.6671065213140528</v>
          </cell>
          <cell r="G143">
            <v>2.8885510340704212</v>
          </cell>
          <cell r="H143">
            <v>2.4068836020130078E-5</v>
          </cell>
          <cell r="I143">
            <v>1.2569197119372021E-5</v>
          </cell>
        </row>
        <row r="144">
          <cell r="A144" t="str">
            <v>TFLGV-ICEDSL</v>
          </cell>
          <cell r="B144" t="str">
            <v>VAR_ncap</v>
          </cell>
          <cell r="C144" t="str">
            <v>-</v>
          </cell>
          <cell r="E144">
            <v>9.0196591607789096E-8</v>
          </cell>
          <cell r="F144">
            <v>1.4278820436646401E-2</v>
          </cell>
          <cell r="G144">
            <v>1.0018398301048E-7</v>
          </cell>
          <cell r="H144">
            <v>5.5792086631361202E-7</v>
          </cell>
          <cell r="I144">
            <v>1.7463074586319899E-7</v>
          </cell>
        </row>
        <row r="145">
          <cell r="A145" t="str">
            <v>TFLGV-ICEDSL</v>
          </cell>
          <cell r="B145" t="str">
            <v>VAR_cap</v>
          </cell>
          <cell r="C145" t="str">
            <v>-</v>
          </cell>
          <cell r="D145">
            <v>0.106169</v>
          </cell>
          <cell r="E145">
            <v>0.1251560901965916</v>
          </cell>
          <cell r="F145">
            <v>0.13943491063323799</v>
          </cell>
          <cell r="G145">
            <v>8.51219049293956E-2</v>
          </cell>
          <cell r="H145">
            <v>8.7328436176861896E-7</v>
          </cell>
          <cell r="I145">
            <v>5.0665971427107705E-7</v>
          </cell>
        </row>
        <row r="146">
          <cell r="A146" t="str">
            <v>T_C-ICE-NGA-S3</v>
          </cell>
          <cell r="B146" t="str">
            <v>VAR_fout</v>
          </cell>
          <cell r="C146" t="str">
            <v>CO2_T</v>
          </cell>
          <cell r="D146">
            <v>4.3190288403410666E-2</v>
          </cell>
          <cell r="E146">
            <v>2.0827699450520602E-2</v>
          </cell>
          <cell r="F146">
            <v>4.3096737387708348E-2</v>
          </cell>
          <cell r="G146">
            <v>3.9177307687798327E-2</v>
          </cell>
          <cell r="H146">
            <v>4.9679693761480763E-3</v>
          </cell>
          <cell r="I146">
            <v>9.2454671353921897E-4</v>
          </cell>
        </row>
        <row r="147">
          <cell r="A147" t="str">
            <v>T_C-ICE-NGA-S3</v>
          </cell>
          <cell r="B147" t="str">
            <v>VAR_fout</v>
          </cell>
          <cell r="C147" t="str">
            <v>TPCAR</v>
          </cell>
          <cell r="D147">
            <v>3.7145330053766495E-4</v>
          </cell>
          <cell r="E147">
            <v>1.7968995604370768E-4</v>
          </cell>
          <cell r="F147">
            <v>3.749010237952896E-4</v>
          </cell>
          <cell r="G147">
            <v>3.3641042267869135E-4</v>
          </cell>
          <cell r="H147">
            <v>4.1494693926162787E-5</v>
          </cell>
          <cell r="I147">
            <v>8.6089878390258206E-6</v>
          </cell>
        </row>
        <row r="148">
          <cell r="A148" t="str">
            <v>T_C-ICE-NGA-S3</v>
          </cell>
          <cell r="B148" t="str">
            <v>VAR_fin</v>
          </cell>
          <cell r="C148" t="str">
            <v>TNGA</v>
          </cell>
          <cell r="D148">
            <v>7.6578525537962278E-4</v>
          </cell>
          <cell r="E148">
            <v>3.6928545125036603E-4</v>
          </cell>
          <cell r="F148">
            <v>7.6412654942745412E-4</v>
          </cell>
          <cell r="G148">
            <v>6.9463311503188598E-4</v>
          </cell>
          <cell r="H148">
            <v>8.8084563406880657E-5</v>
          </cell>
          <cell r="I148">
            <v>1.6392672225872696E-5</v>
          </cell>
        </row>
        <row r="149">
          <cell r="A149" t="str">
            <v>T_C-ICE-NGA-S3</v>
          </cell>
          <cell r="B149" t="str">
            <v>VAR_ncap</v>
          </cell>
          <cell r="C149" t="str">
            <v>-</v>
          </cell>
          <cell r="E149">
            <v>1.5387548880439301E-8</v>
          </cell>
          <cell r="F149">
            <v>9.5635602193251497E-6</v>
          </cell>
          <cell r="G149">
            <v>2.3302788198457699E-6</v>
          </cell>
          <cell r="H149">
            <v>6.2835037466831701E-7</v>
          </cell>
          <cell r="I149">
            <v>3.48111022104481E-7</v>
          </cell>
        </row>
        <row r="150">
          <cell r="A150" t="str">
            <v>T_C-ICE-NGA-S3</v>
          </cell>
          <cell r="B150" t="str">
            <v>VAR_cap</v>
          </cell>
          <cell r="C150" t="str">
            <v>-</v>
          </cell>
          <cell r="D150">
            <v>2.6467214754649003E-5</v>
          </cell>
          <cell r="E150">
            <v>1.7784014389451942E-5</v>
          </cell>
          <cell r="F150">
            <v>2.6017782749931636E-5</v>
          </cell>
          <cell r="G150">
            <v>2.3340427532184409E-5</v>
          </cell>
          <cell r="H150">
            <v>3.2502463177222099E-6</v>
          </cell>
          <cell r="I150">
            <v>8.95128465949764E-7</v>
          </cell>
        </row>
        <row r="151">
          <cell r="A151" t="str">
            <v>T_C-ICE-NGA-S4</v>
          </cell>
          <cell r="B151" t="str">
            <v>VAR_fout</v>
          </cell>
          <cell r="C151" t="str">
            <v>CO2_T</v>
          </cell>
          <cell r="D151">
            <v>1.1943143154295799E-3</v>
          </cell>
          <cell r="E151">
            <v>3.2527517440216901E-4</v>
          </cell>
          <cell r="F151">
            <v>7.3651415153933196E-3</v>
          </cell>
          <cell r="G151">
            <v>6.8676586089122124E-2</v>
          </cell>
          <cell r="H151">
            <v>7.6673453594165011E-2</v>
          </cell>
          <cell r="I151">
            <v>6.7637530831577364E-2</v>
          </cell>
        </row>
        <row r="152">
          <cell r="A152" t="str">
            <v>T_C-ICE-NGA-S4</v>
          </cell>
          <cell r="B152" t="str">
            <v>VAR_fout</v>
          </cell>
          <cell r="C152" t="str">
            <v>TPCAR</v>
          </cell>
          <cell r="D152">
            <v>1.5924190872394383E-5</v>
          </cell>
          <cell r="E152">
            <v>4.3370023253622633E-6</v>
          </cell>
          <cell r="F152">
            <v>6.0364498357124401E-5</v>
          </cell>
          <cell r="G152">
            <v>5.3152247522507835E-4</v>
          </cell>
          <cell r="H152">
            <v>6.5400548683577182E-4</v>
          </cell>
          <cell r="I152">
            <v>6.8184400799293577E-4</v>
          </cell>
        </row>
        <row r="153">
          <cell r="A153" t="str">
            <v>T_C-ICE-NGA-S4</v>
          </cell>
          <cell r="B153" t="str">
            <v>VAR_fin</v>
          </cell>
          <cell r="C153" t="str">
            <v>TNGA</v>
          </cell>
          <cell r="D153">
            <v>2.1175785734567E-5</v>
          </cell>
          <cell r="E153">
            <v>5.7672903262796044E-6</v>
          </cell>
          <cell r="F153">
            <v>1.3058761552115809E-4</v>
          </cell>
          <cell r="G153">
            <v>1.2176699661191875E-3</v>
          </cell>
          <cell r="H153">
            <v>1.3594583970596642E-3</v>
          </cell>
          <cell r="I153">
            <v>1.1992470005598838E-3</v>
          </cell>
        </row>
        <row r="154">
          <cell r="A154" t="str">
            <v>T_C-ICE-NGA-S4</v>
          </cell>
          <cell r="B154" t="str">
            <v>VAR_ncap</v>
          </cell>
          <cell r="C154" t="str">
            <v>-</v>
          </cell>
          <cell r="E154">
            <v>1.6010554856294399E-8</v>
          </cell>
          <cell r="F154">
            <v>4.4288270350684104E-6</v>
          </cell>
          <cell r="G154">
            <v>3.9676002797691397E-5</v>
          </cell>
          <cell r="H154">
            <v>3.3140653785540101E-5</v>
          </cell>
          <cell r="I154">
            <v>6.1210515925333493E-5</v>
          </cell>
        </row>
        <row r="155">
          <cell r="A155" t="str">
            <v>T_C-ICE-NGA-S4</v>
          </cell>
          <cell r="B155" t="str">
            <v>VAR_cap</v>
          </cell>
          <cell r="C155" t="str">
            <v>-</v>
          </cell>
          <cell r="D155">
            <v>1.3482428115016E-6</v>
          </cell>
          <cell r="E155">
            <v>5.6620697687830167E-7</v>
          </cell>
          <cell r="F155">
            <v>4.9448068026943192E-6</v>
          </cell>
          <cell r="G155">
            <v>4.2036407027304502E-5</v>
          </cell>
          <cell r="H155">
            <v>7.3065459198785095E-5</v>
          </cell>
          <cell r="I155">
            <v>7.6531780919479706E-5</v>
          </cell>
        </row>
        <row r="156">
          <cell r="A156" t="str">
            <v>T_C-MHY-GSL-S1</v>
          </cell>
          <cell r="B156" t="str">
            <v>VAR_fout</v>
          </cell>
          <cell r="C156" t="str">
            <v>CO2_T</v>
          </cell>
          <cell r="E156">
            <v>7.8005041402919294E-6</v>
          </cell>
          <cell r="F156">
            <v>1.9776416642496137E-3</v>
          </cell>
          <cell r="G156">
            <v>6.65096509111266E-3</v>
          </cell>
          <cell r="H156">
            <v>3.2995088882427442E-3</v>
          </cell>
          <cell r="I156">
            <v>5.081539565518938E-4</v>
          </cell>
        </row>
        <row r="157">
          <cell r="A157" t="str">
            <v>T_C-MHY-GSL-S1</v>
          </cell>
          <cell r="B157" t="str">
            <v>VAR_fout</v>
          </cell>
          <cell r="C157" t="str">
            <v>TPCAR</v>
          </cell>
          <cell r="E157">
            <v>5.4791277630880498E-8</v>
          </cell>
          <cell r="F157">
            <v>1.4805977003418173E-5</v>
          </cell>
          <cell r="G157">
            <v>5.3596979348481292E-5</v>
          </cell>
          <cell r="H157">
            <v>2.8964255286248527E-5</v>
          </cell>
          <cell r="I157">
            <v>5.2844690074571656E-6</v>
          </cell>
        </row>
        <row r="158">
          <cell r="A158" t="str">
            <v>T_C-MHY-GSL-S1</v>
          </cell>
          <cell r="B158" t="str">
            <v>VAR_fin</v>
          </cell>
          <cell r="C158" t="str">
            <v>TGSL</v>
          </cell>
          <cell r="E158">
            <v>1.0569788807983648E-7</v>
          </cell>
          <cell r="F158">
            <v>2.6797312523707486E-5</v>
          </cell>
          <cell r="G158">
            <v>9.0121478199358583E-5</v>
          </cell>
          <cell r="H158">
            <v>4.470879252361449E-5</v>
          </cell>
          <cell r="I158">
            <v>6.8855549668278232E-6</v>
          </cell>
        </row>
        <row r="159">
          <cell r="A159" t="str">
            <v>T_C-MHY-GSL-S1</v>
          </cell>
          <cell r="B159" t="str">
            <v>VAR_ncap</v>
          </cell>
          <cell r="C159" t="str">
            <v>-</v>
          </cell>
          <cell r="E159">
            <v>8.7303346733013097E-8</v>
          </cell>
          <cell r="F159">
            <v>2.2683022856468402E-6</v>
          </cell>
          <cell r="G159">
            <v>6.5154562167296902E-6</v>
          </cell>
          <cell r="H159">
            <v>1.11725789627953E-6</v>
          </cell>
          <cell r="I159">
            <v>3.3094171070701102E-7</v>
          </cell>
        </row>
        <row r="160">
          <cell r="A160" t="str">
            <v>T_C-MHY-GSL-S1</v>
          </cell>
          <cell r="B160" t="str">
            <v>VAR_cap</v>
          </cell>
          <cell r="C160" t="str">
            <v>-</v>
          </cell>
          <cell r="E160">
            <v>8.6141064102311903E-8</v>
          </cell>
          <cell r="F160">
            <v>2.3193144980820701E-6</v>
          </cell>
          <cell r="G160">
            <v>8.2103748800840008E-6</v>
          </cell>
          <cell r="H160">
            <v>4.5396428614056001E-6</v>
          </cell>
          <cell r="I160">
            <v>1.07675624243344E-6</v>
          </cell>
        </row>
        <row r="161">
          <cell r="A161" t="str">
            <v>T_TRLY_ELC</v>
          </cell>
          <cell r="B161" t="str">
            <v>VAR_fout</v>
          </cell>
          <cell r="C161" t="str">
            <v>TPTRLY</v>
          </cell>
          <cell r="D161">
            <v>2.7120999999999972E-2</v>
          </cell>
          <cell r="E161">
            <v>2.7694845980498664E-2</v>
          </cell>
          <cell r="F161">
            <v>2.8555614951246824E-2</v>
          </cell>
          <cell r="G161">
            <v>2.9990229902493611E-2</v>
          </cell>
          <cell r="H161">
            <v>3.1735270862320301E-2</v>
          </cell>
          <cell r="I161">
            <v>3.3293633053523473E-2</v>
          </cell>
        </row>
        <row r="162">
          <cell r="A162" t="str">
            <v>T_TRLY_ELC</v>
          </cell>
          <cell r="B162" t="str">
            <v>VAR_fin</v>
          </cell>
          <cell r="C162" t="str">
            <v>TELC</v>
          </cell>
          <cell r="D162">
            <v>0.2816422643485601</v>
          </cell>
          <cell r="E162">
            <v>0.30572256601970044</v>
          </cell>
          <cell r="F162">
            <v>0.34812655233284884</v>
          </cell>
          <cell r="G162">
            <v>0.4426134819667506</v>
          </cell>
          <cell r="H162">
            <v>0.46836782456147874</v>
          </cell>
          <cell r="I162">
            <v>0.49136705190506269</v>
          </cell>
        </row>
        <row r="163">
          <cell r="A163" t="str">
            <v>T_C-MHY-GSL-S2</v>
          </cell>
          <cell r="B163" t="str">
            <v>VAR_fout</v>
          </cell>
          <cell r="C163" t="str">
            <v>CO2_T</v>
          </cell>
          <cell r="E163">
            <v>1.4491017600731001E-4</v>
          </cell>
          <cell r="F163">
            <v>1.6116143646544149E-3</v>
          </cell>
          <cell r="G163">
            <v>2.6729101706089017E-3</v>
          </cell>
          <cell r="H163">
            <v>1.6776780787430665E-3</v>
          </cell>
          <cell r="I163">
            <v>4.7348031228423295E-4</v>
          </cell>
        </row>
        <row r="164">
          <cell r="A164" t="str">
            <v>T_C-MHY-GSL-S2</v>
          </cell>
          <cell r="B164" t="str">
            <v>VAR_fout</v>
          </cell>
          <cell r="C164" t="str">
            <v>TPCAR</v>
          </cell>
          <cell r="E164">
            <v>8.1946333859629906E-7</v>
          </cell>
          <cell r="F164">
            <v>9.7052550555212228E-6</v>
          </cell>
          <cell r="G164">
            <v>1.7003462428343179E-5</v>
          </cell>
          <cell r="H164">
            <v>1.2741632120736569E-5</v>
          </cell>
          <cell r="I164">
            <v>4.1218171274243983E-6</v>
          </cell>
        </row>
        <row r="165">
          <cell r="A165" t="str">
            <v>T_C-MHY-GSL-S2</v>
          </cell>
          <cell r="B165" t="str">
            <v>VAR_fin</v>
          </cell>
          <cell r="C165" t="str">
            <v>TGSL</v>
          </cell>
          <cell r="E165">
            <v>1.963552520424249E-6</v>
          </cell>
          <cell r="F165">
            <v>2.1837593016997468E-5</v>
          </cell>
          <cell r="G165">
            <v>3.6218294994700547E-5</v>
          </cell>
          <cell r="H165">
            <v>2.2732765294621503E-5</v>
          </cell>
          <cell r="I165">
            <v>6.4157223886752391E-6</v>
          </cell>
        </row>
        <row r="166">
          <cell r="A166" t="str">
            <v>T_C-MHY-GSL-S2</v>
          </cell>
          <cell r="B166" t="str">
            <v>VAR_ncap</v>
          </cell>
          <cell r="C166" t="str">
            <v>-</v>
          </cell>
          <cell r="E166">
            <v>1.0648372342812E-7</v>
          </cell>
          <cell r="F166">
            <v>8.5784993861765797E-7</v>
          </cell>
          <cell r="G166">
            <v>8.47263113705449E-7</v>
          </cell>
          <cell r="H166">
            <v>5.4672934816618198E-7</v>
          </cell>
          <cell r="I166">
            <v>2.4846188434438797E-7</v>
          </cell>
        </row>
        <row r="167">
          <cell r="A167" t="str">
            <v>T_C-MHY-GSL-S2</v>
          </cell>
          <cell r="B167" t="str">
            <v>VAR_cap</v>
          </cell>
          <cell r="C167" t="str">
            <v>-</v>
          </cell>
          <cell r="E167">
            <v>1.05066089547813E-7</v>
          </cell>
          <cell r="F167">
            <v>9.4548149793591899E-7</v>
          </cell>
          <cell r="G167">
            <v>1.62698141750153E-6</v>
          </cell>
          <cell r="H167">
            <v>1.4218439815452801E-6</v>
          </cell>
          <cell r="I167">
            <v>6.3538556529081704E-7</v>
          </cell>
        </row>
        <row r="168">
          <cell r="A168" t="str">
            <v>T_C-MHY-DSL-S1</v>
          </cell>
          <cell r="B168" t="str">
            <v>VAR_fout</v>
          </cell>
          <cell r="C168" t="str">
            <v>CO2_T</v>
          </cell>
          <cell r="E168">
            <v>8.81713802287695E-6</v>
          </cell>
          <cell r="F168">
            <v>1.5199710190689256E-3</v>
          </cell>
          <cell r="G168">
            <v>4.7572478349128897E-3</v>
          </cell>
          <cell r="H168">
            <v>4.1761644095072072E-3</v>
          </cell>
          <cell r="I168">
            <v>2.7925120186061874E-3</v>
          </cell>
        </row>
        <row r="169">
          <cell r="A169" t="str">
            <v>T_C-MHY-DSL-S1</v>
          </cell>
          <cell r="B169" t="str">
            <v>VAR_fout</v>
          </cell>
          <cell r="C169" t="str">
            <v>TPCAR</v>
          </cell>
          <cell r="E169">
            <v>6.7606331708451104E-8</v>
          </cell>
          <cell r="F169">
            <v>1.2284688607627646E-5</v>
          </cell>
          <cell r="G169">
            <v>4.0825746079898216E-5</v>
          </cell>
          <cell r="H169">
            <v>4.0767461442247881E-5</v>
          </cell>
          <cell r="I169">
            <v>3.2389927132841106E-5</v>
          </cell>
        </row>
        <row r="170">
          <cell r="A170" t="str">
            <v>T_C-MHY-DSL-S1</v>
          </cell>
          <cell r="B170" t="str">
            <v>VAR_fin</v>
          </cell>
          <cell r="C170" t="str">
            <v>TDSL</v>
          </cell>
          <cell r="E170">
            <v>1.2028837684688881E-7</v>
          </cell>
          <cell r="F170">
            <v>2.0736303125087625E-5</v>
          </cell>
          <cell r="G170">
            <v>6.4901061867843037E-5</v>
          </cell>
          <cell r="H170">
            <v>5.6973593581271671E-5</v>
          </cell>
          <cell r="I170">
            <v>3.8097026174709235E-5</v>
          </cell>
        </row>
        <row r="171">
          <cell r="A171" t="str">
            <v>T_C-MHY-DSL-S1</v>
          </cell>
          <cell r="B171" t="str">
            <v>VAR_ncap</v>
          </cell>
          <cell r="C171" t="str">
            <v>-</v>
          </cell>
          <cell r="E171">
            <v>8.8942232405226502E-8</v>
          </cell>
          <cell r="F171">
            <v>1.87523323328789E-6</v>
          </cell>
          <cell r="G171">
            <v>4.8155750462957903E-6</v>
          </cell>
          <cell r="H171">
            <v>3.6366475596327898E-6</v>
          </cell>
          <cell r="I171">
            <v>3.47029313219419E-6</v>
          </cell>
        </row>
        <row r="172">
          <cell r="A172" t="str">
            <v>T_C-MHY-DSL-S1</v>
          </cell>
          <cell r="B172" t="str">
            <v>VAR_cap</v>
          </cell>
          <cell r="C172" t="str">
            <v>-</v>
          </cell>
          <cell r="E172">
            <v>8.77581310422338E-8</v>
          </cell>
          <cell r="F172">
            <v>1.9330029414972701E-6</v>
          </cell>
          <cell r="G172">
            <v>6.2589115805770602E-6</v>
          </cell>
          <cell r="H172">
            <v>6.3094366217260401E-6</v>
          </cell>
          <cell r="I172">
            <v>5.0408203341972303E-6</v>
          </cell>
        </row>
        <row r="173">
          <cell r="A173" t="str">
            <v>T_C-MHY-GSL-S3</v>
          </cell>
          <cell r="B173" t="str">
            <v>VAR_fout</v>
          </cell>
          <cell r="C173" t="str">
            <v>CO2_T</v>
          </cell>
          <cell r="E173">
            <v>1.5978233292965601E-4</v>
          </cell>
          <cell r="F173">
            <v>1.9931879691239161E-3</v>
          </cell>
          <cell r="G173">
            <v>3.1787160612722592E-3</v>
          </cell>
          <cell r="H173">
            <v>1.8307385667249052E-3</v>
          </cell>
          <cell r="I173">
            <v>5.7738619493575508E-4</v>
          </cell>
        </row>
        <row r="174">
          <cell r="A174" t="str">
            <v>T_C-MHY-GSL-S3</v>
          </cell>
          <cell r="B174" t="str">
            <v>VAR_fout</v>
          </cell>
          <cell r="C174" t="str">
            <v>TPCAR</v>
          </cell>
          <cell r="E174">
            <v>8.3998289050379845E-7</v>
          </cell>
          <cell r="F174">
            <v>1.1163100049880728E-5</v>
          </cell>
          <cell r="G174">
            <v>1.873081675890184E-5</v>
          </cell>
          <cell r="H174">
            <v>1.3017392509278808E-5</v>
          </cell>
          <cell r="I174">
            <v>4.7839581811450409E-6</v>
          </cell>
        </row>
        <row r="175">
          <cell r="A175" t="str">
            <v>T_C-MHY-GSL-S3</v>
          </cell>
          <cell r="B175" t="str">
            <v>VAR_fin</v>
          </cell>
          <cell r="C175" t="str">
            <v>TGSL</v>
          </cell>
          <cell r="E175">
            <v>2.1650722619194597E-6</v>
          </cell>
          <cell r="F175">
            <v>2.7007967061299655E-5</v>
          </cell>
          <cell r="G175">
            <v>4.3072033350572524E-5</v>
          </cell>
          <cell r="H175">
            <v>2.4806755646678919E-5</v>
          </cell>
          <cell r="I175">
            <v>7.8236611779912558E-6</v>
          </cell>
        </row>
        <row r="176">
          <cell r="A176" t="str">
            <v>T_C-MHY-GSL-S3</v>
          </cell>
          <cell r="B176" t="str">
            <v>VAR_ncap</v>
          </cell>
          <cell r="C176" t="str">
            <v>-</v>
          </cell>
          <cell r="E176">
            <v>1.0147779453625001E-7</v>
          </cell>
          <cell r="F176">
            <v>7.9235616894068605E-7</v>
          </cell>
          <cell r="G176">
            <v>6.9230093161293095E-7</v>
          </cell>
          <cell r="H176">
            <v>4.9343216784933202E-7</v>
          </cell>
          <cell r="I176">
            <v>2.8414606477000798E-7</v>
          </cell>
        </row>
        <row r="177">
          <cell r="A177" t="str">
            <v>T_C-MHY-GSL-S3</v>
          </cell>
          <cell r="B177" t="str">
            <v>VAR_cap</v>
          </cell>
          <cell r="C177" t="str">
            <v>-</v>
          </cell>
          <cell r="E177">
            <v>1.00126805342766E-7</v>
          </cell>
          <cell r="F177">
            <v>8.76203090613745E-7</v>
          </cell>
          <cell r="G177">
            <v>1.4195052751974001E-6</v>
          </cell>
          <cell r="H177">
            <v>1.24997176304163E-6</v>
          </cell>
          <cell r="I177">
            <v>6.2250452732729605E-7</v>
          </cell>
        </row>
        <row r="178">
          <cell r="A178" t="str">
            <v>T_C-MHY-DSL-S2</v>
          </cell>
          <cell r="B178" t="str">
            <v>VAR_fout</v>
          </cell>
          <cell r="C178" t="str">
            <v>CO2_T</v>
          </cell>
          <cell r="E178">
            <v>1.4185089766273601E-4</v>
          </cell>
          <cell r="F178">
            <v>1.3561888562056829E-3</v>
          </cell>
          <cell r="G178">
            <v>2.5011207494803158E-3</v>
          </cell>
          <cell r="H178">
            <v>1.7535700062128907E-3</v>
          </cell>
          <cell r="I178">
            <v>1.3584217958163029E-3</v>
          </cell>
        </row>
        <row r="179">
          <cell r="A179" t="str">
            <v>T_C-MHY-DSL-S2</v>
          </cell>
          <cell r="B179" t="str">
            <v>VAR_fout</v>
          </cell>
          <cell r="C179" t="str">
            <v>TPCAR</v>
          </cell>
          <cell r="E179">
            <v>8.7491129064258901E-7</v>
          </cell>
          <cell r="F179">
            <v>8.8085821198892413E-6</v>
          </cell>
          <cell r="G179">
            <v>1.7035397720297534E-5</v>
          </cell>
          <cell r="H179">
            <v>1.4122103385713293E-5</v>
          </cell>
          <cell r="I179">
            <v>1.3207126100937549E-5</v>
          </cell>
        </row>
        <row r="180">
          <cell r="A180" t="str">
            <v>T_C-MHY-DSL-S2</v>
          </cell>
          <cell r="B180" t="str">
            <v>VAR_fin</v>
          </cell>
          <cell r="C180" t="str">
            <v>TDSL</v>
          </cell>
          <cell r="E180">
            <v>1.9352100636116818E-6</v>
          </cell>
          <cell r="F180">
            <v>1.850189435478428E-5</v>
          </cell>
          <cell r="G180">
            <v>3.4121701902869249E-5</v>
          </cell>
          <cell r="H180">
            <v>2.3923192444923493E-5</v>
          </cell>
          <cell r="I180">
            <v>1.8532357378121465E-5</v>
          </cell>
        </row>
        <row r="181">
          <cell r="A181" t="str">
            <v>T_C-MHY-DSL-S2</v>
          </cell>
          <cell r="B181" t="str">
            <v>VAR_ncap</v>
          </cell>
          <cell r="C181" t="str">
            <v>-</v>
          </cell>
          <cell r="E181">
            <v>1.11886390152031E-7</v>
          </cell>
          <cell r="F181">
            <v>7.4397852735797997E-7</v>
          </cell>
          <cell r="G181">
            <v>7.6927777161737196E-7</v>
          </cell>
          <cell r="H181">
            <v>7.5896868018846298E-7</v>
          </cell>
          <cell r="I181">
            <v>1.0905826923739601E-6</v>
          </cell>
        </row>
        <row r="182">
          <cell r="A182" t="str">
            <v>T_C-MHY-DSL-S2</v>
          </cell>
          <cell r="B182" t="str">
            <v>VAR_cap</v>
          </cell>
          <cell r="C182" t="str">
            <v>-</v>
          </cell>
          <cell r="E182">
            <v>1.10396829754269E-7</v>
          </cell>
          <cell r="F182">
            <v>8.3815168962035005E-7</v>
          </cell>
          <cell r="G182">
            <v>1.4582981699288399E-6</v>
          </cell>
          <cell r="H182">
            <v>1.54784547448908E-6</v>
          </cell>
          <cell r="I182">
            <v>1.4502247524950199E-6</v>
          </cell>
        </row>
        <row r="183">
          <cell r="A183" t="str">
            <v>T_C-MHY-GSL-S4</v>
          </cell>
          <cell r="B183" t="str">
            <v>VAR_fout</v>
          </cell>
          <cell r="C183" t="str">
            <v>CO2_T</v>
          </cell>
          <cell r="E183">
            <v>2.2384310416902699E-4</v>
          </cell>
          <cell r="F183">
            <v>2.8517335907948401E-3</v>
          </cell>
          <cell r="G183">
            <v>4.9467380655453218E-3</v>
          </cell>
          <cell r="H183">
            <v>7.6896198949829159E-3</v>
          </cell>
          <cell r="I183">
            <v>1.1309866474992873E-2</v>
          </cell>
        </row>
        <row r="184">
          <cell r="A184" t="str">
            <v>T_C-MHY-GSL-S4</v>
          </cell>
          <cell r="B184" t="str">
            <v>VAR_fout</v>
          </cell>
          <cell r="C184" t="str">
            <v>TPCAR</v>
          </cell>
          <cell r="E184">
            <v>1.1929945339685521E-6</v>
          </cell>
          <cell r="F184">
            <v>1.6160796342443622E-5</v>
          </cell>
          <cell r="G184">
            <v>2.9571108141273316E-5</v>
          </cell>
          <cell r="H184">
            <v>5.7422158167439215E-5</v>
          </cell>
          <cell r="I184">
            <v>1.031349329205245E-4</v>
          </cell>
        </row>
        <row r="185">
          <cell r="A185" t="str">
            <v>T_C-MHY-GSL-S4</v>
          </cell>
          <cell r="B185" t="str">
            <v>VAR_fin</v>
          </cell>
          <cell r="C185" t="str">
            <v>TGSL</v>
          </cell>
          <cell r="E185">
            <v>3.0331043925342415E-6</v>
          </cell>
          <cell r="F185">
            <v>3.8641376569035785E-5</v>
          </cell>
          <cell r="G185">
            <v>6.7028971077849963E-5</v>
          </cell>
          <cell r="H185">
            <v>1.0419539153093377E-4</v>
          </cell>
          <cell r="I185">
            <v>1.5325022323838599E-4</v>
          </cell>
        </row>
        <row r="186">
          <cell r="A186" t="str">
            <v>T_C-MHY-GSL-S4</v>
          </cell>
          <cell r="B186" t="str">
            <v>VAR_ncap</v>
          </cell>
          <cell r="C186" t="str">
            <v>-</v>
          </cell>
          <cell r="E186">
            <v>1.56590008001695E-7</v>
          </cell>
          <cell r="F186">
            <v>1.34439756115804E-6</v>
          </cell>
          <cell r="G186">
            <v>1.38386754093837E-6</v>
          </cell>
          <cell r="H186">
            <v>4.8376216551599803E-6</v>
          </cell>
          <cell r="I186">
            <v>1.03641992785074E-5</v>
          </cell>
        </row>
        <row r="187">
          <cell r="A187" t="str">
            <v>T_C-MHY-GSL-S4</v>
          </cell>
          <cell r="B187" t="str">
            <v>VAR_cap</v>
          </cell>
          <cell r="C187" t="str">
            <v>-</v>
          </cell>
          <cell r="E187">
            <v>1.54505301592921E-7</v>
          </cell>
          <cell r="F187">
            <v>1.4721610152368601E-6</v>
          </cell>
          <cell r="G187">
            <v>2.5952287737047401E-6</v>
          </cell>
          <cell r="H187">
            <v>6.3289307347948798E-6</v>
          </cell>
          <cell r="I187">
            <v>1.15981180951741E-5</v>
          </cell>
        </row>
        <row r="188">
          <cell r="A188" t="str">
            <v>T_C-MHY-DSL-S3</v>
          </cell>
          <cell r="B188" t="str">
            <v>VAR_fout</v>
          </cell>
          <cell r="C188" t="str">
            <v>CO2_T</v>
          </cell>
          <cell r="E188">
            <v>1.5262889016327101E-4</v>
          </cell>
          <cell r="F188">
            <v>1.604679057995876E-3</v>
          </cell>
          <cell r="G188">
            <v>2.5959971558140813E-3</v>
          </cell>
          <cell r="H188">
            <v>1.8439628082700128E-3</v>
          </cell>
          <cell r="I188">
            <v>3.123591694812803E-3</v>
          </cell>
        </row>
        <row r="189">
          <cell r="A189" t="str">
            <v>T_C-MHY-DSL-S3</v>
          </cell>
          <cell r="B189" t="str">
            <v>VAR_fout</v>
          </cell>
          <cell r="C189" t="str">
            <v>TPCAR</v>
          </cell>
          <cell r="E189">
            <v>8.7513094598661404E-7</v>
          </cell>
          <cell r="F189">
            <v>9.6916885384283611E-6</v>
          </cell>
          <cell r="G189">
            <v>1.6381353448022882E-5</v>
          </cell>
          <cell r="H189">
            <v>1.3885422796462925E-5</v>
          </cell>
          <cell r="I189">
            <v>2.9548811834329629E-5</v>
          </cell>
        </row>
        <row r="190">
          <cell r="A190" t="str">
            <v>T_C-MHY-DSL-S3</v>
          </cell>
          <cell r="B190" t="str">
            <v>VAR_fin</v>
          </cell>
          <cell r="C190" t="str">
            <v>TDSL</v>
          </cell>
          <cell r="E190">
            <v>2.0822495247376651E-6</v>
          </cell>
          <cell r="F190">
            <v>2.1891938035414349E-5</v>
          </cell>
          <cell r="G190">
            <v>3.5416059424475921E-5</v>
          </cell>
          <cell r="H190">
            <v>2.5156382104638628E-5</v>
          </cell>
          <cell r="I190">
            <v>4.261380211204371E-5</v>
          </cell>
        </row>
        <row r="191">
          <cell r="A191" t="str">
            <v>T_C-MHY-DSL-S3</v>
          </cell>
          <cell r="B191" t="str">
            <v>VAR_ncap</v>
          </cell>
          <cell r="C191" t="str">
            <v>-</v>
          </cell>
          <cell r="E191">
            <v>1.0451917763075E-7</v>
          </cell>
          <cell r="F191">
            <v>6.7596599193523496E-7</v>
          </cell>
          <cell r="G191">
            <v>6.0910849156735496E-7</v>
          </cell>
          <cell r="H191">
            <v>6.2007296636688701E-7</v>
          </cell>
          <cell r="I191">
            <v>2.1753479187989398E-6</v>
          </cell>
        </row>
        <row r="192">
          <cell r="A192" t="str">
            <v>T_C-MHY-DSL-S3</v>
          </cell>
          <cell r="B192" t="str">
            <v>VAR_cap</v>
          </cell>
          <cell r="C192" t="str">
            <v>-</v>
          </cell>
          <cell r="E192">
            <v>1.03127698045129E-7</v>
          </cell>
          <cell r="F192">
            <v>7.6419155915816297E-7</v>
          </cell>
          <cell r="G192">
            <v>1.24193668336003E-6</v>
          </cell>
          <cell r="H192">
            <v>1.2830682861159499E-6</v>
          </cell>
          <cell r="I192">
            <v>2.2869020075428201E-6</v>
          </cell>
        </row>
        <row r="193">
          <cell r="A193" t="str">
            <v>T_B_c-HYBDSL-S1</v>
          </cell>
          <cell r="B193" t="str">
            <v>VAR_fout</v>
          </cell>
          <cell r="C193" t="str">
            <v>CO2_T</v>
          </cell>
          <cell r="E193">
            <v>10.414912535207399</v>
          </cell>
          <cell r="F193">
            <v>10.415235160412644</v>
          </cell>
          <cell r="G193">
            <v>3.0823898155586216</v>
          </cell>
          <cell r="H193">
            <v>3.4168894427984726E-3</v>
          </cell>
          <cell r="I193">
            <v>2.8998668923112927</v>
          </cell>
        </row>
        <row r="194">
          <cell r="A194" t="str">
            <v>T_B_c-HYBDSL-S1</v>
          </cell>
          <cell r="B194" t="str">
            <v>VAR_fout</v>
          </cell>
          <cell r="C194" t="str">
            <v>TPBSc</v>
          </cell>
          <cell r="E194">
            <v>2.3090940900848855E-2</v>
          </cell>
          <cell r="F194">
            <v>2.3091731506931116E-2</v>
          </cell>
          <cell r="G194">
            <v>7.7523457412404743E-3</v>
          </cell>
          <cell r="H194">
            <v>9.2645792365706917E-6</v>
          </cell>
          <cell r="I194">
            <v>8.8985593848958707E-3</v>
          </cell>
        </row>
        <row r="195">
          <cell r="A195" t="str">
            <v>T_B_c-HYBDSL-S1</v>
          </cell>
          <cell r="B195" t="str">
            <v>VAR_fin</v>
          </cell>
          <cell r="C195" t="str">
            <v>TDSL</v>
          </cell>
          <cell r="E195">
            <v>0.14208611917063327</v>
          </cell>
          <cell r="F195">
            <v>0.14209052060590238</v>
          </cell>
          <cell r="G195">
            <v>4.2051702804346884E-2</v>
          </cell>
          <cell r="H195">
            <v>4.661513564527246E-5</v>
          </cell>
          <cell r="I195">
            <v>3.9561621996061273E-2</v>
          </cell>
        </row>
        <row r="196">
          <cell r="A196" t="str">
            <v>T_B_c-HYBDSL-S1</v>
          </cell>
          <cell r="B196" t="str">
            <v>VAR_ncap</v>
          </cell>
          <cell r="C196" t="str">
            <v>-</v>
          </cell>
          <cell r="E196">
            <v>5.0176416566028099E-4</v>
          </cell>
          <cell r="F196">
            <v>5.53361879674805E-8</v>
          </cell>
          <cell r="G196">
            <v>1.6837264922327201E-4</v>
          </cell>
          <cell r="H196">
            <v>1.2430497935854799E-7</v>
          </cell>
          <cell r="I196">
            <v>2.7157613543690701E-4</v>
          </cell>
        </row>
        <row r="197">
          <cell r="A197" t="str">
            <v>T_B_c-HYBDSL-S1</v>
          </cell>
          <cell r="B197" t="str">
            <v>VAR_cap</v>
          </cell>
          <cell r="C197" t="str">
            <v>-</v>
          </cell>
          <cell r="E197">
            <v>5.0176416566028099E-4</v>
          </cell>
          <cell r="F197">
            <v>5.0181950184824897E-4</v>
          </cell>
          <cell r="G197">
            <v>1.6850433573982492E-4</v>
          </cell>
          <cell r="H197">
            <v>2.5024634529760125E-7</v>
          </cell>
          <cell r="I197">
            <v>2.7165410538539602E-4</v>
          </cell>
        </row>
        <row r="198">
          <cell r="A198" t="str">
            <v>T_C-MHY-DSL-S4</v>
          </cell>
          <cell r="B198" t="str">
            <v>VAR_fout</v>
          </cell>
          <cell r="C198" t="str">
            <v>CO2_T</v>
          </cell>
          <cell r="E198">
            <v>1.4388730768898501E-4</v>
          </cell>
          <cell r="F198">
            <v>7.5296442448009491E-4</v>
          </cell>
          <cell r="G198">
            <v>1.1104592623886439E-3</v>
          </cell>
          <cell r="H198">
            <v>9.3504163407033601E-4</v>
          </cell>
          <cell r="I198">
            <v>7.7273559330819173E-4</v>
          </cell>
        </row>
        <row r="199">
          <cell r="A199" t="str">
            <v>T_C-MHY-DSL-S4</v>
          </cell>
          <cell r="B199" t="str">
            <v>VAR_fout</v>
          </cell>
          <cell r="C199" t="str">
            <v>TPCAR</v>
          </cell>
          <cell r="E199">
            <v>7.8408579137422695E-7</v>
          </cell>
          <cell r="F199">
            <v>4.3041711109310551E-6</v>
          </cell>
          <cell r="G199">
            <v>6.6335780352128809E-6</v>
          </cell>
          <cell r="H199">
            <v>6.6960902033559041E-6</v>
          </cell>
          <cell r="I199">
            <v>6.70931478703149E-6</v>
          </cell>
        </row>
        <row r="200">
          <cell r="A200" t="str">
            <v>T_C-MHY-DSL-S4</v>
          </cell>
          <cell r="B200" t="str">
            <v>VAR_fin</v>
          </cell>
          <cell r="C200" t="str">
            <v>TDSL</v>
          </cell>
          <cell r="E200">
            <v>1.9629919193585966E-6</v>
          </cell>
          <cell r="F200">
            <v>1.0272365954707988E-5</v>
          </cell>
          <cell r="G200">
            <v>1.51495124473212E-5</v>
          </cell>
          <cell r="H200">
            <v>1.2756366085543456E-5</v>
          </cell>
          <cell r="I200">
            <v>1.0542095406660188E-5</v>
          </cell>
        </row>
        <row r="201">
          <cell r="A201" t="str">
            <v>T_C-MHY-DSL-S4</v>
          </cell>
          <cell r="B201" t="str">
            <v>VAR_ncap</v>
          </cell>
          <cell r="C201" t="str">
            <v>-</v>
          </cell>
          <cell r="E201">
            <v>1.08941638938788E-7</v>
          </cell>
          <cell r="F201">
            <v>3.7659905313976899E-7</v>
          </cell>
          <cell r="G201">
            <v>3.3030922428610501E-7</v>
          </cell>
          <cell r="H201">
            <v>4.2087786083320298E-7</v>
          </cell>
          <cell r="I201">
            <v>6.1716984856574897E-7</v>
          </cell>
        </row>
        <row r="202">
          <cell r="A202" t="str">
            <v>T_C-MHY-DSL-S4</v>
          </cell>
          <cell r="B202" t="str">
            <v>VAR_cap</v>
          </cell>
          <cell r="C202" t="str">
            <v>-</v>
          </cell>
          <cell r="E202">
            <v>1.07491282458344E-7</v>
          </cell>
          <cell r="F202">
            <v>4.7292395618954801E-7</v>
          </cell>
          <cell r="G202">
            <v>7.2121509137458897E-7</v>
          </cell>
          <cell r="H202">
            <v>8.5558779322972697E-7</v>
          </cell>
          <cell r="I202">
            <v>8.2567054629325898E-7</v>
          </cell>
        </row>
        <row r="203">
          <cell r="A203" t="str">
            <v>T_B_c-HYBDSL-S2</v>
          </cell>
          <cell r="B203" t="str">
            <v>VAR_fout</v>
          </cell>
          <cell r="C203" t="str">
            <v>CO2_T</v>
          </cell>
          <cell r="E203">
            <v>3.3108566531727703E-4</v>
          </cell>
          <cell r="F203">
            <v>6.9044661038052601E-4</v>
          </cell>
          <cell r="G203">
            <v>6.1672245311273164E-3</v>
          </cell>
          <cell r="H203">
            <v>3.2905691517756078E-3</v>
          </cell>
          <cell r="I203">
            <v>6.3259238779298042E-4</v>
          </cell>
        </row>
        <row r="204">
          <cell r="A204" t="str">
            <v>T_B_c-HYBDSL-S2</v>
          </cell>
          <cell r="B204" t="str">
            <v>VAR_fout</v>
          </cell>
          <cell r="C204" t="str">
            <v>TPBSc</v>
          </cell>
          <cell r="E204">
            <v>5.2618651790123675E-7</v>
          </cell>
          <cell r="F204">
            <v>1.1273981943093587E-6</v>
          </cell>
          <cell r="G204">
            <v>1.1015134861579637E-5</v>
          </cell>
          <cell r="H204">
            <v>6.2642402106112444E-6</v>
          </cell>
          <cell r="I204">
            <v>1.3146380354546995E-6</v>
          </cell>
        </row>
        <row r="205">
          <cell r="A205" t="str">
            <v>T_B_c-HYBDSL-S2</v>
          </cell>
          <cell r="B205" t="str">
            <v>VAR_fin</v>
          </cell>
          <cell r="C205" t="str">
            <v>TDSL</v>
          </cell>
          <cell r="E205">
            <v>4.5168576441647547E-6</v>
          </cell>
          <cell r="F205">
            <v>9.4194626245637988E-6</v>
          </cell>
          <cell r="G205">
            <v>8.4136760315515945E-5</v>
          </cell>
          <cell r="H205">
            <v>4.489180288916247E-5</v>
          </cell>
          <cell r="I205">
            <v>8.6301826438332973E-6</v>
          </cell>
        </row>
        <row r="206">
          <cell r="A206" t="str">
            <v>T_B_c-HYBDSL-S2</v>
          </cell>
          <cell r="B206" t="str">
            <v>VAR_ncap</v>
          </cell>
          <cell r="C206" t="str">
            <v>-</v>
          </cell>
          <cell r="E206">
            <v>2.3566237221573201E-8</v>
          </cell>
          <cell r="F206">
            <v>2.7385401718253002E-8</v>
          </cell>
          <cell r="G206">
            <v>2.20728529336417E-7</v>
          </cell>
          <cell r="H206">
            <v>4.7390633669362601E-8</v>
          </cell>
          <cell r="I206">
            <v>2.6853419550800899E-8</v>
          </cell>
        </row>
        <row r="207">
          <cell r="A207" t="str">
            <v>T_B_c-HYBDSL-S2</v>
          </cell>
          <cell r="B207" t="str">
            <v>VAR_cap</v>
          </cell>
          <cell r="C207" t="str">
            <v>-</v>
          </cell>
          <cell r="E207">
            <v>2.3566237221573201E-8</v>
          </cell>
          <cell r="F207">
            <v>5.0951638939826203E-8</v>
          </cell>
          <cell r="G207">
            <v>2.6855774957722898E-7</v>
          </cell>
          <cell r="H207">
            <v>1.80220317250874E-7</v>
          </cell>
          <cell r="I207">
            <v>6.7069293622168696E-8</v>
          </cell>
        </row>
        <row r="208">
          <cell r="A208" t="str">
            <v>T_C-BATELCEXT</v>
          </cell>
          <cell r="B208" t="str">
            <v>VAR_fout</v>
          </cell>
          <cell r="C208" t="str">
            <v>TPCAR</v>
          </cell>
          <cell r="D208">
            <v>0.41619602689593543</v>
          </cell>
          <cell r="F208">
            <v>0.2774640375359736</v>
          </cell>
          <cell r="G208">
            <v>0.13873201788660572</v>
          </cell>
        </row>
        <row r="209">
          <cell r="A209" t="str">
            <v>T_C-BATELCEXT</v>
          </cell>
          <cell r="B209" t="str">
            <v>VAR_fin</v>
          </cell>
          <cell r="C209" t="str">
            <v>T-ELC-car</v>
          </cell>
          <cell r="D209">
            <v>0.46789254058017565</v>
          </cell>
          <cell r="F209">
            <v>0.26222969022918718</v>
          </cell>
          <cell r="G209">
            <v>0.11309562850438591</v>
          </cell>
        </row>
        <row r="210">
          <cell r="A210" t="str">
            <v>T_C-BATELCEXT</v>
          </cell>
          <cell r="B210" t="str">
            <v>VAR_cap</v>
          </cell>
          <cell r="C210" t="str">
            <v>-</v>
          </cell>
          <cell r="D210">
            <v>4.2040000000000001E-2</v>
          </cell>
          <cell r="E210">
            <v>3.6434666666666699E-2</v>
          </cell>
          <cell r="F210">
            <v>2.80266666666667E-2</v>
          </cell>
          <cell r="G210">
            <v>1.40133333333333E-2</v>
          </cell>
        </row>
        <row r="211">
          <cell r="A211" t="str">
            <v>D-TDSL</v>
          </cell>
          <cell r="B211" t="str">
            <v>VAR_fout</v>
          </cell>
          <cell r="C211" t="str">
            <v>CO2</v>
          </cell>
          <cell r="D211">
            <v>8763.6897865052106</v>
          </cell>
          <cell r="E211">
            <v>8306.52795696471</v>
          </cell>
          <cell r="F211">
            <v>6990.6023022278596</v>
          </cell>
          <cell r="G211">
            <v>4817.7962285991698</v>
          </cell>
          <cell r="H211">
            <v>3075.2720416861998</v>
          </cell>
          <cell r="I211">
            <v>6.9055846803649903</v>
          </cell>
        </row>
        <row r="212">
          <cell r="A212" t="str">
            <v>D-TDSL</v>
          </cell>
          <cell r="B212" t="str">
            <v>VAR_fout</v>
          </cell>
          <cell r="C212" t="str">
            <v>TDSL</v>
          </cell>
          <cell r="D212">
            <v>117.80215120850195</v>
          </cell>
          <cell r="E212">
            <v>111.65694886996017</v>
          </cell>
          <cell r="F212">
            <v>93.968181155114621</v>
          </cell>
          <cell r="G212">
            <v>64.761164947568972</v>
          </cell>
          <cell r="H212">
            <v>41.338028945278658</v>
          </cell>
          <cell r="I212">
            <v>9.2825368140270093E-2</v>
          </cell>
        </row>
        <row r="213">
          <cell r="A213" t="str">
            <v>D-TDSL</v>
          </cell>
          <cell r="B213" t="str">
            <v>VAR_fin</v>
          </cell>
          <cell r="C213" t="str">
            <v>DSL</v>
          </cell>
          <cell r="D213">
            <v>119.5592058186251</v>
          </cell>
          <cell r="E213">
            <v>113.32234593403416</v>
          </cell>
          <cell r="F213">
            <v>95.369744914432061</v>
          </cell>
          <cell r="G213">
            <v>65.727097252376069</v>
          </cell>
          <cell r="H213">
            <v>41.954598113044931</v>
          </cell>
          <cell r="I213">
            <v>9.4209886498840253E-2</v>
          </cell>
        </row>
        <row r="214">
          <cell r="A214" t="str">
            <v>T_B_c-HYBDSL-S3</v>
          </cell>
          <cell r="B214" t="str">
            <v>VAR_fout</v>
          </cell>
          <cell r="C214" t="str">
            <v>CO2_T</v>
          </cell>
          <cell r="E214">
            <v>1.2937025703778701E-4</v>
          </cell>
          <cell r="F214">
            <v>1.6918552325268589E-4</v>
          </cell>
          <cell r="G214">
            <v>5.2121776935784627</v>
          </cell>
          <cell r="H214">
            <v>1.089013019940565E-2</v>
          </cell>
          <cell r="I214">
            <v>1.1010963077196891E-3</v>
          </cell>
        </row>
        <row r="215">
          <cell r="A215" t="str">
            <v>T_B_c-HYBDSL-S3</v>
          </cell>
          <cell r="B215" t="str">
            <v>VAR_fout</v>
          </cell>
          <cell r="C215" t="str">
            <v>TPBSc</v>
          </cell>
          <cell r="E215">
            <v>1.380817080384139E-7</v>
          </cell>
          <cell r="F215">
            <v>1.8504350519550617E-7</v>
          </cell>
          <cell r="G215">
            <v>6.3153498431743147E-3</v>
          </cell>
          <cell r="H215">
            <v>1.4218473956881888E-5</v>
          </cell>
          <cell r="I215">
            <v>1.4984077587288076E-6</v>
          </cell>
        </row>
        <row r="216">
          <cell r="A216" t="str">
            <v>T_B_c-HYBDSL-S3</v>
          </cell>
          <cell r="B216" t="str">
            <v>VAR_fin</v>
          </cell>
          <cell r="C216" t="str">
            <v>TDSL</v>
          </cell>
          <cell r="E216">
            <v>1.7649421151130628E-6</v>
          </cell>
          <cell r="F216">
            <v>2.3081244645659762E-6</v>
          </cell>
          <cell r="G216">
            <v>7.1107471945135961E-2</v>
          </cell>
          <cell r="H216">
            <v>1.4856930694959953E-4</v>
          </cell>
          <cell r="I216">
            <v>1.5021777731510082E-5</v>
          </cell>
        </row>
        <row r="217">
          <cell r="A217" t="str">
            <v>T_B_c-HYBDSL-S3</v>
          </cell>
          <cell r="B217" t="str">
            <v>VAR_ncap</v>
          </cell>
          <cell r="C217" t="str">
            <v>-</v>
          </cell>
          <cell r="E217">
            <v>1.3816867803819099E-8</v>
          </cell>
          <cell r="F217">
            <v>1.3730860101130001E-8</v>
          </cell>
          <cell r="G217">
            <v>1.37228928285916E-4</v>
          </cell>
          <cell r="H217">
            <v>1.33135348862893E-7</v>
          </cell>
          <cell r="I217">
            <v>1.6702404621755601E-8</v>
          </cell>
        </row>
        <row r="218">
          <cell r="A218" t="str">
            <v>T_B_c-HYBDSL-S3</v>
          </cell>
          <cell r="B218" t="str">
            <v>VAR_cap</v>
          </cell>
          <cell r="C218" t="str">
            <v>-</v>
          </cell>
          <cell r="E218">
            <v>1.3816867803819099E-8</v>
          </cell>
          <cell r="F218">
            <v>2.7547727904949102E-8</v>
          </cell>
          <cell r="G218">
            <v>1.37250845553766E-4</v>
          </cell>
          <cell r="H218">
            <v>3.23862561425974E-7</v>
          </cell>
          <cell r="I218">
            <v>6.2304090300016604E-8</v>
          </cell>
        </row>
        <row r="219">
          <cell r="A219" t="str">
            <v>T-Bat-Car-STG_S1</v>
          </cell>
          <cell r="B219" t="str">
            <v>VAR_fout</v>
          </cell>
          <cell r="C219" t="str">
            <v>T-ELC-car-BatSTGAUXout_S1</v>
          </cell>
          <cell r="D219">
            <v>7.6410735511927251E-3</v>
          </cell>
          <cell r="E219">
            <v>0.36636574381110992</v>
          </cell>
          <cell r="F219">
            <v>0.56311862441759752</v>
          </cell>
          <cell r="G219">
            <v>0.99852884694645461</v>
          </cell>
          <cell r="H219">
            <v>1.1197122116900531</v>
          </cell>
          <cell r="I219">
            <v>1.4519768534495909</v>
          </cell>
        </row>
        <row r="220">
          <cell r="A220" t="str">
            <v>T-Bat-Car-STG_S1</v>
          </cell>
          <cell r="B220" t="str">
            <v>VAR_fout</v>
          </cell>
          <cell r="C220" t="str">
            <v>T-ELC-car-BatSTGOut_S1</v>
          </cell>
          <cell r="D220">
            <v>7.6410735511927251E-3</v>
          </cell>
          <cell r="E220">
            <v>0.36636574381110992</v>
          </cell>
          <cell r="F220">
            <v>0.56311862441759752</v>
          </cell>
          <cell r="G220">
            <v>0.99852884694645461</v>
          </cell>
          <cell r="H220">
            <v>1.1197122116900531</v>
          </cell>
          <cell r="I220">
            <v>1.4519768534495909</v>
          </cell>
        </row>
        <row r="221">
          <cell r="A221" t="str">
            <v>T-Bat-Car-STG_S1</v>
          </cell>
          <cell r="B221" t="str">
            <v>VAR_fin</v>
          </cell>
          <cell r="C221" t="str">
            <v>T-ELC-car-BatSTGAUXin_S1</v>
          </cell>
          <cell r="D221">
            <v>7.6419076990016715E-3</v>
          </cell>
          <cell r="E221">
            <v>0.36640276336784211</v>
          </cell>
          <cell r="F221">
            <v>0.56317586583415868</v>
          </cell>
          <cell r="G221">
            <v>0.99862954442362384</v>
          </cell>
          <cell r="H221">
            <v>1.1198248491522094</v>
          </cell>
          <cell r="I221">
            <v>1.4521226299072583</v>
          </cell>
        </row>
        <row r="222">
          <cell r="A222" t="str">
            <v>T-Bat-Car-STG_S1</v>
          </cell>
          <cell r="B222" t="str">
            <v>VAR_fin</v>
          </cell>
          <cell r="C222" t="str">
            <v>T-ELC-car-BatSTGin_S1</v>
          </cell>
          <cell r="D222">
            <v>7.6419076990016715E-3</v>
          </cell>
          <cell r="E222">
            <v>0.36640276336784211</v>
          </cell>
          <cell r="F222">
            <v>0.56317586583415868</v>
          </cell>
          <cell r="G222">
            <v>0.99862954442362384</v>
          </cell>
          <cell r="H222">
            <v>1.1198248491522094</v>
          </cell>
          <cell r="I222">
            <v>1.4521226299072583</v>
          </cell>
        </row>
        <row r="223">
          <cell r="A223" t="str">
            <v>T-Bat-Car-STG_S1</v>
          </cell>
          <cell r="B223" t="str">
            <v>VAR_ncap</v>
          </cell>
          <cell r="C223" t="str">
            <v>-</v>
          </cell>
          <cell r="D223">
            <v>1.03796820520729E-3</v>
          </cell>
          <cell r="E223">
            <v>8.1415141977076306</v>
          </cell>
          <cell r="F223">
            <v>4.7631701113160503</v>
          </cell>
          <cell r="G223">
            <v>11.744251357625201</v>
          </cell>
          <cell r="H223">
            <v>2.8876548997924298</v>
          </cell>
          <cell r="I223">
            <v>17.390660704595</v>
          </cell>
        </row>
        <row r="224">
          <cell r="A224" t="str">
            <v>T-Bat-Car-STG_S1</v>
          </cell>
          <cell r="B224" t="str">
            <v>VAR_cap</v>
          </cell>
          <cell r="C224" t="str">
            <v>-</v>
          </cell>
          <cell r="D224">
            <v>1.03796820520729E-3</v>
          </cell>
          <cell r="E224">
            <v>8.0341327712390314</v>
          </cell>
          <cell r="F224">
            <v>12.26895091478265</v>
          </cell>
          <cell r="G224">
            <v>21.333342054158049</v>
          </cell>
          <cell r="H224">
            <v>17.967515245563888</v>
          </cell>
          <cell r="I224">
            <v>19.317222149120642</v>
          </cell>
        </row>
        <row r="225">
          <cell r="A225" t="str">
            <v>TFHGV-ICEDSLExt</v>
          </cell>
          <cell r="B225" t="str">
            <v>VAR_fout</v>
          </cell>
          <cell r="C225" t="str">
            <v>CO2_T</v>
          </cell>
          <cell r="D225">
            <v>1410.24524950512</v>
          </cell>
          <cell r="E225">
            <v>1169.3258147807401</v>
          </cell>
          <cell r="F225">
            <v>838.56339221903295</v>
          </cell>
          <cell r="G225">
            <v>356.48128276269898</v>
          </cell>
        </row>
        <row r="226">
          <cell r="A226" t="str">
            <v>TFHGV-ICEDSLExt</v>
          </cell>
          <cell r="B226" t="str">
            <v>VAR_fout</v>
          </cell>
          <cell r="C226" t="str">
            <v>TFHGV</v>
          </cell>
          <cell r="D226">
            <v>1.5767361846394454</v>
          </cell>
          <cell r="E226">
            <v>1.3399582185082093</v>
          </cell>
          <cell r="F226">
            <v>0.99598031668093434</v>
          </cell>
          <cell r="G226">
            <v>0.42340071626222375</v>
          </cell>
        </row>
        <row r="227">
          <cell r="A227" t="str">
            <v>TFHGV-ICEDSLExt</v>
          </cell>
          <cell r="B227" t="str">
            <v>VAR_fin</v>
          </cell>
          <cell r="C227" t="str">
            <v>TDSL</v>
          </cell>
          <cell r="D227">
            <v>19.239362203344093</v>
          </cell>
          <cell r="E227">
            <v>15.952603203011479</v>
          </cell>
          <cell r="F227">
            <v>11.440155419086391</v>
          </cell>
          <cell r="G227">
            <v>4.8633190008553742</v>
          </cell>
        </row>
        <row r="228">
          <cell r="A228" t="str">
            <v>TFHGV-ICEDSLExt</v>
          </cell>
          <cell r="B228" t="str">
            <v>VAR_cap</v>
          </cell>
          <cell r="C228" t="str">
            <v>-</v>
          </cell>
          <cell r="D228">
            <v>2.9662000000000001E-2</v>
          </cell>
          <cell r="E228">
            <v>2.5707066666666702E-2</v>
          </cell>
          <cell r="F228">
            <v>1.9774666666666701E-2</v>
          </cell>
          <cell r="G228">
            <v>9.8873333333333296E-3</v>
          </cell>
        </row>
        <row r="229">
          <cell r="A229" t="str">
            <v>TPSHPGSLEXT</v>
          </cell>
          <cell r="B229" t="str">
            <v>VAR_fout</v>
          </cell>
          <cell r="C229" t="str">
            <v>TPSHP</v>
          </cell>
          <cell r="D229">
            <v>1.5951113482171899</v>
          </cell>
          <cell r="E229">
            <v>0.72173454858890096</v>
          </cell>
          <cell r="F229">
            <v>9.4092162955175204E-7</v>
          </cell>
          <cell r="G229">
            <v>7.2406039579122797E-7</v>
          </cell>
          <cell r="H229">
            <v>1.6412449449661201E-6</v>
          </cell>
        </row>
        <row r="230">
          <cell r="A230" t="str">
            <v>TPSHPGSLEXT</v>
          </cell>
          <cell r="B230" t="str">
            <v>VAR_fout</v>
          </cell>
          <cell r="C230" t="str">
            <v>CO2_T</v>
          </cell>
          <cell r="D230">
            <v>129.873812963153</v>
          </cell>
          <cell r="E230">
            <v>58.763557714791901</v>
          </cell>
          <cell r="F230">
            <v>7.6609748821591795E-5</v>
          </cell>
          <cell r="G230">
            <v>5.8952927970902202E-5</v>
          </cell>
          <cell r="H230">
            <v>1.33630005985153E-4</v>
          </cell>
        </row>
        <row r="231">
          <cell r="A231" t="str">
            <v>TPSHPGSLEXT</v>
          </cell>
          <cell r="B231" t="str">
            <v>VAR_fin</v>
          </cell>
          <cell r="C231" t="str">
            <v>TGSL</v>
          </cell>
          <cell r="D231">
            <v>1.759807763728358</v>
          </cell>
          <cell r="E231">
            <v>0.79625416957712858</v>
          </cell>
          <cell r="F231">
            <v>1.0380724772573357E-6</v>
          </cell>
          <cell r="G231">
            <v>7.988201622073461E-7</v>
          </cell>
          <cell r="H231">
            <v>1.810704688145701E-6</v>
          </cell>
        </row>
        <row r="232">
          <cell r="A232" t="str">
            <v>TPSHPGSLEXT</v>
          </cell>
          <cell r="B232" t="str">
            <v>VAR_ncap</v>
          </cell>
          <cell r="C232" t="str">
            <v>-</v>
          </cell>
          <cell r="D232">
            <v>1.0904644325556E-8</v>
          </cell>
          <cell r="E232">
            <v>1.6143770465463899E-8</v>
          </cell>
          <cell r="F232">
            <v>4.4382532649734897E-8</v>
          </cell>
          <cell r="G232">
            <v>3.3481185449945797E-8</v>
          </cell>
          <cell r="H232">
            <v>1.06251383907496E-7</v>
          </cell>
          <cell r="I232">
            <v>2.2923895719967901E-8</v>
          </cell>
        </row>
        <row r="233">
          <cell r="A233" t="str">
            <v>TPSHPGSLEXT</v>
          </cell>
          <cell r="B233" t="str">
            <v>VAR_cap</v>
          </cell>
          <cell r="C233" t="str">
            <v>-</v>
          </cell>
          <cell r="D233">
            <v>1.5951113591218342</v>
          </cell>
          <cell r="E233">
            <v>1.5951113752656048</v>
          </cell>
          <cell r="F233">
            <v>1.0286365972334011E-6</v>
          </cell>
          <cell r="G233">
            <v>8.1547001284931753E-7</v>
          </cell>
          <cell r="H233">
            <v>3.8932402290914325E-7</v>
          </cell>
          <cell r="I233">
            <v>5.5763569372372989E-8</v>
          </cell>
        </row>
        <row r="234">
          <cell r="A234" t="str">
            <v>T-Bat-Car-STG_S2</v>
          </cell>
          <cell r="B234" t="str">
            <v>VAR_fout</v>
          </cell>
          <cell r="C234" t="str">
            <v>T-ELC-car-BatSTGAUXout_S2</v>
          </cell>
          <cell r="D234">
            <v>2.7067668414645953E-2</v>
          </cell>
          <cell r="E234">
            <v>2.6914083865668967E-5</v>
          </cell>
          <cell r="F234">
            <v>2.3271197344430821E-4</v>
          </cell>
          <cell r="G234">
            <v>4.6184703844600747</v>
          </cell>
          <cell r="H234">
            <v>11.655653803094635</v>
          </cell>
          <cell r="I234">
            <v>10.560428096457375</v>
          </cell>
        </row>
        <row r="235">
          <cell r="A235" t="str">
            <v>T-Bat-Car-STG_S2</v>
          </cell>
          <cell r="B235" t="str">
            <v>VAR_fout</v>
          </cell>
          <cell r="C235" t="str">
            <v>T-ELC-car-BatSTGOut_S2</v>
          </cell>
          <cell r="D235">
            <v>2.7067668414645949E-2</v>
          </cell>
          <cell r="E235">
            <v>2.6914083865668964E-5</v>
          </cell>
          <cell r="F235">
            <v>2.3271197344430821E-4</v>
          </cell>
          <cell r="G235">
            <v>4.6184703844600747</v>
          </cell>
          <cell r="H235">
            <v>11.655653803094635</v>
          </cell>
          <cell r="I235">
            <v>10.560428096457375</v>
          </cell>
        </row>
        <row r="236">
          <cell r="A236" t="str">
            <v>T-Bat-Car-STG_S2</v>
          </cell>
          <cell r="B236" t="str">
            <v>VAR_fin</v>
          </cell>
          <cell r="C236" t="str">
            <v>T-ELC-car-BatSTGAUXin_S2</v>
          </cell>
          <cell r="D236">
            <v>2.7070433728990342E-2</v>
          </cell>
          <cell r="E236">
            <v>2.7666827579539907E-5</v>
          </cell>
          <cell r="F236">
            <v>2.3391109012399863E-4</v>
          </cell>
          <cell r="G236">
            <v>4.6189328751042655</v>
          </cell>
          <cell r="H236">
            <v>11.656820148297241</v>
          </cell>
          <cell r="I236">
            <v>10.561484806951333</v>
          </cell>
        </row>
        <row r="237">
          <cell r="A237" t="str">
            <v>T-Bat-Car-STG_S2</v>
          </cell>
          <cell r="B237" t="str">
            <v>VAR_fin</v>
          </cell>
          <cell r="C237" t="str">
            <v>T-ELC-car-BatSTGin_S2</v>
          </cell>
          <cell r="D237">
            <v>2.7070433728990342E-2</v>
          </cell>
          <cell r="E237">
            <v>2.7666827579539907E-5</v>
          </cell>
          <cell r="F237">
            <v>2.3391109012399863E-4</v>
          </cell>
          <cell r="G237">
            <v>4.6189328751042655</v>
          </cell>
          <cell r="H237">
            <v>11.656820148297241</v>
          </cell>
          <cell r="I237">
            <v>10.561484806951333</v>
          </cell>
        </row>
        <row r="238">
          <cell r="A238" t="str">
            <v>T-Bat-Car-STG_S2</v>
          </cell>
          <cell r="B238" t="str">
            <v>VAR_ncap</v>
          </cell>
          <cell r="C238" t="str">
            <v>-</v>
          </cell>
          <cell r="D238">
            <v>3.5214432091486602E-3</v>
          </cell>
          <cell r="E238">
            <v>2.5765274415589303E-4</v>
          </cell>
          <cell r="F238">
            <v>3.15253767377352E-3</v>
          </cell>
          <cell r="G238">
            <v>73.5535226293931</v>
          </cell>
          <cell r="H238">
            <v>79.0665906051847</v>
          </cell>
          <cell r="I238">
            <v>175.20803519214701</v>
          </cell>
        </row>
        <row r="239">
          <cell r="A239" t="str">
            <v>T-Bat-Car-STG_S2</v>
          </cell>
          <cell r="B239" t="str">
            <v>VAR_cap</v>
          </cell>
          <cell r="C239" t="str">
            <v>-</v>
          </cell>
          <cell r="D239">
            <v>3.5214432091486602E-3</v>
          </cell>
          <cell r="E239">
            <v>3.6729607054042999E-3</v>
          </cell>
          <cell r="F239">
            <v>6.5294289752168607E-3</v>
          </cell>
          <cell r="G239">
            <v>69.744260602284058</v>
          </cell>
          <cell r="H239">
            <v>239.07244612258231</v>
          </cell>
          <cell r="I239">
            <v>228.61136463779704</v>
          </cell>
        </row>
        <row r="240">
          <cell r="A240" t="str">
            <v>T_TW-ICEGSL-S1</v>
          </cell>
          <cell r="B240" t="str">
            <v>VAR_fout</v>
          </cell>
          <cell r="C240" t="str">
            <v>CO2_T</v>
          </cell>
          <cell r="D240">
            <v>3.2728375772896969</v>
          </cell>
          <cell r="E240">
            <v>24.812169007831514</v>
          </cell>
          <cell r="F240">
            <v>37.871801841587292</v>
          </cell>
          <cell r="G240">
            <v>54.228689330173346</v>
          </cell>
          <cell r="H240">
            <v>70.315614513176854</v>
          </cell>
          <cell r="I240">
            <v>36.326949535759717</v>
          </cell>
        </row>
        <row r="241">
          <cell r="A241" t="str">
            <v>T_TW-ICEGSL-S1</v>
          </cell>
          <cell r="B241" t="str">
            <v>VAR_fout</v>
          </cell>
          <cell r="C241" t="str">
            <v>TPTWL</v>
          </cell>
          <cell r="D241">
            <v>8.4609664614143751E-2</v>
          </cell>
          <cell r="E241">
            <v>0.64661203360052932</v>
          </cell>
          <cell r="F241">
            <v>0.99214015285026347</v>
          </cell>
          <cell r="G241">
            <v>1.4454833843471355</v>
          </cell>
          <cell r="H241">
            <v>1.9643694481264471</v>
          </cell>
          <cell r="I241">
            <v>1.0519074410545388</v>
          </cell>
        </row>
        <row r="242">
          <cell r="A242" t="str">
            <v>T_TW-ICEGSL-S1</v>
          </cell>
          <cell r="B242" t="str">
            <v>VAR_fin</v>
          </cell>
          <cell r="C242" t="str">
            <v>TGSL</v>
          </cell>
          <cell r="D242">
            <v>4.4347392646201876E-2</v>
          </cell>
          <cell r="E242">
            <v>0.33620825213863814</v>
          </cell>
          <cell r="F242">
            <v>0.51316804663397397</v>
          </cell>
          <cell r="G242">
            <v>0.73480608848473195</v>
          </cell>
          <cell r="H242">
            <v>0.95278610451459267</v>
          </cell>
          <cell r="I242">
            <v>0.4922350885604298</v>
          </cell>
        </row>
        <row r="243">
          <cell r="A243" t="str">
            <v>T_TW-ICEGSL-S1</v>
          </cell>
          <cell r="B243" t="str">
            <v>VAR_ncap</v>
          </cell>
          <cell r="C243" t="str">
            <v>-</v>
          </cell>
          <cell r="E243">
            <v>0.18958372588602401</v>
          </cell>
          <cell r="F243">
            <v>0.11892760930961201</v>
          </cell>
          <cell r="G243">
            <v>0.25091267392498501</v>
          </cell>
          <cell r="H243">
            <v>0.27309166239377602</v>
          </cell>
          <cell r="I243">
            <v>0.28562295562479101</v>
          </cell>
        </row>
        <row r="244">
          <cell r="A244" t="str">
            <v>T_TW-ICEGSL-S1</v>
          </cell>
          <cell r="B244" t="str">
            <v>VAR_cap</v>
          </cell>
          <cell r="C244" t="str">
            <v>-</v>
          </cell>
          <cell r="D244">
            <v>2.9121999999999999E-2</v>
          </cell>
          <cell r="E244">
            <v>0.22255672588602401</v>
          </cell>
          <cell r="F244">
            <v>0.34148433519563604</v>
          </cell>
          <cell r="G244">
            <v>0.55215356373626623</v>
          </cell>
          <cell r="H244">
            <v>0.79880914081076204</v>
          </cell>
          <cell r="I244">
            <v>0.50703822317763503</v>
          </cell>
        </row>
        <row r="245">
          <cell r="A245" t="str">
            <v>TPSHPDSLEXT</v>
          </cell>
          <cell r="B245" t="str">
            <v>VAR_fout</v>
          </cell>
          <cell r="C245" t="str">
            <v>TPSHP</v>
          </cell>
          <cell r="D245">
            <v>17.176521919007701</v>
          </cell>
          <cell r="E245">
            <v>17.176522883876</v>
          </cell>
          <cell r="F245">
            <v>15.301515270881501</v>
          </cell>
          <cell r="G245">
            <v>10.3015210989594</v>
          </cell>
          <cell r="H245">
            <v>16.151581989920601</v>
          </cell>
          <cell r="I245">
            <v>16.151561178859101</v>
          </cell>
        </row>
        <row r="246">
          <cell r="A246" t="str">
            <v>TPSHPDSLEXT</v>
          </cell>
          <cell r="B246" t="str">
            <v>VAR_fout</v>
          </cell>
          <cell r="C246" t="str">
            <v>CO2_T</v>
          </cell>
          <cell r="D246">
            <v>1273.9831592043399</v>
          </cell>
          <cell r="E246">
            <v>1273.9832307686499</v>
          </cell>
          <cell r="F246">
            <v>1134.9138584243301</v>
          </cell>
          <cell r="G246">
            <v>764.06413685761095</v>
          </cell>
          <cell r="H246">
            <v>1197.9633331295299</v>
          </cell>
          <cell r="I246">
            <v>1197.96178957246</v>
          </cell>
        </row>
        <row r="247">
          <cell r="A247" t="str">
            <v>TPSHPDSLEXT</v>
          </cell>
          <cell r="B247" t="str">
            <v>VAR_fin</v>
          </cell>
          <cell r="C247" t="str">
            <v>TDSL</v>
          </cell>
          <cell r="D247">
            <v>17.38039780633471</v>
          </cell>
          <cell r="E247">
            <v>17.380398782655547</v>
          </cell>
          <cell r="F247">
            <v>15.483135858449234</v>
          </cell>
          <cell r="G247">
            <v>10.423794500103828</v>
          </cell>
          <cell r="H247">
            <v>16.34329240285852</v>
          </cell>
          <cell r="I247">
            <v>16.343271344781151</v>
          </cell>
        </row>
        <row r="248">
          <cell r="A248" t="str">
            <v>TPSHPDSLEXT</v>
          </cell>
          <cell r="B248" t="str">
            <v>VAR_ncap</v>
          </cell>
          <cell r="C248" t="str">
            <v>-</v>
          </cell>
          <cell r="D248">
            <v>1.4596657251017899E-8</v>
          </cell>
          <cell r="E248">
            <v>9.0199256663087399E-7</v>
          </cell>
          <cell r="F248">
            <v>5.4487096733068603E-8</v>
          </cell>
          <cell r="G248">
            <v>3.7298556707869999E-8</v>
          </cell>
          <cell r="H248">
            <v>12.5468329287333</v>
          </cell>
          <cell r="I248">
            <v>3.6047281824857902</v>
          </cell>
        </row>
        <row r="249">
          <cell r="A249" t="str">
            <v>TPSHPDSLEXT</v>
          </cell>
          <cell r="B249" t="str">
            <v>VAR_cap</v>
          </cell>
          <cell r="C249" t="str">
            <v>-</v>
          </cell>
          <cell r="D249">
            <v>17.176521933604359</v>
          </cell>
          <cell r="E249">
            <v>17.176522835596923</v>
          </cell>
          <cell r="F249">
            <v>15.301522042456472</v>
          </cell>
          <cell r="G249">
            <v>10.301522024217139</v>
          </cell>
          <cell r="H249">
            <v>16.151580381305141</v>
          </cell>
          <cell r="I249">
            <v>16.151561149221742</v>
          </cell>
        </row>
        <row r="250">
          <cell r="A250" t="str">
            <v>T-Bat-Car-STG_S3</v>
          </cell>
          <cell r="B250" t="str">
            <v>VAR_fout</v>
          </cell>
          <cell r="C250" t="str">
            <v>T-ELC-car-BatSTGAUXout_S3</v>
          </cell>
          <cell r="D250">
            <v>1.2065353384337053E-2</v>
          </cell>
          <cell r="E250">
            <v>3.5936370812787027E-4</v>
          </cell>
          <cell r="F250">
            <v>9.0224661985040288E-4</v>
          </cell>
          <cell r="G250">
            <v>0.12944948040828672</v>
          </cell>
          <cell r="H250">
            <v>0.93771685225272128</v>
          </cell>
          <cell r="I250">
            <v>1.4393749229255079</v>
          </cell>
        </row>
        <row r="251">
          <cell r="A251" t="str">
            <v>T-Bat-Car-STG_S3</v>
          </cell>
          <cell r="B251" t="str">
            <v>VAR_fout</v>
          </cell>
          <cell r="C251" t="str">
            <v>T-ELC-car-BatSTGOut_S3</v>
          </cell>
          <cell r="D251">
            <v>1.2065353384337053E-2</v>
          </cell>
          <cell r="E251">
            <v>3.5936370812787027E-4</v>
          </cell>
          <cell r="F251">
            <v>9.0224661985040266E-4</v>
          </cell>
          <cell r="G251">
            <v>0.12944948040828672</v>
          </cell>
          <cell r="H251">
            <v>0.93771685225272117</v>
          </cell>
          <cell r="I251">
            <v>1.4393749229255079</v>
          </cell>
        </row>
        <row r="252">
          <cell r="A252" t="str">
            <v>T-Bat-Car-STG_S3</v>
          </cell>
          <cell r="B252" t="str">
            <v>VAR_fin</v>
          </cell>
          <cell r="C252" t="str">
            <v>T-ELC-car-BatSTGAUXin_S3</v>
          </cell>
          <cell r="D252">
            <v>1.2066604667070298E-2</v>
          </cell>
          <cell r="E252">
            <v>3.6005361380607518E-4</v>
          </cell>
          <cell r="F252">
            <v>9.0345521351300453E-4</v>
          </cell>
          <cell r="G252">
            <v>0.12946301925098661</v>
          </cell>
          <cell r="H252">
            <v>0.93781125371067353</v>
          </cell>
          <cell r="I252">
            <v>1.4395194324288947</v>
          </cell>
        </row>
        <row r="253">
          <cell r="A253" t="str">
            <v>T-Bat-Car-STG_S3</v>
          </cell>
          <cell r="B253" t="str">
            <v>VAR_fin</v>
          </cell>
          <cell r="C253" t="str">
            <v>T-ELC-car-BatSTGin_S3</v>
          </cell>
          <cell r="D253">
            <v>1.2066604667070298E-2</v>
          </cell>
          <cell r="E253">
            <v>3.6005361380607518E-4</v>
          </cell>
          <cell r="F253">
            <v>9.0345521351300453E-4</v>
          </cell>
          <cell r="G253">
            <v>0.12946301925098661</v>
          </cell>
          <cell r="H253">
            <v>0.93781125371067353</v>
          </cell>
          <cell r="I253">
            <v>1.4395194324288947</v>
          </cell>
        </row>
        <row r="254">
          <cell r="A254" t="str">
            <v>T-Bat-Car-STG_S3</v>
          </cell>
          <cell r="B254" t="str">
            <v>VAR_ncap</v>
          </cell>
          <cell r="C254" t="str">
            <v>-</v>
          </cell>
          <cell r="D254">
            <v>1.53694747730631E-3</v>
          </cell>
          <cell r="E254">
            <v>1.7852908541020999E-4</v>
          </cell>
          <cell r="F254">
            <v>5.92441680901483E-3</v>
          </cell>
          <cell r="G254">
            <v>1.9549150630379599</v>
          </cell>
          <cell r="H254">
            <v>3.94026777937703</v>
          </cell>
          <cell r="I254">
            <v>12.530601877314799</v>
          </cell>
        </row>
        <row r="255">
          <cell r="A255" t="str">
            <v>T-Bat-Car-STG_S3</v>
          </cell>
          <cell r="B255" t="str">
            <v>VAR_cap</v>
          </cell>
          <cell r="C255" t="str">
            <v>-</v>
          </cell>
          <cell r="D255">
            <v>1.53694747730631E-3</v>
          </cell>
          <cell r="E255">
            <v>1.668717730358727E-3</v>
          </cell>
          <cell r="F255">
            <v>7.3994572288059333E-3</v>
          </cell>
          <cell r="G255">
            <v>1.859870880099064</v>
          </cell>
          <cell r="H255">
            <v>10.812748818753921</v>
          </cell>
          <cell r="I255">
            <v>14.522663902097777</v>
          </cell>
        </row>
        <row r="256">
          <cell r="A256" t="str">
            <v>T_TW-ICEGSL-S2</v>
          </cell>
          <cell r="B256" t="str">
            <v>VAR_fout</v>
          </cell>
          <cell r="C256" t="str">
            <v>CO2_T</v>
          </cell>
          <cell r="D256">
            <v>8.3063783337356103</v>
          </cell>
          <cell r="E256">
            <v>12.017208277180922</v>
          </cell>
          <cell r="F256">
            <v>11.007471977339744</v>
          </cell>
          <cell r="G256">
            <v>7.4307942798641946</v>
          </cell>
          <cell r="H256">
            <v>6.14870570838256E-4</v>
          </cell>
          <cell r="I256">
            <v>2.7013443942904307E-4</v>
          </cell>
        </row>
        <row r="257">
          <cell r="A257" t="str">
            <v>T_TW-ICEGSL-S2</v>
          </cell>
          <cell r="B257" t="str">
            <v>VAR_fout</v>
          </cell>
          <cell r="C257" t="str">
            <v>TPTWL</v>
          </cell>
          <cell r="D257">
            <v>0.12411878812670411</v>
          </cell>
          <cell r="E257">
            <v>0.17981678829706216</v>
          </cell>
          <cell r="F257">
            <v>0.1647284312704223</v>
          </cell>
          <cell r="G257">
            <v>0.11121309266547917</v>
          </cell>
          <cell r="H257">
            <v>9.8434656796798917E-6</v>
          </cell>
          <cell r="I257">
            <v>4.4464395968745221E-6</v>
          </cell>
        </row>
        <row r="258">
          <cell r="A258" t="str">
            <v>T_TW-ICEGSL-S2</v>
          </cell>
          <cell r="B258" t="str">
            <v>VAR_fin</v>
          </cell>
          <cell r="C258" t="str">
            <v>TGSL</v>
          </cell>
          <cell r="D258">
            <v>0.11255255194763708</v>
          </cell>
          <cell r="E258">
            <v>0.16283480050380691</v>
          </cell>
          <cell r="F258">
            <v>0.14915273682032196</v>
          </cell>
          <cell r="G258">
            <v>0.10068826937485344</v>
          </cell>
          <cell r="H258">
            <v>8.3315795506538702E-6</v>
          </cell>
          <cell r="I258">
            <v>3.6603582578461074E-6</v>
          </cell>
        </row>
        <row r="259">
          <cell r="A259" t="str">
            <v>T_TW-ICEGSL-S2</v>
          </cell>
          <cell r="B259" t="str">
            <v>VAR_ncap</v>
          </cell>
          <cell r="C259" t="str">
            <v>-</v>
          </cell>
          <cell r="E259">
            <v>1.2070270020275201E-6</v>
          </cell>
          <cell r="F259">
            <v>1.80971532893679E-6</v>
          </cell>
          <cell r="G259">
            <v>1.86541596918714E-6</v>
          </cell>
          <cell r="H259">
            <v>1.4464236085728701E-6</v>
          </cell>
          <cell r="I259">
            <v>8.3584274709029102E-7</v>
          </cell>
        </row>
        <row r="260">
          <cell r="A260" t="str">
            <v>T_TW-ICEGSL-S2</v>
          </cell>
          <cell r="B260" t="str">
            <v>VAR_cap</v>
          </cell>
          <cell r="C260" t="str">
            <v>-</v>
          </cell>
          <cell r="D260">
            <v>4.2720968006296885E-2</v>
          </cell>
          <cell r="E260">
            <v>6.1891096643799888E-2</v>
          </cell>
          <cell r="F260">
            <v>6.1892954850729084E-2</v>
          </cell>
          <cell r="G260">
            <v>5.3598973593034352E-2</v>
          </cell>
          <cell r="H260">
            <v>4.5004221613836699E-6</v>
          </cell>
          <cell r="I260">
            <v>2.4948690226932199E-6</v>
          </cell>
        </row>
        <row r="261">
          <cell r="A261" t="str">
            <v>T-Bat-Car-STG_S4</v>
          </cell>
          <cell r="B261" t="str">
            <v>VAR_fout</v>
          </cell>
          <cell r="C261" t="str">
            <v>T-ELC-car-BatSTGAUXout_S4</v>
          </cell>
          <cell r="D261">
            <v>5.7336592002963732E-2</v>
          </cell>
          <cell r="E261">
            <v>1.5671288703761053E-4</v>
          </cell>
          <cell r="F261">
            <v>2.5319198719720579</v>
          </cell>
          <cell r="G261">
            <v>9.9581028479803013</v>
          </cell>
          <cell r="H261">
            <v>15.86260243798186</v>
          </cell>
          <cell r="I261">
            <v>14.309543373958531</v>
          </cell>
        </row>
        <row r="262">
          <cell r="A262" t="str">
            <v>T-Bat-Car-STG_S4</v>
          </cell>
          <cell r="B262" t="str">
            <v>VAR_fout</v>
          </cell>
          <cell r="C262" t="str">
            <v>T-ELC-car-BatSTGOut_S4</v>
          </cell>
          <cell r="D262">
            <v>5.7336592002963732E-2</v>
          </cell>
          <cell r="E262">
            <v>1.5671288703761053E-4</v>
          </cell>
          <cell r="F262">
            <v>2.5319198719720575</v>
          </cell>
          <cell r="G262">
            <v>9.9581028479803013</v>
          </cell>
          <cell r="H262">
            <v>15.862602437981856</v>
          </cell>
          <cell r="I262">
            <v>14.309543373958531</v>
          </cell>
        </row>
        <row r="263">
          <cell r="A263" t="str">
            <v>T-Bat-Car-STG_S4</v>
          </cell>
          <cell r="B263" t="str">
            <v>VAR_fin</v>
          </cell>
          <cell r="C263" t="str">
            <v>T-ELC-car-BatSTGAUXin_S4</v>
          </cell>
          <cell r="D263">
            <v>5.7342366238748999E-2</v>
          </cell>
          <cell r="E263">
            <v>1.5730491624611146E-4</v>
          </cell>
          <cell r="F263">
            <v>2.5321738986869713</v>
          </cell>
          <cell r="G263">
            <v>9.9590993107704868</v>
          </cell>
          <cell r="H263">
            <v>15.864189442819765</v>
          </cell>
          <cell r="I263">
            <v>14.310975013824816</v>
          </cell>
        </row>
        <row r="264">
          <cell r="A264" t="str">
            <v>T-Bat-Car-STG_S4</v>
          </cell>
          <cell r="B264" t="str">
            <v>VAR_fin</v>
          </cell>
          <cell r="C264" t="str">
            <v>T-ELC-car-BatSTGin_S4</v>
          </cell>
          <cell r="D264">
            <v>5.7342366238748999E-2</v>
          </cell>
          <cell r="E264">
            <v>1.5730491624611146E-4</v>
          </cell>
          <cell r="F264">
            <v>2.5321738986869713</v>
          </cell>
          <cell r="G264">
            <v>9.9590993107704868</v>
          </cell>
          <cell r="H264">
            <v>15.864189442819765</v>
          </cell>
          <cell r="I264">
            <v>14.310975013824816</v>
          </cell>
        </row>
        <row r="265">
          <cell r="A265" t="str">
            <v>T-Bat-Car-STG_S4</v>
          </cell>
          <cell r="B265" t="str">
            <v>VAR_ncap</v>
          </cell>
          <cell r="C265" t="str">
            <v>-</v>
          </cell>
          <cell r="D265">
            <v>7.5630828099913202E-3</v>
          </cell>
          <cell r="E265">
            <v>4.0988071917824002E-4</v>
          </cell>
          <cell r="F265">
            <v>41.179541018637103</v>
          </cell>
          <cell r="G265">
            <v>127.60678934495201</v>
          </cell>
          <cell r="H265">
            <v>119.481887687868</v>
          </cell>
          <cell r="I265">
            <v>245.90416581660099</v>
          </cell>
        </row>
        <row r="266">
          <cell r="A266" t="str">
            <v>T-Bat-Car-STG_S4</v>
          </cell>
          <cell r="B266" t="str">
            <v>VAR_cap</v>
          </cell>
          <cell r="C266" t="str">
            <v>-</v>
          </cell>
          <cell r="D266">
            <v>7.5630828099913202E-3</v>
          </cell>
          <cell r="E266">
            <v>7.7471493583322814E-3</v>
          </cell>
          <cell r="F266">
            <v>40.638521815071272</v>
          </cell>
          <cell r="G266">
            <v>156.69184640915887</v>
          </cell>
          <cell r="H266">
            <v>276.90800110938682</v>
          </cell>
          <cell r="I266">
            <v>301.74608968492731</v>
          </cell>
        </row>
        <row r="267">
          <cell r="A267" t="str">
            <v>T_TW-ICEGSL-S3</v>
          </cell>
          <cell r="B267" t="str">
            <v>VAR_fout</v>
          </cell>
          <cell r="C267" t="str">
            <v>CO2_T</v>
          </cell>
          <cell r="D267">
            <v>8.2163160996546694</v>
          </cell>
          <cell r="E267">
            <v>2.1890117382318879E-2</v>
          </cell>
          <cell r="F267">
            <v>2.3266601418852732E-2</v>
          </cell>
          <cell r="G267">
            <v>2.1787847609291373E-2</v>
          </cell>
          <cell r="H267">
            <v>7.5604264508849625E-3</v>
          </cell>
          <cell r="I267">
            <v>1.612631884006914E-4</v>
          </cell>
        </row>
        <row r="268">
          <cell r="A268" t="str">
            <v>T_TW-ICEGSL-S3</v>
          </cell>
          <cell r="B268" t="str">
            <v>VAR_fout</v>
          </cell>
          <cell r="C268" t="str">
            <v>TPTWL</v>
          </cell>
          <cell r="D268">
            <v>8.1208707898127785E-2</v>
          </cell>
          <cell r="E268">
            <v>2.1677450087367883E-4</v>
          </cell>
          <cell r="F268">
            <v>2.304269713082224E-4</v>
          </cell>
          <cell r="G268">
            <v>2.1584032031213919E-4</v>
          </cell>
          <cell r="H268">
            <v>7.5139244066813553E-5</v>
          </cell>
          <cell r="I268">
            <v>1.7347445943701412E-6</v>
          </cell>
        </row>
        <row r="269">
          <cell r="A269" t="str">
            <v>T_TW-ICEGSL-S3</v>
          </cell>
          <cell r="B269" t="str">
            <v>VAR_fin</v>
          </cell>
          <cell r="C269" t="str">
            <v>TGSL</v>
          </cell>
          <cell r="D269">
            <v>0.11133219647228547</v>
          </cell>
          <cell r="E269">
            <v>2.9661405667098768E-4</v>
          </cell>
          <cell r="F269">
            <v>3.1526560188147333E-4</v>
          </cell>
          <cell r="G269">
            <v>2.9522828738877258E-4</v>
          </cell>
          <cell r="H269">
            <v>1.0244480285751988E-4</v>
          </cell>
          <cell r="I269">
            <v>2.1851380542099115E-6</v>
          </cell>
        </row>
        <row r="270">
          <cell r="A270" t="str">
            <v>T_TW-ICEGSL-S3</v>
          </cell>
          <cell r="B270" t="str">
            <v>VAR_ncap</v>
          </cell>
          <cell r="C270" t="str">
            <v>-</v>
          </cell>
          <cell r="E270">
            <v>5.2812650572387698E-7</v>
          </cell>
          <cell r="F270">
            <v>7.3813532156329002E-7</v>
          </cell>
          <cell r="G270">
            <v>7.33135536132942E-7</v>
          </cell>
          <cell r="H270">
            <v>4.5403906326692798E-7</v>
          </cell>
          <cell r="I270">
            <v>3.2867651068267599E-7</v>
          </cell>
        </row>
        <row r="271">
          <cell r="A271" t="str">
            <v>T_TW-ICEGSL-S3</v>
          </cell>
          <cell r="B271" t="str">
            <v>VAR_cap</v>
          </cell>
          <cell r="C271" t="str">
            <v>-</v>
          </cell>
          <cell r="D271">
            <v>3.5497943609443097E-2</v>
          </cell>
          <cell r="E271">
            <v>1.0035963246111945E-4</v>
          </cell>
          <cell r="F271">
            <v>1.0115293826258587E-4</v>
          </cell>
          <cell r="G271">
            <v>1.0193954404172367E-4</v>
          </cell>
          <cell r="H271">
            <v>3.5847764909221341E-5</v>
          </cell>
          <cell r="I271">
            <v>1.47903174808426E-6</v>
          </cell>
        </row>
        <row r="272">
          <cell r="A272" t="str">
            <v>T_C-ICEGSLEXT</v>
          </cell>
          <cell r="B272" t="str">
            <v>VAR_fout</v>
          </cell>
          <cell r="C272" t="str">
            <v>CO2_T</v>
          </cell>
          <cell r="D272">
            <v>4722.2881512180302</v>
          </cell>
          <cell r="E272">
            <v>4507.9954101327403</v>
          </cell>
          <cell r="F272">
            <v>3825.7018494792101</v>
          </cell>
          <cell r="G272">
            <v>1113.1216752984401</v>
          </cell>
        </row>
        <row r="273">
          <cell r="A273" t="str">
            <v>T_C-ICEGSLEXT</v>
          </cell>
          <cell r="B273" t="str">
            <v>VAR_fout</v>
          </cell>
          <cell r="C273" t="str">
            <v>TPCAR</v>
          </cell>
          <cell r="D273">
            <v>18.30298774278484</v>
          </cell>
          <cell r="E273">
            <v>17.870020600639826</v>
          </cell>
          <cell r="F273">
            <v>15.671498608499508</v>
          </cell>
          <cell r="G273">
            <v>4.8052034007616138</v>
          </cell>
        </row>
        <row r="274">
          <cell r="A274" t="str">
            <v>T_C-ICEGSLEXT</v>
          </cell>
          <cell r="B274" t="str">
            <v>VAR_fin</v>
          </cell>
          <cell r="C274" t="str">
            <v>TGSL</v>
          </cell>
          <cell r="D274">
            <v>63.987644325447611</v>
          </cell>
          <cell r="E274">
            <v>61.083948646785061</v>
          </cell>
          <cell r="F274">
            <v>51.838778448227849</v>
          </cell>
          <cell r="G274">
            <v>15.08294952978922</v>
          </cell>
        </row>
        <row r="275">
          <cell r="A275" t="str">
            <v>T_C-ICEGSLEXT</v>
          </cell>
          <cell r="B275" t="str">
            <v>VAR_cap</v>
          </cell>
          <cell r="C275" t="str">
            <v>-</v>
          </cell>
          <cell r="D275">
            <v>2.4943270000000002</v>
          </cell>
          <cell r="E275">
            <v>2.16175006666667</v>
          </cell>
          <cell r="F275">
            <v>1.6628846666666701</v>
          </cell>
          <cell r="G275">
            <v>0.83144233333333339</v>
          </cell>
        </row>
        <row r="276">
          <cell r="A276" t="str">
            <v>T_TW-ICEGSL-S4</v>
          </cell>
          <cell r="B276" t="str">
            <v>VAR_fout</v>
          </cell>
          <cell r="C276" t="str">
            <v>CO2_T</v>
          </cell>
          <cell r="D276">
            <v>2.0440816836039848</v>
          </cell>
          <cell r="E276">
            <v>1.4997305272642251E-2</v>
          </cell>
          <cell r="F276">
            <v>1.633817447471525E-2</v>
          </cell>
          <cell r="G276">
            <v>1.5093476964236827E-2</v>
          </cell>
          <cell r="H276">
            <v>1.4146725761701102E-2</v>
          </cell>
          <cell r="I276">
            <v>1.0784344383552311E-3</v>
          </cell>
        </row>
        <row r="277">
          <cell r="A277" t="str">
            <v>T_TW-ICEGSL-S4</v>
          </cell>
          <cell r="B277" t="str">
            <v>VAR_fout</v>
          </cell>
          <cell r="C277" t="str">
            <v>TPTWL</v>
          </cell>
          <cell r="D277">
            <v>1.8718073247976259E-2</v>
          </cell>
          <cell r="E277">
            <v>1.3751466762637897E-4</v>
          </cell>
          <cell r="F277">
            <v>1.498169009795762E-4</v>
          </cell>
          <cell r="G277">
            <v>1.3841708482815974E-4</v>
          </cell>
          <cell r="H277">
            <v>1.2978052381584272E-4</v>
          </cell>
          <cell r="I277">
            <v>9.9508060760395887E-6</v>
          </cell>
        </row>
        <row r="278">
          <cell r="A278" t="str">
            <v>T_TW-ICEGSL-S4</v>
          </cell>
          <cell r="B278" t="str">
            <v>VAR_fin</v>
          </cell>
          <cell r="C278" t="str">
            <v>TGSL</v>
          </cell>
          <cell r="D278">
            <v>2.7697583788671938E-2</v>
          </cell>
          <cell r="E278">
            <v>2.0321551859948849E-4</v>
          </cell>
          <cell r="F278">
            <v>2.2138447797717152E-4</v>
          </cell>
          <cell r="G278">
            <v>2.0451865805198969E-4</v>
          </cell>
          <cell r="H278">
            <v>1.9169005097155985E-4</v>
          </cell>
          <cell r="I278">
            <v>1.4612932769041087E-5</v>
          </cell>
        </row>
        <row r="279">
          <cell r="A279" t="str">
            <v>T_TW-ICEGSL-S4</v>
          </cell>
          <cell r="B279" t="str">
            <v>VAR_ncap</v>
          </cell>
          <cell r="C279" t="str">
            <v>-</v>
          </cell>
          <cell r="E279">
            <v>2.85358796766825E-7</v>
          </cell>
          <cell r="F279">
            <v>3.5670854408556799E-7</v>
          </cell>
          <cell r="G279">
            <v>2.9798180619132803E-7</v>
          </cell>
          <cell r="H279">
            <v>2.3016038890976399E-7</v>
          </cell>
          <cell r="I279">
            <v>1.6202752677237999E-7</v>
          </cell>
        </row>
        <row r="280">
          <cell r="A280" t="str">
            <v>T_TW-ICEGSL-S4</v>
          </cell>
          <cell r="B280" t="str">
            <v>VAR_cap</v>
          </cell>
          <cell r="C280" t="str">
            <v>-</v>
          </cell>
          <cell r="D280">
            <v>8.9594482907415021E-3</v>
          </cell>
          <cell r="E280">
            <v>6.4352365877567985E-5</v>
          </cell>
          <cell r="F280">
            <v>6.4764686859154763E-5</v>
          </cell>
          <cell r="G280">
            <v>6.5116972623048552E-5</v>
          </cell>
          <cell r="H280">
            <v>6.1309241885992849E-5</v>
          </cell>
          <cell r="I280">
            <v>5.6808031630053817E-6</v>
          </cell>
        </row>
        <row r="281">
          <cell r="A281" t="str">
            <v>T_C-ICEDSLEXT</v>
          </cell>
          <cell r="B281" t="str">
            <v>VAR_fout</v>
          </cell>
          <cell r="C281" t="str">
            <v>CO2_T</v>
          </cell>
          <cell r="D281">
            <v>3897.9327372405201</v>
          </cell>
          <cell r="E281">
            <v>3569.7775515357398</v>
          </cell>
          <cell r="F281">
            <v>2522.0927013174901</v>
          </cell>
          <cell r="G281">
            <v>957.44157543942401</v>
          </cell>
        </row>
        <row r="282">
          <cell r="A282" t="str">
            <v>T_C-ICEDSLEXT</v>
          </cell>
          <cell r="B282" t="str">
            <v>VAR_fout</v>
          </cell>
          <cell r="C282" t="str">
            <v>TPCAR</v>
          </cell>
          <cell r="D282">
            <v>18.028257989345558</v>
          </cell>
          <cell r="E282">
            <v>17.235951189105705</v>
          </cell>
          <cell r="F282">
            <v>12.946212497254347</v>
          </cell>
          <cell r="G282">
            <v>5.4010854198789877</v>
          </cell>
        </row>
        <row r="283">
          <cell r="A283" t="str">
            <v>T_C-ICEDSLEXT</v>
          </cell>
          <cell r="B283" t="str">
            <v>VAR_fin</v>
          </cell>
          <cell r="C283" t="str">
            <v>TDSL</v>
          </cell>
          <cell r="D283">
            <v>53.177799962353582</v>
          </cell>
          <cell r="E283">
            <v>48.700921576203839</v>
          </cell>
          <cell r="F283">
            <v>34.407813114836195</v>
          </cell>
          <cell r="G283">
            <v>13.061958737236344</v>
          </cell>
        </row>
        <row r="284">
          <cell r="A284" t="str">
            <v>T_C-ICEDSLEXT</v>
          </cell>
          <cell r="B284" t="str">
            <v>VAR_cap</v>
          </cell>
          <cell r="C284" t="str">
            <v>-</v>
          </cell>
          <cell r="D284">
            <v>1.059558</v>
          </cell>
          <cell r="E284">
            <v>0.91828359999999998</v>
          </cell>
          <cell r="F284">
            <v>0.706372</v>
          </cell>
          <cell r="G284">
            <v>0.353186</v>
          </cell>
        </row>
        <row r="285">
          <cell r="A285" t="str">
            <v>T-Plg-ELC-GSL_S1</v>
          </cell>
          <cell r="B285" t="str">
            <v>VAR_fout</v>
          </cell>
          <cell r="C285" t="str">
            <v>T-PEVmix-ELC_GSL_S1</v>
          </cell>
          <cell r="F285">
            <v>1.0114921822401305E-5</v>
          </cell>
          <cell r="G285">
            <v>1.5436725740814222E-5</v>
          </cell>
          <cell r="H285">
            <v>7.9954753660350508E-6</v>
          </cell>
          <cell r="I285">
            <v>6.9489211609047991E-6</v>
          </cell>
        </row>
        <row r="286">
          <cell r="A286" t="str">
            <v>T-Plg-ELC-GSL_S1</v>
          </cell>
          <cell r="B286" t="str">
            <v>VAR_fin</v>
          </cell>
          <cell r="C286" t="str">
            <v>T-ELC-car-PlgSTGOut_S1</v>
          </cell>
          <cell r="F286">
            <v>5.553345198922134E-6</v>
          </cell>
          <cell r="G286">
            <v>8.4751487243306187E-6</v>
          </cell>
          <cell r="H286">
            <v>4.1840838414097637E-6</v>
          </cell>
          <cell r="I286">
            <v>3.3836066304385998E-6</v>
          </cell>
        </row>
        <row r="287">
          <cell r="A287" t="str">
            <v>T-Plg-ELC-GSL_S2</v>
          </cell>
          <cell r="B287" t="str">
            <v>VAR_fout</v>
          </cell>
          <cell r="C287" t="str">
            <v>T-PEVmix-ELC_GSL_S2</v>
          </cell>
          <cell r="D287">
            <v>4.0035939289539091E-5</v>
          </cell>
          <cell r="F287">
            <v>3.8580373942356545E-5</v>
          </cell>
          <cell r="G287">
            <v>1.804062185176555E-2</v>
          </cell>
          <cell r="H287">
            <v>4.5295472770617711E-5</v>
          </cell>
          <cell r="I287">
            <v>4.1635276247546645E-5</v>
          </cell>
        </row>
        <row r="288">
          <cell r="A288" t="str">
            <v>T-Plg-ELC-GSL_S2</v>
          </cell>
          <cell r="B288" t="str">
            <v>VAR_fin</v>
          </cell>
          <cell r="C288" t="str">
            <v>T-ELC-car-PlgSTGOut_S2</v>
          </cell>
          <cell r="D288">
            <v>2.6634924234883273E-5</v>
          </cell>
          <cell r="F288">
            <v>2.5666572463222508E-5</v>
          </cell>
          <cell r="G288">
            <v>1.2001981337240824E-2</v>
          </cell>
          <cell r="H288">
            <v>2.8455110244986945E-5</v>
          </cell>
          <cell r="I288">
            <v>2.3937646390008096E-5</v>
          </cell>
        </row>
        <row r="289">
          <cell r="A289" t="str">
            <v>T-Plg-ELC-DSL_S1</v>
          </cell>
          <cell r="B289" t="str">
            <v>VAR_fout</v>
          </cell>
          <cell r="C289" t="str">
            <v>T-PEVmix-ELC_DSL_S1</v>
          </cell>
          <cell r="F289">
            <v>2.1966714650975335E-6</v>
          </cell>
          <cell r="G289">
            <v>5.1469069024958036E-6</v>
          </cell>
          <cell r="H289">
            <v>8.2865742435579612E-6</v>
          </cell>
          <cell r="I289">
            <v>6.9863536922560825E-6</v>
          </cell>
        </row>
        <row r="290">
          <cell r="A290" t="str">
            <v>T-Plg-ELC-DSL_S1</v>
          </cell>
          <cell r="B290" t="str">
            <v>VAR_fin</v>
          </cell>
          <cell r="C290" t="str">
            <v>T-ELC-car-PlgSTGOut_S1</v>
          </cell>
          <cell r="F290">
            <v>1.2060276044143073E-6</v>
          </cell>
          <cell r="G290">
            <v>2.8257806870017585E-6</v>
          </cell>
          <cell r="H290">
            <v>4.3351781135058092E-6</v>
          </cell>
          <cell r="I290">
            <v>3.4010779476137263E-6</v>
          </cell>
        </row>
        <row r="291">
          <cell r="A291" t="str">
            <v>T_TRM_ELC</v>
          </cell>
          <cell r="B291" t="str">
            <v>VAR_fout</v>
          </cell>
          <cell r="C291" t="str">
            <v>TPTRM</v>
          </cell>
          <cell r="D291">
            <v>3.3477999999999994E-2</v>
          </cell>
          <cell r="E291">
            <v>3.4100101820365179E-2</v>
          </cell>
          <cell r="F291">
            <v>3.5033254550912878E-2</v>
          </cell>
          <cell r="G291">
            <v>3.6588509101825824E-2</v>
          </cell>
          <cell r="H291">
            <v>3.8717484032322634E-2</v>
          </cell>
          <cell r="I291">
            <v>4.0618708186581282E-2</v>
          </cell>
        </row>
        <row r="292">
          <cell r="A292" t="str">
            <v>T_TRM_ELC</v>
          </cell>
          <cell r="B292" t="str">
            <v>VAR_fin</v>
          </cell>
          <cell r="C292" t="str">
            <v>TELC</v>
          </cell>
          <cell r="D292">
            <v>0.58772895164057959</v>
          </cell>
          <cell r="E292">
            <v>0.6125507323013607</v>
          </cell>
          <cell r="F292">
            <v>0.6520227065267854</v>
          </cell>
          <cell r="G292">
            <v>0.72454506142995201</v>
          </cell>
          <cell r="H292">
            <v>0.76670415207523457</v>
          </cell>
          <cell r="I292">
            <v>0.80435320106506514</v>
          </cell>
        </row>
        <row r="293">
          <cell r="A293" t="str">
            <v>T-Plg-ELC-GSL_S3</v>
          </cell>
          <cell r="B293" t="str">
            <v>VAR_fout</v>
          </cell>
          <cell r="C293" t="str">
            <v>T-PEVmix-ELC_GSL_S3</v>
          </cell>
          <cell r="F293">
            <v>0.2676132783205728</v>
          </cell>
          <cell r="G293">
            <v>1.6109729490046703</v>
          </cell>
          <cell r="H293">
            <v>4.7835984763338635</v>
          </cell>
          <cell r="I293">
            <v>5.9739816146060862</v>
          </cell>
        </row>
        <row r="294">
          <cell r="A294" t="str">
            <v>T-Plg-ELC-GSL_S3</v>
          </cell>
          <cell r="B294" t="str">
            <v>VAR_fin</v>
          </cell>
          <cell r="C294" t="str">
            <v>T-ELC-car-PlgSTGOut_S3</v>
          </cell>
          <cell r="F294">
            <v>0.19099339936402784</v>
          </cell>
          <cell r="G294">
            <v>1.1497381660013151</v>
          </cell>
          <cell r="H294">
            <v>3.1061390400977378</v>
          </cell>
          <cell r="I294">
            <v>3.5522213431405083</v>
          </cell>
        </row>
        <row r="295">
          <cell r="A295" t="str">
            <v>T-Plg-ELC-DSL_S2</v>
          </cell>
          <cell r="B295" t="str">
            <v>VAR_fout</v>
          </cell>
          <cell r="C295" t="str">
            <v>T-PEVmix-ELC_DSL_S2</v>
          </cell>
          <cell r="F295">
            <v>5.2726785783733733E-6</v>
          </cell>
          <cell r="G295">
            <v>1.4239249630053103E-5</v>
          </cell>
          <cell r="H295">
            <v>4.9192069210045958E-5</v>
          </cell>
          <cell r="I295">
            <v>4.128261917416281E-5</v>
          </cell>
        </row>
        <row r="296">
          <cell r="A296" t="str">
            <v>T-Plg-ELC-DSL_S2</v>
          </cell>
          <cell r="B296" t="str">
            <v>VAR_fin</v>
          </cell>
          <cell r="C296" t="str">
            <v>T-ELC-car-PlgSTGOut_S2</v>
          </cell>
          <cell r="F296">
            <v>3.5077831803626797E-6</v>
          </cell>
          <cell r="G296">
            <v>9.4730220344087254E-6</v>
          </cell>
          <cell r="H296">
            <v>3.0883556322348529E-5</v>
          </cell>
          <cell r="I296">
            <v>2.374775542540056E-5</v>
          </cell>
        </row>
        <row r="297">
          <cell r="A297" t="str">
            <v>T_TW-ICEGSLEXT</v>
          </cell>
          <cell r="B297" t="str">
            <v>VAR_fout</v>
          </cell>
          <cell r="C297" t="str">
            <v>CO2_T</v>
          </cell>
          <cell r="D297">
            <v>155.087315827227</v>
          </cell>
          <cell r="E297">
            <v>102.994236901005</v>
          </cell>
          <cell r="F297">
            <v>70.174567717559398</v>
          </cell>
          <cell r="G297">
            <v>33.4308789509371</v>
          </cell>
        </row>
        <row r="298">
          <cell r="A298" t="str">
            <v>T_TW-ICEGSLEXT</v>
          </cell>
          <cell r="B298" t="str">
            <v>VAR_fout</v>
          </cell>
          <cell r="C298" t="str">
            <v>TPTWL</v>
          </cell>
          <cell r="D298">
            <v>1.6205681063373676</v>
          </cell>
          <cell r="E298">
            <v>1.0986586863713466</v>
          </cell>
          <cell r="F298">
            <v>0.77149060813842874</v>
          </cell>
          <cell r="G298">
            <v>0.38573763443592696</v>
          </cell>
        </row>
        <row r="299">
          <cell r="A299" t="str">
            <v>T_TW-ICEGSLEXT</v>
          </cell>
          <cell r="B299" t="str">
            <v>VAR_fin</v>
          </cell>
          <cell r="C299" t="str">
            <v>TGSL</v>
          </cell>
          <cell r="D299">
            <v>2.1014541440003693</v>
          </cell>
          <cell r="E299">
            <v>1.3955858658672708</v>
          </cell>
          <cell r="F299">
            <v>0.95087490132194319</v>
          </cell>
          <cell r="G299">
            <v>0.45299293971459542</v>
          </cell>
        </row>
        <row r="300">
          <cell r="A300" t="str">
            <v>T_TW-ICEGSLEXT</v>
          </cell>
          <cell r="B300" t="str">
            <v>VAR_cap</v>
          </cell>
          <cell r="C300" t="str">
            <v>-</v>
          </cell>
          <cell r="D300">
            <v>0.55779800000000002</v>
          </cell>
          <cell r="E300">
            <v>0.48342493333333297</v>
          </cell>
          <cell r="F300">
            <v>0.37186533333333299</v>
          </cell>
          <cell r="G300">
            <v>0.185932666666667</v>
          </cell>
        </row>
        <row r="301">
          <cell r="A301" t="str">
            <v>T-Plg-ELC-GSL_S4</v>
          </cell>
          <cell r="B301" t="str">
            <v>VAR_fout</v>
          </cell>
          <cell r="C301" t="str">
            <v>T-PEVmix-ELC_GSL_S4</v>
          </cell>
          <cell r="F301">
            <v>2.7173972373482534E-2</v>
          </cell>
          <cell r="G301">
            <v>3.3477182132320135E-2</v>
          </cell>
          <cell r="H301">
            <v>5.6266253346618328E-5</v>
          </cell>
          <cell r="I301">
            <v>4.9509201561563538E-5</v>
          </cell>
        </row>
        <row r="302">
          <cell r="A302" t="str">
            <v>T-Plg-ELC-GSL_S4</v>
          </cell>
          <cell r="B302" t="str">
            <v>VAR_fin</v>
          </cell>
          <cell r="C302" t="str">
            <v>T-ELC-car-PlgSTGOut_S4</v>
          </cell>
          <cell r="F302">
            <v>2.0288175275274573E-2</v>
          </cell>
          <cell r="G302">
            <v>2.4994171977799726E-2</v>
          </cell>
          <cell r="H302">
            <v>3.9724361599169872E-5</v>
          </cell>
          <cell r="I302">
            <v>3.2202016239257763E-5</v>
          </cell>
        </row>
        <row r="303">
          <cell r="A303" t="str">
            <v>T-Plg-ELC-DSL_S3</v>
          </cell>
          <cell r="B303" t="str">
            <v>VAR_fout</v>
          </cell>
          <cell r="C303" t="str">
            <v>T-PEVmix-ELC_DSL_S3</v>
          </cell>
          <cell r="F303">
            <v>0.11283980540564986</v>
          </cell>
          <cell r="G303">
            <v>1.0376484687457792</v>
          </cell>
          <cell r="H303">
            <v>3.6449244986577307</v>
          </cell>
          <cell r="I303">
            <v>4.1694043342039624</v>
          </cell>
        </row>
        <row r="304">
          <cell r="A304" t="str">
            <v>T-Plg-ELC-DSL_S3</v>
          </cell>
          <cell r="B304" t="str">
            <v>VAR_fin</v>
          </cell>
          <cell r="C304" t="str">
            <v>T-ELC-car-PlgSTGOut_S3</v>
          </cell>
          <cell r="F304">
            <v>8.0532842590059564E-2</v>
          </cell>
          <cell r="G304">
            <v>0.74056119200942949</v>
          </cell>
          <cell r="H304">
            <v>2.366763825781836</v>
          </cell>
          <cell r="I304">
            <v>2.479428766277378</v>
          </cell>
        </row>
        <row r="305">
          <cell r="A305" t="str">
            <v>T-Plg-ELC-DSL_S4</v>
          </cell>
          <cell r="B305" t="str">
            <v>VAR_fout</v>
          </cell>
          <cell r="C305" t="str">
            <v>T-PEVmix-ELC_DSL_S4</v>
          </cell>
          <cell r="F305">
            <v>9.6500990737746831E-2</v>
          </cell>
          <cell r="G305">
            <v>0.11933701640789464</v>
          </cell>
          <cell r="H305">
            <v>5.6568526326999248E-5</v>
          </cell>
          <cell r="I305">
            <v>4.6798895795262026E-5</v>
          </cell>
        </row>
        <row r="306">
          <cell r="A306" t="str">
            <v>T-Plg-ELC-DSL_S4</v>
          </cell>
          <cell r="B306" t="str">
            <v>VAR_fin</v>
          </cell>
          <cell r="C306" t="str">
            <v>T-ELC-car-PlgSTGOut_S4</v>
          </cell>
          <cell r="F306">
            <v>7.2047950421690488E-2</v>
          </cell>
          <cell r="G306">
            <v>8.9097400719900702E-2</v>
          </cell>
          <cell r="H306">
            <v>3.9935104430481593E-5</v>
          </cell>
          <cell r="I306">
            <v>3.0476547839987131E-5</v>
          </cell>
        </row>
        <row r="307">
          <cell r="A307" t="str">
            <v>TFLGV-ICENGA</v>
          </cell>
          <cell r="B307" t="str">
            <v>VAR_fout</v>
          </cell>
          <cell r="C307" t="str">
            <v>CO2_T</v>
          </cell>
          <cell r="D307">
            <v>0.31125784187033628</v>
          </cell>
          <cell r="F307">
            <v>1.1900734815755201</v>
          </cell>
          <cell r="G307">
            <v>1.1927109625578729</v>
          </cell>
          <cell r="H307">
            <v>2.2904105807940276</v>
          </cell>
          <cell r="I307">
            <v>0.57715055476747767</v>
          </cell>
        </row>
        <row r="308">
          <cell r="A308" t="str">
            <v>TFLGV-ICENGA</v>
          </cell>
          <cell r="B308" t="str">
            <v>VAR_fout</v>
          </cell>
          <cell r="C308" t="str">
            <v>TFLGV</v>
          </cell>
          <cell r="D308">
            <v>1.7691858614698166E-3</v>
          </cell>
          <cell r="F308">
            <v>6.7643634777582772E-3</v>
          </cell>
          <cell r="G308">
            <v>6.7793548882102758E-3</v>
          </cell>
          <cell r="H308">
            <v>1.3018666428297462E-2</v>
          </cell>
          <cell r="I308">
            <v>3.280516870830984E-3</v>
          </cell>
        </row>
        <row r="309">
          <cell r="A309" t="str">
            <v>TFLGV-ICENGA</v>
          </cell>
          <cell r="B309" t="str">
            <v>VAR_fin</v>
          </cell>
          <cell r="C309" t="str">
            <v>TNGA</v>
          </cell>
          <cell r="D309">
            <v>5.5187560615307983E-3</v>
          </cell>
          <cell r="F309">
            <v>2.1100593644955982E-2</v>
          </cell>
          <cell r="G309">
            <v>2.1147357492160925E-2</v>
          </cell>
          <cell r="H309">
            <v>4.0610116680745274E-2</v>
          </cell>
          <cell r="I309">
            <v>1.0233165864671599E-2</v>
          </cell>
        </row>
        <row r="310">
          <cell r="A310" t="str">
            <v>TFLGV-ICENGA</v>
          </cell>
          <cell r="B310" t="str">
            <v>VAR_ncap</v>
          </cell>
          <cell r="C310" t="str">
            <v>-</v>
          </cell>
          <cell r="F310">
            <v>4.7176273732481299E-4</v>
          </cell>
          <cell r="G310">
            <v>1.23361503151531E-6</v>
          </cell>
          <cell r="H310">
            <v>3.0533968489846602E-4</v>
          </cell>
          <cell r="I310">
            <v>6.2635163932126897E-7</v>
          </cell>
        </row>
        <row r="311">
          <cell r="A311" t="str">
            <v>TFLGV-ICENGA</v>
          </cell>
          <cell r="B311" t="str">
            <v>VAR_cap</v>
          </cell>
          <cell r="C311" t="str">
            <v>-</v>
          </cell>
          <cell r="D311">
            <v>1.2370902655749395E-4</v>
          </cell>
          <cell r="E311">
            <v>1.0198719734943844E-8</v>
          </cell>
          <cell r="F311">
            <v>4.7177366085609292E-4</v>
          </cell>
          <cell r="G311">
            <v>4.7300482523550592E-4</v>
          </cell>
          <cell r="H311">
            <v>1.2902329227471301E-3</v>
          </cell>
          <cell r="I311">
            <v>3.2655504577605799E-4</v>
          </cell>
        </row>
        <row r="312">
          <cell r="A312" t="str">
            <v>TFLGV-BEVELC</v>
          </cell>
          <cell r="B312" t="str">
            <v>VAR_fout</v>
          </cell>
          <cell r="C312" t="str">
            <v>TFLGV</v>
          </cell>
          <cell r="D312">
            <v>2.4351745692725749E-2</v>
          </cell>
          <cell r="E312">
            <v>3.5308696723686882E-2</v>
          </cell>
          <cell r="F312">
            <v>0.12757023823415792</v>
          </cell>
          <cell r="G312">
            <v>0.49412900661114589</v>
          </cell>
          <cell r="H312">
            <v>2.0282397039211935</v>
          </cell>
          <cell r="I312">
            <v>3.3432391037269871</v>
          </cell>
        </row>
        <row r="313">
          <cell r="A313" t="str">
            <v>TFLGV-BEVELC</v>
          </cell>
          <cell r="B313" t="str">
            <v>VAR_fin</v>
          </cell>
          <cell r="C313" t="str">
            <v>T-ELC-LGV_BatSTGout</v>
          </cell>
          <cell r="D313">
            <v>3.5740038368367838E-2</v>
          </cell>
          <cell r="E313">
            <v>5.182109699916064E-2</v>
          </cell>
          <cell r="F313">
            <v>0.18722950160047827</v>
          </cell>
          <cell r="G313">
            <v>0.72521247051628068</v>
          </cell>
          <cell r="H313">
            <v>2.976762559574706</v>
          </cell>
          <cell r="I313">
            <v>4.9067321640732811</v>
          </cell>
        </row>
        <row r="314">
          <cell r="A314" t="str">
            <v>TFLGV-BEVELC</v>
          </cell>
          <cell r="B314" t="str">
            <v>VAR_ncap</v>
          </cell>
          <cell r="C314" t="str">
            <v>-</v>
          </cell>
          <cell r="E314">
            <v>9.2380067152567698E-4</v>
          </cell>
          <cell r="F314">
            <v>5.3784788856935497E-3</v>
          </cell>
          <cell r="G314">
            <v>3.4441676166619098E-2</v>
          </cell>
          <cell r="H314">
            <v>8.6955885158931295E-2</v>
          </cell>
          <cell r="I314">
            <v>0.246296146868348</v>
          </cell>
        </row>
        <row r="315">
          <cell r="A315" t="str">
            <v>TFLGV-BEVELC</v>
          </cell>
          <cell r="B315" t="str">
            <v>VAR_cap</v>
          </cell>
          <cell r="C315" t="str">
            <v>-</v>
          </cell>
          <cell r="D315">
            <v>1.699E-3</v>
          </cell>
          <cell r="E315">
            <v>3.515800671525677E-3</v>
          </cell>
          <cell r="F315">
            <v>8.8942795572192306E-3</v>
          </cell>
          <cell r="G315">
            <v>3.4441922062614955E-2</v>
          </cell>
          <cell r="H315">
            <v>0.17283172696722093</v>
          </cell>
          <cell r="I315">
            <v>0.30409005657032001</v>
          </cell>
        </row>
        <row r="316">
          <cell r="A316" t="str">
            <v>T_B_c-BEVELC-S1</v>
          </cell>
          <cell r="B316" t="str">
            <v>VAR_fout</v>
          </cell>
          <cell r="C316" t="str">
            <v>TPBSc</v>
          </cell>
          <cell r="D316">
            <v>4.5446378371484262E-5</v>
          </cell>
          <cell r="E316">
            <v>1.2375710902820145E-4</v>
          </cell>
          <cell r="F316">
            <v>2.9908751724406639E-4</v>
          </cell>
          <cell r="G316">
            <v>5.7021301468053419E-3</v>
          </cell>
          <cell r="H316">
            <v>1.2160550324145571E-2</v>
          </cell>
          <cell r="I316">
            <v>5.071475821489238E-2</v>
          </cell>
        </row>
        <row r="317">
          <cell r="A317" t="str">
            <v>T_B_c-BEVELC-S1</v>
          </cell>
          <cell r="B317" t="str">
            <v>VAR_fin</v>
          </cell>
          <cell r="C317" t="str">
            <v>T-ELC-Bus_c_BatSTGout_S1</v>
          </cell>
          <cell r="D317">
            <v>1.2000842985586925E-4</v>
          </cell>
          <cell r="E317">
            <v>3.2163023660217106E-4</v>
          </cell>
          <cell r="F317">
            <v>7.5474692329774581E-4</v>
          </cell>
          <cell r="G317">
            <v>1.2746526925561311E-2</v>
          </cell>
          <cell r="H317">
            <v>2.513981792767046E-2</v>
          </cell>
          <cell r="I317">
            <v>9.4327093458921624E-2</v>
          </cell>
        </row>
        <row r="318">
          <cell r="A318" t="str">
            <v>T_B_c-BEVELC-S1</v>
          </cell>
          <cell r="B318" t="str">
            <v>VAR_ncap</v>
          </cell>
          <cell r="C318" t="str">
            <v>-</v>
          </cell>
          <cell r="E318">
            <v>4.9173725880349899E-8</v>
          </cell>
          <cell r="F318">
            <v>2.76937984292122E-6</v>
          </cell>
          <cell r="G318">
            <v>1.23905153503384E-4</v>
          </cell>
          <cell r="H318">
            <v>1.4362157406655701E-4</v>
          </cell>
          <cell r="I318">
            <v>1.0139213169579799E-3</v>
          </cell>
        </row>
        <row r="319">
          <cell r="A319" t="str">
            <v>T_B_c-BEVELC-S1</v>
          </cell>
          <cell r="B319" t="str">
            <v>VAR_cap</v>
          </cell>
          <cell r="C319" t="str">
            <v>-</v>
          </cell>
          <cell r="D319">
            <v>9.9158653846154025E-7</v>
          </cell>
          <cell r="E319">
            <v>3.8660724020965505E-6</v>
          </cell>
          <cell r="F319">
            <v>6.6361565872098501E-6</v>
          </cell>
          <cell r="G319">
            <v>1.2393354988742561E-4</v>
          </cell>
          <cell r="H319">
            <v>2.6993877578742226E-4</v>
          </cell>
          <cell r="I319">
            <v>1.10811207358608E-3</v>
          </cell>
        </row>
        <row r="320">
          <cell r="A320" t="str">
            <v>T_B_c-BEVELC-S2</v>
          </cell>
          <cell r="B320" t="str">
            <v>VAR_fout</v>
          </cell>
          <cell r="C320" t="str">
            <v>TPBSc</v>
          </cell>
          <cell r="D320">
            <v>1.2345734783512482E-4</v>
          </cell>
          <cell r="E320">
            <v>8.9142272877561782E-6</v>
          </cell>
          <cell r="F320">
            <v>1.4215165358988347E-5</v>
          </cell>
          <cell r="G320">
            <v>1.5927394929877448E-5</v>
          </cell>
          <cell r="H320">
            <v>4.055472216039329E-2</v>
          </cell>
          <cell r="I320">
            <v>3.7789660877031721E-2</v>
          </cell>
        </row>
        <row r="321">
          <cell r="A321" t="str">
            <v>T_B_c-BEVELC-S2</v>
          </cell>
          <cell r="B321" t="str">
            <v>VAR_fin</v>
          </cell>
          <cell r="C321" t="str">
            <v>T-ELC-Bus_c_BatSTGout_S2</v>
          </cell>
          <cell r="D321">
            <v>4.4864100428432648E-4</v>
          </cell>
          <cell r="E321">
            <v>3.1834854699457084E-5</v>
          </cell>
          <cell r="F321">
            <v>5.0499790048135114E-5</v>
          </cell>
          <cell r="G321">
            <v>4.9419981836288462E-5</v>
          </cell>
          <cell r="H321">
            <v>0.11550908270459773</v>
          </cell>
          <cell r="I321">
            <v>0.10030126048317828</v>
          </cell>
        </row>
        <row r="322">
          <cell r="A322" t="str">
            <v>T_B_c-BEVELC-S2</v>
          </cell>
          <cell r="B322" t="str">
            <v>VAR_ncap</v>
          </cell>
          <cell r="C322" t="str">
            <v>-</v>
          </cell>
          <cell r="E322">
            <v>1.28997506769153E-8</v>
          </cell>
          <cell r="F322">
            <v>4.0398110720543298E-8</v>
          </cell>
          <cell r="G322">
            <v>3.2363058575768399E-7</v>
          </cell>
          <cell r="H322">
            <v>5.1426158209248697E-4</v>
          </cell>
          <cell r="I322">
            <v>4.9886736054619702E-4</v>
          </cell>
        </row>
        <row r="323">
          <cell r="A323" t="str">
            <v>T_B_c-BEVELC-S2</v>
          </cell>
          <cell r="B323" t="str">
            <v>VAR_cap</v>
          </cell>
          <cell r="C323" t="str">
            <v>-</v>
          </cell>
          <cell r="D323">
            <v>3.2031249999999999E-6</v>
          </cell>
          <cell r="E323">
            <v>3.1289457079011445E-7</v>
          </cell>
          <cell r="F323">
            <v>3.5402181668145734E-7</v>
          </cell>
          <cell r="G323">
            <v>3.9244356913614595E-7</v>
          </cell>
          <cell r="H323">
            <v>8.8126999906633699E-4</v>
          </cell>
          <cell r="I323">
            <v>8.2116801163907799E-4</v>
          </cell>
        </row>
        <row r="324">
          <cell r="A324" t="str">
            <v>T_B_c-BEVELC-S3</v>
          </cell>
          <cell r="B324" t="str">
            <v>VAR_fout</v>
          </cell>
          <cell r="C324" t="str">
            <v>TPBSc</v>
          </cell>
          <cell r="D324">
            <v>2.6350053034071374E-5</v>
          </cell>
          <cell r="E324">
            <v>2.2006006944839962E-5</v>
          </cell>
          <cell r="F324">
            <v>2.9584056446741419E-5</v>
          </cell>
          <cell r="G324">
            <v>1.5345526977979869E-5</v>
          </cell>
          <cell r="H324">
            <v>2.1562436111557596E-3</v>
          </cell>
          <cell r="I324">
            <v>7.4706082720247104E-4</v>
          </cell>
        </row>
        <row r="325">
          <cell r="A325" t="str">
            <v>T_B_c-BEVELC-S3</v>
          </cell>
          <cell r="B325" t="str">
            <v>VAR_fin</v>
          </cell>
          <cell r="C325" t="str">
            <v>T-ELC-Bus_c_BatSTGout_S3</v>
          </cell>
          <cell r="D325">
            <v>1.4401264907672325E-4</v>
          </cell>
          <cell r="E325">
            <v>1.2027085302748269E-4</v>
          </cell>
          <cell r="F325">
            <v>1.6168765709206054E-4</v>
          </cell>
          <cell r="G325">
            <v>8.2769872140901076E-5</v>
          </cell>
          <cell r="H325">
            <v>9.0205736442103175E-3</v>
          </cell>
          <cell r="I325">
            <v>3.1206534024428192E-3</v>
          </cell>
        </row>
        <row r="326">
          <cell r="A326" t="str">
            <v>T_B_c-BEVELC-S3</v>
          </cell>
          <cell r="B326" t="str">
            <v>VAR_ncap</v>
          </cell>
          <cell r="C326" t="str">
            <v>-</v>
          </cell>
          <cell r="G326">
            <v>4.4846287929710601E-8</v>
          </cell>
          <cell r="H326">
            <v>4.6692156982004103E-5</v>
          </cell>
          <cell r="I326">
            <v>2.4589784766832601E-7</v>
          </cell>
        </row>
        <row r="327">
          <cell r="A327" t="str">
            <v>T_B_c-BEVELC-S3</v>
          </cell>
          <cell r="B327" t="str">
            <v>VAR_cap</v>
          </cell>
          <cell r="C327" t="str">
            <v>-</v>
          </cell>
          <cell r="D327">
            <v>6.8509615384615006E-7</v>
          </cell>
          <cell r="E327">
            <v>6.8509615384615069E-7</v>
          </cell>
          <cell r="F327">
            <v>6.8509615384615069E-7</v>
          </cell>
          <cell r="G327">
            <v>3.5300984019850065E-7</v>
          </cell>
          <cell r="H327">
            <v>4.6863581853423097E-5</v>
          </cell>
          <cell r="I327">
            <v>1.6238953670326899E-5</v>
          </cell>
        </row>
        <row r="328">
          <cell r="A328" t="str">
            <v>T_C-BAT-ELC-S1</v>
          </cell>
          <cell r="B328" t="str">
            <v>VAR_fout</v>
          </cell>
          <cell r="C328" t="str">
            <v>TPCAR</v>
          </cell>
          <cell r="D328">
            <v>1.3842817873123633E-2</v>
          </cell>
          <cell r="E328">
            <v>0.66373038675962026</v>
          </cell>
          <cell r="F328">
            <v>1.0201817719728963</v>
          </cell>
          <cell r="G328">
            <v>1.8089339026643187</v>
          </cell>
          <cell r="H328">
            <v>1.5881742697794559</v>
          </cell>
          <cell r="I328">
            <v>1.8346267917731127</v>
          </cell>
        </row>
        <row r="329">
          <cell r="A329" t="str">
            <v>T_C-BAT-ELC-S1</v>
          </cell>
          <cell r="B329" t="str">
            <v>VAR_fin</v>
          </cell>
          <cell r="C329" t="str">
            <v>T-ELC-car-BatSTGOut_S1</v>
          </cell>
          <cell r="D329">
            <v>7.6409074465788561E-3</v>
          </cell>
          <cell r="E329">
            <v>0.36636344573735685</v>
          </cell>
          <cell r="F329">
            <v>0.56311616390375396</v>
          </cell>
          <cell r="G329">
            <v>0.99848864977646323</v>
          </cell>
          <cell r="H329">
            <v>0.83968330683342896</v>
          </cell>
          <cell r="I329">
            <v>0.85871066268774043</v>
          </cell>
        </row>
        <row r="330">
          <cell r="A330" t="str">
            <v>T_C-BAT-ELC-S1</v>
          </cell>
          <cell r="B330" t="str">
            <v>VAR_ncap</v>
          </cell>
          <cell r="C330" t="str">
            <v>-</v>
          </cell>
          <cell r="D330">
            <v>1.28999853993487E-5</v>
          </cell>
          <cell r="E330">
            <v>0.10223169924521699</v>
          </cell>
          <cell r="F330">
            <v>6.0754296966687001E-2</v>
          </cell>
          <cell r="G330">
            <v>0.15384470800722699</v>
          </cell>
          <cell r="H330">
            <v>3.9980707184340401E-2</v>
          </cell>
          <cell r="I330">
            <v>0.255271009842228</v>
          </cell>
        </row>
        <row r="331">
          <cell r="A331" t="str">
            <v>T_C-BAT-ELC-S1</v>
          </cell>
          <cell r="B331" t="str">
            <v>VAR_cap</v>
          </cell>
          <cell r="C331" t="str">
            <v>-</v>
          </cell>
          <cell r="D331">
            <v>1.4846607415617788E-3</v>
          </cell>
          <cell r="E331">
            <v>0.10087136995326183</v>
          </cell>
          <cell r="F331">
            <v>0.15504317182314695</v>
          </cell>
          <cell r="G331">
            <v>0.27491431560329149</v>
          </cell>
          <cell r="H331">
            <v>0.24136371357587399</v>
          </cell>
          <cell r="I331">
            <v>0.27881860105900802</v>
          </cell>
        </row>
        <row r="332">
          <cell r="A332" t="str">
            <v>D-TNGA</v>
          </cell>
          <cell r="B332" t="str">
            <v>VAR_fout</v>
          </cell>
          <cell r="C332" t="str">
            <v>CO2</v>
          </cell>
          <cell r="D332">
            <v>9.9333212367552708</v>
          </cell>
          <cell r="E332">
            <v>1.5615784484312101</v>
          </cell>
          <cell r="F332">
            <v>109.784675385356</v>
          </cell>
          <cell r="G332">
            <v>367.76404069927497</v>
          </cell>
          <cell r="H332">
            <v>38.634419506075602</v>
          </cell>
          <cell r="I332">
            <v>58.8051196756102</v>
          </cell>
        </row>
        <row r="333">
          <cell r="A333" t="str">
            <v>D-TNGA</v>
          </cell>
          <cell r="B333" t="str">
            <v>VAR_fout</v>
          </cell>
          <cell r="C333" t="str">
            <v>TNGA</v>
          </cell>
          <cell r="D333">
            <v>0.18987798218204949</v>
          </cell>
          <cell r="E333">
            <v>3.3376953759721308E-2</v>
          </cell>
          <cell r="F333">
            <v>2.0836085555569253</v>
          </cell>
          <cell r="G333">
            <v>6.4999216856638258</v>
          </cell>
          <cell r="H333">
            <v>0.68284725040636063</v>
          </cell>
          <cell r="I333">
            <v>1.0570621175803776</v>
          </cell>
        </row>
        <row r="334">
          <cell r="A334" t="str">
            <v>D-TNGA</v>
          </cell>
          <cell r="B334" t="str">
            <v>VAR_fin</v>
          </cell>
          <cell r="C334" t="str">
            <v>NGA</v>
          </cell>
          <cell r="D334">
            <v>0.17612271696374596</v>
          </cell>
          <cell r="E334">
            <v>2.7687561142397371E-2</v>
          </cell>
          <cell r="F334">
            <v>1.9465367976127002</v>
          </cell>
          <cell r="G334">
            <v>6.5206390194906927</v>
          </cell>
          <cell r="H334">
            <v>0.68500743805098696</v>
          </cell>
          <cell r="I334">
            <v>1.0426439658796138</v>
          </cell>
        </row>
        <row r="335">
          <cell r="A335" t="str">
            <v>D-TNGA</v>
          </cell>
          <cell r="B335" t="str">
            <v>VAR_fin</v>
          </cell>
          <cell r="C335" t="str">
            <v>BNGA</v>
          </cell>
          <cell r="D335">
            <v>1.4360861532951037E-2</v>
          </cell>
          <cell r="E335">
            <v>5.39401591264713E-3</v>
          </cell>
          <cell r="F335">
            <v>0.14019038678734774</v>
          </cell>
          <cell r="G335">
            <v>8.9705208759156252E-6</v>
          </cell>
          <cell r="H335">
            <v>1.0434241535343997E-5</v>
          </cell>
          <cell r="I335">
            <v>1.5306080758367047E-5</v>
          </cell>
        </row>
        <row r="336">
          <cell r="A336" t="str">
            <v>D-TNGA</v>
          </cell>
          <cell r="B336" t="str">
            <v>VAR_fin</v>
          </cell>
          <cell r="C336" t="str">
            <v>H2</v>
          </cell>
          <cell r="E336">
            <v>4.0168065113190449E-4</v>
          </cell>
          <cell r="F336">
            <v>3.5276567522145954E-3</v>
          </cell>
          <cell r="G336">
            <v>7.1104260948633372E-6</v>
          </cell>
          <cell r="H336">
            <v>7.4396705748513946E-6</v>
          </cell>
          <cell r="I336">
            <v>1.7774468291138136E-2</v>
          </cell>
        </row>
        <row r="337">
          <cell r="A337" t="str">
            <v>D-TNGA</v>
          </cell>
          <cell r="B337" t="str">
            <v>VAR_cap</v>
          </cell>
          <cell r="C337" t="str">
            <v>-</v>
          </cell>
          <cell r="D337">
            <v>0.95961769308164402</v>
          </cell>
          <cell r="E337">
            <v>0.95961769308164402</v>
          </cell>
          <cell r="F337">
            <v>0.95961769308164402</v>
          </cell>
          <cell r="G337">
            <v>0.95961769308164402</v>
          </cell>
          <cell r="H337">
            <v>0.95961769308164402</v>
          </cell>
          <cell r="I337">
            <v>0.48125334943558801</v>
          </cell>
        </row>
        <row r="338">
          <cell r="A338" t="str">
            <v>T_C-BAT-ELC-S2</v>
          </cell>
          <cell r="B338" t="str">
            <v>VAR_fout</v>
          </cell>
          <cell r="C338" t="str">
            <v>TPCAR</v>
          </cell>
          <cell r="D338">
            <v>3.9621083842839695E-2</v>
          </cell>
          <cell r="E338">
            <v>3.6153562406361639E-5</v>
          </cell>
          <cell r="F338">
            <v>3.3745032153927561E-4</v>
          </cell>
          <cell r="G338">
            <v>6.7604592247348876</v>
          </cell>
          <cell r="H338">
            <v>18.040790482440354</v>
          </cell>
          <cell r="I338">
            <v>17.772309829592984</v>
          </cell>
        </row>
        <row r="339">
          <cell r="A339" t="str">
            <v>T_C-BAT-ELC-S2</v>
          </cell>
          <cell r="B339" t="str">
            <v>VAR_fin</v>
          </cell>
          <cell r="C339" t="str">
            <v>T-ELC-car-BatSTGOut_S2</v>
          </cell>
          <cell r="D339">
            <v>2.7067311618593805E-2</v>
          </cell>
          <cell r="E339">
            <v>2.4698459629647849E-5</v>
          </cell>
          <cell r="F339">
            <v>2.305306196349527E-4</v>
          </cell>
          <cell r="G339">
            <v>4.6184364175026387</v>
          </cell>
          <cell r="H339">
            <v>11.596232774612538</v>
          </cell>
          <cell r="I339">
            <v>10.352751391503508</v>
          </cell>
        </row>
        <row r="340">
          <cell r="A340" t="str">
            <v>T_C-BAT-ELC-S2</v>
          </cell>
          <cell r="B340" t="str">
            <v>VAR_ncap</v>
          </cell>
          <cell r="C340" t="str">
            <v>-</v>
          </cell>
          <cell r="D340">
            <v>2.4512329995078299E-5</v>
          </cell>
          <cell r="E340">
            <v>1.8129079073327099E-6</v>
          </cell>
          <cell r="F340">
            <v>2.2548241282138802E-5</v>
          </cell>
          <cell r="G340">
            <v>0.540970126598323</v>
          </cell>
          <cell r="H340">
            <v>0.61626221856883201</v>
          </cell>
          <cell r="I340">
            <v>1.4520470677521999</v>
          </cell>
        </row>
        <row r="341">
          <cell r="A341" t="str">
            <v>T_C-BAT-ELC-S2</v>
          </cell>
          <cell r="B341" t="str">
            <v>VAR_cap</v>
          </cell>
          <cell r="C341" t="str">
            <v>-</v>
          </cell>
          <cell r="D341">
            <v>3.0833552705783378E-3</v>
          </cell>
          <cell r="E341">
            <v>4.0747639945080266E-6</v>
          </cell>
          <cell r="F341">
            <v>2.6200919485011229E-5</v>
          </cell>
          <cell r="G341">
            <v>0.51293709395557752</v>
          </cell>
          <cell r="H341">
            <v>1.9028756467013599</v>
          </cell>
          <cell r="I341">
            <v>1.8745578166871</v>
          </cell>
        </row>
        <row r="342">
          <cell r="A342" t="str">
            <v>TFLGV-BeVELCExt</v>
          </cell>
          <cell r="B342" t="str">
            <v>VAR_fout</v>
          </cell>
          <cell r="C342" t="str">
            <v>TFLGV</v>
          </cell>
          <cell r="D342">
            <v>6.4542386126792478E-3</v>
          </cell>
          <cell r="E342">
            <v>1.9583899150982268E-3</v>
          </cell>
          <cell r="F342">
            <v>4.3018662435629039E-3</v>
          </cell>
          <cell r="G342">
            <v>2.1514833922226498E-3</v>
          </cell>
        </row>
        <row r="343">
          <cell r="A343" t="str">
            <v>TFLGV-BeVELCExt</v>
          </cell>
          <cell r="B343" t="str">
            <v>VAR_fin</v>
          </cell>
          <cell r="C343" t="str">
            <v>TELC</v>
          </cell>
          <cell r="D343">
            <v>9.3645162534444337E-3</v>
          </cell>
          <cell r="E343">
            <v>2.8152087425012315E-3</v>
          </cell>
          <cell r="F343">
            <v>6.0994998801233314E-3</v>
          </cell>
          <cell r="G343">
            <v>3.0505301536480687E-3</v>
          </cell>
        </row>
        <row r="344">
          <cell r="A344" t="str">
            <v>TFLGV-BeVELCExt</v>
          </cell>
          <cell r="B344" t="str">
            <v>VAR_cap</v>
          </cell>
          <cell r="C344" t="str">
            <v>-</v>
          </cell>
          <cell r="D344">
            <v>4.4999999999999999E-4</v>
          </cell>
          <cell r="E344">
            <v>3.8999999999999999E-4</v>
          </cell>
          <cell r="F344">
            <v>2.9999999999999997E-4</v>
          </cell>
          <cell r="G344">
            <v>1.4999999999999999E-4</v>
          </cell>
        </row>
        <row r="345">
          <cell r="A345" t="str">
            <v>T_C-BAT-ELC-S3</v>
          </cell>
          <cell r="B345" t="str">
            <v>VAR_fout</v>
          </cell>
          <cell r="C345" t="str">
            <v>TPCAR</v>
          </cell>
          <cell r="D345">
            <v>1.6136357850581529E-2</v>
          </cell>
          <cell r="E345">
            <v>4.785804045051737E-4</v>
          </cell>
          <cell r="F345">
            <v>1.2049420555107675E-3</v>
          </cell>
          <cell r="G345">
            <v>0.17307953834809395</v>
          </cell>
          <cell r="H345">
            <v>1.040924854464111</v>
          </cell>
          <cell r="I345">
            <v>1.4871591157059392</v>
          </cell>
        </row>
        <row r="346">
          <cell r="A346" t="str">
            <v>T_C-BAT-ELC-S3</v>
          </cell>
          <cell r="B346" t="str">
            <v>VAR_fin</v>
          </cell>
          <cell r="C346" t="str">
            <v>T-ELC-car-BatSTGOut_S3</v>
          </cell>
          <cell r="D346">
            <v>1.2064993062675491E-2</v>
          </cell>
          <cell r="E346">
            <v>3.5782977260133473E-4</v>
          </cell>
          <cell r="F346">
            <v>9.0092310019881223E-4</v>
          </cell>
          <cell r="G346">
            <v>0.12940983639536568</v>
          </cell>
          <cell r="H346">
            <v>0.72854322828506834</v>
          </cell>
          <cell r="I346">
            <v>0.93495589158393766</v>
          </cell>
        </row>
        <row r="347">
          <cell r="A347" t="str">
            <v>T_C-BAT-ELC-S3</v>
          </cell>
          <cell r="B347" t="str">
            <v>VAR_ncap</v>
          </cell>
          <cell r="C347" t="str">
            <v>-</v>
          </cell>
          <cell r="D347">
            <v>9.2865223755371497E-6</v>
          </cell>
          <cell r="E347">
            <v>1.0902011635464801E-6</v>
          </cell>
          <cell r="F347">
            <v>3.6765581932874601E-5</v>
          </cell>
          <cell r="G347">
            <v>1.24693537044748E-2</v>
          </cell>
          <cell r="H347">
            <v>2.6608267038920198E-2</v>
          </cell>
          <cell r="I347">
            <v>8.9874606149054403E-2</v>
          </cell>
        </row>
        <row r="348">
          <cell r="A348" t="str">
            <v>T_C-BAT-ELC-S3</v>
          </cell>
          <cell r="B348" t="str">
            <v>VAR_cap</v>
          </cell>
          <cell r="C348" t="str">
            <v>-</v>
          </cell>
          <cell r="D348">
            <v>1.2204812460528064E-3</v>
          </cell>
          <cell r="E348">
            <v>4.7131895286153108E-5</v>
          </cell>
          <cell r="F348">
            <v>8.3273088044321861E-5</v>
          </cell>
          <cell r="G348">
            <v>1.190072675666369E-2</v>
          </cell>
          <cell r="H348">
            <v>7.15712505162409E-2</v>
          </cell>
          <cell r="I348">
            <v>0.102252799783277</v>
          </cell>
        </row>
        <row r="349">
          <cell r="A349" t="str">
            <v>T_C-BAT-ELC-S4</v>
          </cell>
          <cell r="B349" t="str">
            <v>VAR_fout</v>
          </cell>
          <cell r="C349" t="str">
            <v>TPCAR</v>
          </cell>
          <cell r="D349">
            <v>7.4248775062934855E-2</v>
          </cell>
          <cell r="E349">
            <v>2.007911457393812E-4</v>
          </cell>
          <cell r="F349">
            <v>3.2787655148607762</v>
          </cell>
          <cell r="G349">
            <v>12.895431447392399</v>
          </cell>
          <cell r="H349">
            <v>21.778187776879143</v>
          </cell>
          <cell r="I349">
            <v>21.42416926299234</v>
          </cell>
        </row>
        <row r="350">
          <cell r="A350" t="str">
            <v>T_C-BAT-ELC-S4</v>
          </cell>
          <cell r="B350" t="str">
            <v>VAR_fin</v>
          </cell>
          <cell r="C350" t="str">
            <v>T-ELC-car-BatSTGOut_S4</v>
          </cell>
          <cell r="D350">
            <v>5.7336160249426824E-2</v>
          </cell>
          <cell r="E350">
            <v>1.5505431973821646E-4</v>
          </cell>
          <cell r="F350">
            <v>2.5319182009535663</v>
          </cell>
          <cell r="G350">
            <v>9.9580703294630659</v>
          </cell>
          <cell r="H350">
            <v>15.80232919165681</v>
          </cell>
          <cell r="I350">
            <v>14.100429538929669</v>
          </cell>
        </row>
        <row r="351">
          <cell r="A351" t="str">
            <v>T_C-BAT-ELC-S4</v>
          </cell>
          <cell r="B351" t="str">
            <v>VAR_ncap</v>
          </cell>
          <cell r="C351" t="str">
            <v>-</v>
          </cell>
          <cell r="D351">
            <v>4.68790592229418E-5</v>
          </cell>
          <cell r="E351">
            <v>2.5656503906383999E-6</v>
          </cell>
          <cell r="F351">
            <v>0.26163196877880301</v>
          </cell>
          <cell r="G351">
            <v>0.83154194559613304</v>
          </cell>
          <cell r="H351">
            <v>0.820552889095294</v>
          </cell>
          <cell r="I351">
            <v>1.7846053959019901</v>
          </cell>
        </row>
        <row r="352">
          <cell r="A352" t="str">
            <v>T_C-BAT-ELC-S4</v>
          </cell>
          <cell r="B352" t="str">
            <v>VAR_cap</v>
          </cell>
          <cell r="C352" t="str">
            <v>-</v>
          </cell>
          <cell r="D352">
            <v>6.085035139679661E-3</v>
          </cell>
          <cell r="E352">
            <v>2.2660915060413594E-5</v>
          </cell>
          <cell r="F352">
            <v>0.25817124821034559</v>
          </cell>
          <cell r="G352">
            <v>1.0153887752702557</v>
          </cell>
          <cell r="H352">
            <v>1.8771315235089301</v>
          </cell>
          <cell r="I352">
            <v>2.15768745214441</v>
          </cell>
        </row>
        <row r="353">
          <cell r="A353" t="str">
            <v>T_B_c-ICENGA-S1</v>
          </cell>
          <cell r="B353" t="str">
            <v>VAR_fout</v>
          </cell>
          <cell r="C353" t="str">
            <v>CO2_T</v>
          </cell>
          <cell r="F353">
            <v>8.5536970762403405E-4</v>
          </cell>
          <cell r="G353">
            <v>8.37033140028353E-4</v>
          </cell>
          <cell r="H353">
            <v>2.5279736621540358E-3</v>
          </cell>
          <cell r="I353">
            <v>6.3538883558756103E-4</v>
          </cell>
        </row>
        <row r="354">
          <cell r="A354" t="str">
            <v>T_B_c-ICENGA-S1</v>
          </cell>
          <cell r="B354" t="str">
            <v>VAR_fout</v>
          </cell>
          <cell r="C354" t="str">
            <v>TPBSc</v>
          </cell>
          <cell r="F354">
            <v>1.9230747265210645E-6</v>
          </cell>
          <cell r="G354">
            <v>1.9601592114764334E-6</v>
          </cell>
          <cell r="H354">
            <v>6.7638481249086241E-6</v>
          </cell>
          <cell r="I354">
            <v>1.7623283630490573E-6</v>
          </cell>
        </row>
        <row r="355">
          <cell r="A355" t="str">
            <v>T_B_c-ICENGA-S1</v>
          </cell>
          <cell r="B355" t="str">
            <v>VAR_fin</v>
          </cell>
          <cell r="C355" t="str">
            <v>TNGA</v>
          </cell>
          <cell r="F355">
            <v>1.5166129567802014E-5</v>
          </cell>
          <cell r="G355">
            <v>1.4841013121070091E-5</v>
          </cell>
          <cell r="H355">
            <v>4.4822228052376475E-5</v>
          </cell>
          <cell r="I355">
            <v>1.1265759496233355E-5</v>
          </cell>
        </row>
        <row r="356">
          <cell r="A356" t="str">
            <v>T_B_c-ICENGA-S1</v>
          </cell>
          <cell r="B356" t="str">
            <v>VAR_ncap</v>
          </cell>
          <cell r="C356" t="str">
            <v>-</v>
          </cell>
          <cell r="F356">
            <v>6.2104003279749303E-8</v>
          </cell>
          <cell r="G356">
            <v>3.5971485526426203E-8</v>
          </cell>
          <cell r="H356">
            <v>1.2305911138324799E-7</v>
          </cell>
          <cell r="I356">
            <v>2.7149396297975501E-8</v>
          </cell>
        </row>
        <row r="357">
          <cell r="A357" t="str">
            <v>T_B_c-ICENGA-S1</v>
          </cell>
          <cell r="B357" t="str">
            <v>VAR_cap</v>
          </cell>
          <cell r="C357" t="str">
            <v>-</v>
          </cell>
          <cell r="F357">
            <v>6.2104003279749303E-8</v>
          </cell>
          <cell r="G357">
            <v>7.2124425279228009E-8</v>
          </cell>
          <cell r="H357">
            <v>1.8697851098047099E-7</v>
          </cell>
          <cell r="I357">
            <v>9.8963222366582805E-8</v>
          </cell>
        </row>
        <row r="358">
          <cell r="A358" t="str">
            <v>TFLGV-FCLH2O</v>
          </cell>
          <cell r="B358" t="str">
            <v>VAR_fout</v>
          </cell>
          <cell r="C358" t="str">
            <v>TFLGV</v>
          </cell>
          <cell r="E358">
            <v>8.9973214089134838E-3</v>
          </cell>
          <cell r="F358">
            <v>9.2605661926922655E-7</v>
          </cell>
          <cell r="G358">
            <v>8.8874083499786719E-2</v>
          </cell>
          <cell r="H358">
            <v>6.7943905371398133E-2</v>
          </cell>
          <cell r="I358">
            <v>0.15169008585357224</v>
          </cell>
        </row>
        <row r="359">
          <cell r="A359" t="str">
            <v>TFLGV-FCLH2O</v>
          </cell>
          <cell r="B359" t="str">
            <v>VAR_fin</v>
          </cell>
          <cell r="C359" t="str">
            <v>TH2O</v>
          </cell>
          <cell r="E359">
            <v>1.9344775366924635E-2</v>
          </cell>
          <cell r="F359">
            <v>1.9910767285771735E-6</v>
          </cell>
          <cell r="G359">
            <v>0.16781556206109513</v>
          </cell>
          <cell r="H359">
            <v>0.11953145460406767</v>
          </cell>
          <cell r="I359">
            <v>0.25336173706291071</v>
          </cell>
        </row>
        <row r="360">
          <cell r="A360" t="str">
            <v>TFLGV-FCLH2O</v>
          </cell>
          <cell r="B360" t="str">
            <v>VAR_ncap</v>
          </cell>
          <cell r="C360" t="str">
            <v>-</v>
          </cell>
          <cell r="E360">
            <v>6.2713306914663296E-4</v>
          </cell>
          <cell r="F360">
            <v>2.6399557942372599E-8</v>
          </cell>
          <cell r="G360">
            <v>6.1948657635927202E-3</v>
          </cell>
          <cell r="H360">
            <v>5.09624445941252E-3</v>
          </cell>
          <cell r="I360">
            <v>9.2157148369035203E-3</v>
          </cell>
        </row>
        <row r="361">
          <cell r="A361" t="str">
            <v>TFLGV-FCLH2O</v>
          </cell>
          <cell r="B361" t="str">
            <v>VAR_cap</v>
          </cell>
          <cell r="C361" t="str">
            <v>-</v>
          </cell>
          <cell r="E361">
            <v>6.2713306914663296E-4</v>
          </cell>
          <cell r="F361">
            <v>1.166172621860093E-7</v>
          </cell>
          <cell r="G361">
            <v>6.1949328984535305E-3</v>
          </cell>
          <cell r="H361">
            <v>6.1949285640898856E-3</v>
          </cell>
          <cell r="I361">
            <v>1.1771813101166101E-2</v>
          </cell>
        </row>
        <row r="362">
          <cell r="A362" t="str">
            <v>T_B_c-ICENGA-S2</v>
          </cell>
          <cell r="B362" t="str">
            <v>VAR_fout</v>
          </cell>
          <cell r="C362" t="str">
            <v>CO2_T</v>
          </cell>
          <cell r="F362">
            <v>1.1599024795615801E-3</v>
          </cell>
          <cell r="G362">
            <v>2.2914294464966901E-3</v>
          </cell>
          <cell r="H362">
            <v>1.9805413727419343E-3</v>
          </cell>
          <cell r="I362">
            <v>3.1997736934675169E-4</v>
          </cell>
        </row>
        <row r="363">
          <cell r="A363" t="str">
            <v>T_B_c-ICENGA-S2</v>
          </cell>
          <cell r="B363" t="str">
            <v>VAR_fout</v>
          </cell>
          <cell r="C363" t="str">
            <v>TPBSc</v>
          </cell>
          <cell r="F363">
            <v>1.8390492714330966E-6</v>
          </cell>
          <cell r="G363">
            <v>3.7773208828938836E-6</v>
          </cell>
          <cell r="H363">
            <v>3.6418136787795031E-6</v>
          </cell>
          <cell r="I363">
            <v>6.0832101321296182E-7</v>
          </cell>
        </row>
        <row r="364">
          <cell r="A364" t="str">
            <v>T_B_c-ICENGA-S2</v>
          </cell>
          <cell r="B364" t="str">
            <v>VAR_fin</v>
          </cell>
          <cell r="C364" t="str">
            <v>TNGA</v>
          </cell>
          <cell r="F364">
            <v>2.0565646800737292E-5</v>
          </cell>
          <cell r="G364">
            <v>4.0628181675473213E-5</v>
          </cell>
          <cell r="H364">
            <v>3.5115981786204505E-5</v>
          </cell>
          <cell r="I364">
            <v>5.6733576125310538E-6</v>
          </cell>
        </row>
        <row r="365">
          <cell r="A365" t="str">
            <v>T_B_c-ICENGA-S2</v>
          </cell>
          <cell r="B365" t="str">
            <v>VAR_ncap</v>
          </cell>
          <cell r="C365" t="str">
            <v>-</v>
          </cell>
          <cell r="F365">
            <v>5.8491795994104597E-8</v>
          </cell>
          <cell r="G365">
            <v>5.8719470729664497E-8</v>
          </cell>
          <cell r="H365">
            <v>4.7524543925260199E-8</v>
          </cell>
          <cell r="I365">
            <v>1.2256739456821101E-8</v>
          </cell>
        </row>
        <row r="366">
          <cell r="A366" t="str">
            <v>T_B_c-ICENGA-S2</v>
          </cell>
          <cell r="B366" t="str">
            <v>VAR_cap</v>
          </cell>
          <cell r="C366" t="str">
            <v>-</v>
          </cell>
          <cell r="F366">
            <v>5.8491795994104597E-8</v>
          </cell>
          <cell r="G366">
            <v>1.17211266723769E-7</v>
          </cell>
          <cell r="H366">
            <v>1.2460648866205299E-7</v>
          </cell>
          <cell r="I366">
            <v>4.7792384463281698E-8</v>
          </cell>
        </row>
        <row r="367">
          <cell r="A367" t="str">
            <v>T_B_u-ICEDSL-S1</v>
          </cell>
          <cell r="B367" t="str">
            <v>VAR_fout</v>
          </cell>
          <cell r="C367" t="str">
            <v>CO2_T</v>
          </cell>
          <cell r="D367">
            <v>2.0289406450980221E-2</v>
          </cell>
          <cell r="E367">
            <v>1.8983992607525681E-2</v>
          </cell>
          <cell r="F367">
            <v>11.906340033150254</v>
          </cell>
          <cell r="G367">
            <v>37.011909555915516</v>
          </cell>
          <cell r="H367">
            <v>33.252731431421431</v>
          </cell>
          <cell r="I367">
            <v>3.9759084270827287E-4</v>
          </cell>
        </row>
        <row r="368">
          <cell r="A368" t="str">
            <v>T_B_u-ICEDSL-S1</v>
          </cell>
          <cell r="B368" t="str">
            <v>VAR_fout</v>
          </cell>
          <cell r="C368" t="str">
            <v>TPBSu</v>
          </cell>
          <cell r="D368">
            <v>3.4300768842974603E-5</v>
          </cell>
          <cell r="E368">
            <v>3.2294127371006164E-5</v>
          </cell>
          <cell r="F368">
            <v>2.19916226792694E-2</v>
          </cell>
          <cell r="G368">
            <v>7.2869998770763125E-2</v>
          </cell>
          <cell r="H368">
            <v>7.2922345276647718E-2</v>
          </cell>
          <cell r="I368">
            <v>8.8126332154194478E-7</v>
          </cell>
        </row>
        <row r="369">
          <cell r="A369" t="str">
            <v>T_B_u-ICEDSL-S1</v>
          </cell>
          <cell r="B369" t="str">
            <v>VAR_fin</v>
          </cell>
          <cell r="C369" t="str">
            <v>TDSL</v>
          </cell>
          <cell r="D369">
            <v>2.7679954230532385E-4</v>
          </cell>
          <cell r="E369">
            <v>2.5899034935232822E-4</v>
          </cell>
          <cell r="F369">
            <v>0.16243301545907649</v>
          </cell>
          <cell r="G369">
            <v>0.50493737456910603</v>
          </cell>
          <cell r="H369">
            <v>0.45365254340274885</v>
          </cell>
          <cell r="I369">
            <v>5.4241588364020932E-6</v>
          </cell>
        </row>
        <row r="370">
          <cell r="A370" t="str">
            <v>T_B_u-ICEDSL-S1</v>
          </cell>
          <cell r="B370" t="str">
            <v>VAR_ncap</v>
          </cell>
          <cell r="C370" t="str">
            <v>-</v>
          </cell>
          <cell r="E370">
            <v>7.5838956244712101E-8</v>
          </cell>
          <cell r="F370">
            <v>4.1392780989504401E-4</v>
          </cell>
          <cell r="G370">
            <v>1.29522769678205E-3</v>
          </cell>
          <cell r="H370">
            <v>1.50578649023818E-3</v>
          </cell>
          <cell r="I370">
            <v>1.7025705474245699E-8</v>
          </cell>
        </row>
        <row r="371">
          <cell r="A371" t="str">
            <v>T_B_u-ICEDSL-S1</v>
          </cell>
          <cell r="B371" t="str">
            <v>VAR_cap</v>
          </cell>
          <cell r="C371" t="str">
            <v>-</v>
          </cell>
          <cell r="D371">
            <v>7.0464135021097004E-7</v>
          </cell>
          <cell r="E371">
            <v>8.4050581580653129E-7</v>
          </cell>
          <cell r="F371">
            <v>4.1476913757138213E-4</v>
          </cell>
          <cell r="G371">
            <v>1.7096624506516267E-3</v>
          </cell>
          <cell r="H371">
            <v>1.735552899463E-3</v>
          </cell>
          <cell r="I371">
            <v>6.02840817030088E-8</v>
          </cell>
        </row>
        <row r="372">
          <cell r="A372" t="str">
            <v>T_B_c-ICENGA-S3</v>
          </cell>
          <cell r="B372" t="str">
            <v>VAR_fout</v>
          </cell>
          <cell r="C372" t="str">
            <v>CO2_T</v>
          </cell>
          <cell r="F372">
            <v>2.07220768563579E-2</v>
          </cell>
          <cell r="G372">
            <v>0.90055045375662734</v>
          </cell>
          <cell r="H372">
            <v>2.4185414703427011</v>
          </cell>
          <cell r="I372">
            <v>0.51895873098175405</v>
          </cell>
        </row>
        <row r="373">
          <cell r="A373" t="str">
            <v>T_B_c-ICENGA-S3</v>
          </cell>
          <cell r="B373" t="str">
            <v>VAR_fout</v>
          </cell>
          <cell r="C373" t="str">
            <v>TPBSc</v>
          </cell>
          <cell r="F373">
            <v>2.180837907816839E-5</v>
          </cell>
          <cell r="G373">
            <v>1.0240483438902622E-3</v>
          </cell>
          <cell r="H373">
            <v>2.9890825058874948E-3</v>
          </cell>
          <cell r="I373">
            <v>6.5291324076609074E-4</v>
          </cell>
        </row>
        <row r="374">
          <cell r="A374" t="str">
            <v>T_B_c-ICENGA-S3</v>
          </cell>
          <cell r="B374" t="str">
            <v>VAR_fin</v>
          </cell>
          <cell r="C374" t="str">
            <v>TNGA</v>
          </cell>
          <cell r="F374">
            <v>3.6741271021911102E-4</v>
          </cell>
          <cell r="G374">
            <v>1.5967206626890575E-2</v>
          </cell>
          <cell r="H374">
            <v>4.2881940963523095E-2</v>
          </cell>
          <cell r="I374">
            <v>9.2013959393927956E-3</v>
          </cell>
        </row>
        <row r="375">
          <cell r="A375" t="str">
            <v>T_B_c-ICENGA-S3</v>
          </cell>
          <cell r="B375" t="str">
            <v>VAR_ncap</v>
          </cell>
          <cell r="C375" t="str">
            <v>-</v>
          </cell>
          <cell r="F375">
            <v>4.7782067502705004E-7</v>
          </cell>
          <cell r="G375">
            <v>2.17782655516148E-5</v>
          </cell>
          <cell r="H375">
            <v>4.1426351881996299E-5</v>
          </cell>
        </row>
        <row r="376">
          <cell r="A376" t="str">
            <v>T_B_c-ICENGA-S3</v>
          </cell>
          <cell r="B376" t="str">
            <v>VAR_cap</v>
          </cell>
          <cell r="C376" t="str">
            <v>-</v>
          </cell>
          <cell r="F376">
            <v>4.7782067502705004E-7</v>
          </cell>
          <cell r="G376">
            <v>2.22560862266419E-5</v>
          </cell>
          <cell r="H376">
            <v>6.4955170979953005E-5</v>
          </cell>
          <cell r="I376">
            <v>1.4189405694691201E-5</v>
          </cell>
        </row>
        <row r="377">
          <cell r="A377" t="str">
            <v>T_B_u-ICEDSL-S2</v>
          </cell>
          <cell r="B377" t="str">
            <v>VAR_fout</v>
          </cell>
          <cell r="C377" t="str">
            <v>CO2_T</v>
          </cell>
          <cell r="D377">
            <v>8.1969399701255607</v>
          </cell>
          <cell r="E377">
            <v>10.577726650046177</v>
          </cell>
          <cell r="F377">
            <v>18.629785944391237</v>
          </cell>
          <cell r="G377">
            <v>30.376004012340569</v>
          </cell>
          <cell r="H377">
            <v>2.8588026116629921</v>
          </cell>
          <cell r="I377">
            <v>5.9770619977111599E-5</v>
          </cell>
        </row>
        <row r="378">
          <cell r="A378" t="str">
            <v>T_B_u-ICEDSL-S2</v>
          </cell>
          <cell r="B378" t="str">
            <v>VAR_fout</v>
          </cell>
          <cell r="C378" t="str">
            <v>TPBSu</v>
          </cell>
          <cell r="D378">
            <v>9.7810682414113566E-3</v>
          </cell>
          <cell r="E378">
            <v>1.2691273535741548E-2</v>
          </cell>
          <cell r="F378">
            <v>2.3147173956456175E-2</v>
          </cell>
          <cell r="G378">
            <v>4.0551138496229502E-2</v>
          </cell>
          <cell r="H378">
            <v>4.0134247599514141E-3</v>
          </cell>
          <cell r="I378">
            <v>9.2499748557686506E-8</v>
          </cell>
        </row>
        <row r="379">
          <cell r="A379" t="str">
            <v>T_B_u-ICEDSL-S2</v>
          </cell>
          <cell r="B379" t="str">
            <v>VAR_fin</v>
          </cell>
          <cell r="C379" t="str">
            <v>TDSL</v>
          </cell>
          <cell r="D379">
            <v>0.11182728472204051</v>
          </cell>
          <cell r="E379">
            <v>0.14430732128303078</v>
          </cell>
          <cell r="F379">
            <v>0.25415806199715213</v>
          </cell>
          <cell r="G379">
            <v>0.41440660316972139</v>
          </cell>
          <cell r="H379">
            <v>3.9001399886261827E-2</v>
          </cell>
          <cell r="I379">
            <v>8.1542455630438816E-7</v>
          </cell>
        </row>
        <row r="380">
          <cell r="A380" t="str">
            <v>T_B_u-ICEDSL-S2</v>
          </cell>
          <cell r="B380" t="str">
            <v>VAR_ncap</v>
          </cell>
          <cell r="C380" t="str">
            <v>-</v>
          </cell>
          <cell r="E380">
            <v>2.1382579245873499E-5</v>
          </cell>
          <cell r="F380">
            <v>1.9716717190427E-4</v>
          </cell>
          <cell r="G380">
            <v>4.2706114757736798E-4</v>
          </cell>
          <cell r="H380">
            <v>3.2330871306313698E-8</v>
          </cell>
        </row>
        <row r="381">
          <cell r="A381" t="str">
            <v>T_B_u-ICEDSL-S2</v>
          </cell>
          <cell r="B381" t="str">
            <v>VAR_cap</v>
          </cell>
          <cell r="C381" t="str">
            <v>-</v>
          </cell>
          <cell r="D381">
            <v>1.8461603375527399E-4</v>
          </cell>
          <cell r="E381">
            <v>2.393474175018505E-4</v>
          </cell>
          <cell r="F381">
            <v>4.3651458940611998E-4</v>
          </cell>
          <cell r="G381">
            <v>7.6471372645878807E-4</v>
          </cell>
          <cell r="H381">
            <v>7.5717188312379897E-5</v>
          </cell>
          <cell r="I381">
            <v>2.3754083173993599E-8</v>
          </cell>
        </row>
        <row r="382">
          <cell r="A382" t="str">
            <v>T_B_u-ICEDSL-S3</v>
          </cell>
          <cell r="B382" t="str">
            <v>VAR_fout</v>
          </cell>
          <cell r="C382" t="str">
            <v>CO2_T</v>
          </cell>
          <cell r="D382">
            <v>45.704170153500399</v>
          </cell>
          <cell r="E382">
            <v>63.734291284391624</v>
          </cell>
          <cell r="F382">
            <v>113.93422012380714</v>
          </cell>
          <cell r="G382">
            <v>191.11789111834727</v>
          </cell>
          <cell r="H382">
            <v>1.1835804735740334</v>
          </cell>
          <cell r="I382">
            <v>1.4930243107866701E-4</v>
          </cell>
        </row>
        <row r="383">
          <cell r="A383" t="str">
            <v>T_B_u-ICEDSL-S3</v>
          </cell>
          <cell r="B383" t="str">
            <v>VAR_fout</v>
          </cell>
          <cell r="C383" t="str">
            <v>TPBSu</v>
          </cell>
          <cell r="D383">
            <v>3.6132811560876624E-2</v>
          </cell>
          <cell r="E383">
            <v>5.0521369621033589E-2</v>
          </cell>
          <cell r="F383">
            <v>9.3710051178867618E-2</v>
          </cell>
          <cell r="G383">
            <v>0.17195125636945763</v>
          </cell>
          <cell r="H383">
            <v>1.1573692941783979E-3</v>
          </cell>
          <cell r="I383">
            <v>1.5311246891447771E-7</v>
          </cell>
        </row>
        <row r="384">
          <cell r="A384" t="str">
            <v>T_B_u-ICEDSL-S3</v>
          </cell>
          <cell r="B384" t="str">
            <v>VAR_fin</v>
          </cell>
          <cell r="C384" t="str">
            <v>TDSL</v>
          </cell>
          <cell r="D384">
            <v>0.6235221030491197</v>
          </cell>
          <cell r="E384">
            <v>0.86949919896850691</v>
          </cell>
          <cell r="F384">
            <v>1.5543549812252004</v>
          </cell>
          <cell r="G384">
            <v>2.6073382144385677</v>
          </cell>
          <cell r="H384">
            <v>1.6147073309331923E-2</v>
          </cell>
          <cell r="I384">
            <v>2.0368680911141461E-6</v>
          </cell>
        </row>
        <row r="385">
          <cell r="A385" t="str">
            <v>T_B_u-ICEDSL-S3</v>
          </cell>
          <cell r="B385" t="str">
            <v>VAR_ncap</v>
          </cell>
          <cell r="C385" t="str">
            <v>-</v>
          </cell>
          <cell r="E385">
            <v>1.6368267244780901E-7</v>
          </cell>
          <cell r="F385">
            <v>8.1443375508332804E-4</v>
          </cell>
          <cell r="G385">
            <v>2.1719940762592199E-3</v>
          </cell>
          <cell r="H385">
            <v>3.8140441047630801E-8</v>
          </cell>
        </row>
        <row r="386">
          <cell r="A386" t="str">
            <v>T_B_u-ICEDSL-S3</v>
          </cell>
          <cell r="B386" t="str">
            <v>VAR_cap</v>
          </cell>
          <cell r="C386" t="str">
            <v>-</v>
          </cell>
          <cell r="D386">
            <v>8.0681434599156102E-4</v>
          </cell>
          <cell r="E386">
            <v>9.5271994146288387E-4</v>
          </cell>
          <cell r="F386">
            <v>1.7671536965462109E-3</v>
          </cell>
          <cell r="G386">
            <v>3.2425930682684519E-3</v>
          </cell>
          <cell r="H386">
            <v>2.1839797773286998E-5</v>
          </cell>
          <cell r="I386">
            <v>1.30639114190136E-8</v>
          </cell>
        </row>
        <row r="387">
          <cell r="A387" t="str">
            <v>T_B_u-ICEDSL-S4</v>
          </cell>
          <cell r="B387" t="str">
            <v>VAR_fout</v>
          </cell>
          <cell r="C387" t="str">
            <v>CO2_T</v>
          </cell>
          <cell r="D387">
            <v>0.16778264301160301</v>
          </cell>
        </row>
        <row r="388">
          <cell r="A388" t="str">
            <v>T_B_u-ICEDSL-S4</v>
          </cell>
          <cell r="B388" t="str">
            <v>VAR_fout</v>
          </cell>
          <cell r="C388" t="str">
            <v>TPBSu</v>
          </cell>
          <cell r="D388">
            <v>8.8461238613486289E-5</v>
          </cell>
        </row>
        <row r="389">
          <cell r="A389" t="str">
            <v>T_B_u-ICEDSL-S4</v>
          </cell>
          <cell r="B389" t="str">
            <v>VAR_fin</v>
          </cell>
          <cell r="C389" t="str">
            <v>TDSL</v>
          </cell>
          <cell r="D389">
            <v>2.2889855799672963E-3</v>
          </cell>
        </row>
        <row r="390">
          <cell r="A390" t="str">
            <v>T_B_u-ICEDSL-S4</v>
          </cell>
          <cell r="B390" t="str">
            <v>VAR_cap</v>
          </cell>
          <cell r="C390" t="str">
            <v>-</v>
          </cell>
          <cell r="D390">
            <v>2.3530239099859391E-6</v>
          </cell>
          <cell r="E390">
            <v>1.9003689780016004E-10</v>
          </cell>
          <cell r="F390">
            <v>5.5617013128976577E-10</v>
          </cell>
          <cell r="G390">
            <v>1.9095405599207743E-10</v>
          </cell>
        </row>
        <row r="391">
          <cell r="A391" t="str">
            <v>T_B_c-ICENGAEXT</v>
          </cell>
          <cell r="B391" t="str">
            <v>VAR_fout</v>
          </cell>
          <cell r="C391" t="str">
            <v>CO2_T</v>
          </cell>
          <cell r="D391">
            <v>7.7561670129719304E-3</v>
          </cell>
          <cell r="E391">
            <v>7.74047835782585E-3</v>
          </cell>
          <cell r="F391">
            <v>7.6903918636144503E-3</v>
          </cell>
        </row>
        <row r="392">
          <cell r="A392" t="str">
            <v>T_B_c-ICENGAEXT</v>
          </cell>
          <cell r="B392" t="str">
            <v>VAR_fout</v>
          </cell>
          <cell r="C392" t="str">
            <v>TPBSc</v>
          </cell>
          <cell r="D392">
            <v>1.3683652069740727E-3</v>
          </cell>
          <cell r="E392">
            <v>1.0947558373208374E-3</v>
          </cell>
          <cell r="F392">
            <v>6.8403848784373208E-4</v>
          </cell>
        </row>
        <row r="393">
          <cell r="A393" t="str">
            <v>T_B_c-ICENGAEXT</v>
          </cell>
          <cell r="B393" t="str">
            <v>VAR_fin</v>
          </cell>
          <cell r="C393" t="str">
            <v>TNGA</v>
          </cell>
          <cell r="D393">
            <v>1.3752069171936042E-4</v>
          </cell>
          <cell r="E393">
            <v>1.3724252407492629E-4</v>
          </cell>
          <cell r="F393">
            <v>1.3635446566692287E-4</v>
          </cell>
        </row>
        <row r="394">
          <cell r="A394" t="str">
            <v>T_B_c-ICENGAEXT</v>
          </cell>
          <cell r="B394" t="str">
            <v>VAR_cap</v>
          </cell>
          <cell r="C394" t="str">
            <v>-</v>
          </cell>
          <cell r="D394">
            <v>2.9722792607802899E-5</v>
          </cell>
          <cell r="E394">
            <v>2.3778234086242301E-5</v>
          </cell>
          <cell r="F394">
            <v>1.4861396303901497E-5</v>
          </cell>
        </row>
        <row r="395">
          <cell r="A395" t="str">
            <v>T_B_u-ICEDSLEXT</v>
          </cell>
          <cell r="B395" t="str">
            <v>VAR_fout</v>
          </cell>
          <cell r="C395" t="str">
            <v>CO2_T</v>
          </cell>
          <cell r="D395">
            <v>1.2710763508415699</v>
          </cell>
          <cell r="E395">
            <v>1.2694164044195499</v>
          </cell>
          <cell r="F395">
            <v>1.2644492343707201</v>
          </cell>
        </row>
        <row r="396">
          <cell r="A396" t="str">
            <v>T_B_u-ICEDSLEXT</v>
          </cell>
          <cell r="B396" t="str">
            <v>VAR_fout</v>
          </cell>
          <cell r="C396" t="str">
            <v>TPBSu</v>
          </cell>
          <cell r="D396">
            <v>0.24222728116165598</v>
          </cell>
          <cell r="E396">
            <v>0.19378250216397974</v>
          </cell>
          <cell r="F396">
            <v>0.1211140586205894</v>
          </cell>
        </row>
        <row r="397">
          <cell r="A397" t="str">
            <v>T_B_u-ICEDSLEXT</v>
          </cell>
          <cell r="B397" t="str">
            <v>VAR_fin</v>
          </cell>
          <cell r="C397" t="str">
            <v>TDSL</v>
          </cell>
          <cell r="D397">
            <v>1.7340741484878224E-2</v>
          </cell>
          <cell r="E397">
            <v>1.7318095558247606E-2</v>
          </cell>
          <cell r="F397">
            <v>1.7250330618972975E-2</v>
          </cell>
        </row>
        <row r="398">
          <cell r="A398" t="str">
            <v>T_B_u-ICEDSLEXT</v>
          </cell>
          <cell r="B398" t="str">
            <v>VAR_cap</v>
          </cell>
          <cell r="C398" t="str">
            <v>-</v>
          </cell>
          <cell r="D398">
            <v>4.5678362175525303E-3</v>
          </cell>
          <cell r="E398">
            <v>3.6542689740420198E-3</v>
          </cell>
          <cell r="F398">
            <v>2.2839181087762699E-3</v>
          </cell>
        </row>
        <row r="399">
          <cell r="A399" t="str">
            <v>D-T-ELC-LGV</v>
          </cell>
          <cell r="B399" t="str">
            <v>VAR_fout</v>
          </cell>
          <cell r="C399" t="str">
            <v>T-ELC-LGV_BatSTGin</v>
          </cell>
          <cell r="D399">
            <v>3.5743420898102153E-2</v>
          </cell>
          <cell r="E399">
            <v>5.182645690233427E-2</v>
          </cell>
          <cell r="F399">
            <v>0.18724849353437711</v>
          </cell>
          <cell r="G399">
            <v>0.72529800739325767</v>
          </cell>
          <cell r="H399">
            <v>2.9770711893246387</v>
          </cell>
          <cell r="I399">
            <v>4.9072293475051145</v>
          </cell>
        </row>
        <row r="400">
          <cell r="A400" t="str">
            <v>D-T-ELC-LGV</v>
          </cell>
          <cell r="B400" t="str">
            <v>VAR_fin</v>
          </cell>
          <cell r="C400" t="str">
            <v>TELC</v>
          </cell>
          <cell r="D400">
            <v>3.5743420898102153E-2</v>
          </cell>
          <cell r="E400">
            <v>5.182645690233427E-2</v>
          </cell>
          <cell r="F400">
            <v>0.18724849353437711</v>
          </cell>
          <cell r="G400">
            <v>0.72529800739325767</v>
          </cell>
          <cell r="H400">
            <v>2.9770711893246387</v>
          </cell>
          <cell r="I400">
            <v>4.9072293475051145</v>
          </cell>
        </row>
        <row r="401">
          <cell r="A401" t="str">
            <v>D-T-ELC-LGV</v>
          </cell>
          <cell r="B401" t="str">
            <v>VAR_ncap</v>
          </cell>
          <cell r="C401" t="str">
            <v>-</v>
          </cell>
          <cell r="D401">
            <v>3.77805659630221E-3</v>
          </cell>
          <cell r="E401">
            <v>1.6999528004817801E-3</v>
          </cell>
          <cell r="F401">
            <v>1.43140059551652E-2</v>
          </cell>
          <cell r="G401">
            <v>5.8110351303624901E-2</v>
          </cell>
          <cell r="H401">
            <v>0.145062182065573</v>
          </cell>
          <cell r="I401">
            <v>0.41798250361773798</v>
          </cell>
        </row>
        <row r="402">
          <cell r="A402" t="str">
            <v>D-T-ELC-LGV</v>
          </cell>
          <cell r="B402" t="str">
            <v>VAR_cap</v>
          </cell>
          <cell r="C402" t="str">
            <v>-</v>
          </cell>
          <cell r="D402">
            <v>3.77805659630221E-3</v>
          </cell>
          <cell r="E402">
            <v>5.4780093967839796E-3</v>
          </cell>
          <cell r="F402">
            <v>1.9792015351949199E-2</v>
          </cell>
          <cell r="G402">
            <v>7.6663465839754405E-2</v>
          </cell>
          <cell r="H402">
            <v>0.314674345224494</v>
          </cell>
          <cell r="I402">
            <v>0.51869072516193404</v>
          </cell>
        </row>
        <row r="403">
          <cell r="A403" t="str">
            <v>T_B_c-FCLH2O-S1</v>
          </cell>
          <cell r="B403" t="str">
            <v>VAR_fout</v>
          </cell>
          <cell r="C403" t="str">
            <v>TPBSc</v>
          </cell>
          <cell r="G403">
            <v>5.2957319206931586E-3</v>
          </cell>
          <cell r="H403">
            <v>5.993570533063176E-4</v>
          </cell>
          <cell r="I403">
            <v>3.5367513780573631E-3</v>
          </cell>
        </row>
        <row r="404">
          <cell r="A404" t="str">
            <v>T_B_c-FCLH2O-S1</v>
          </cell>
          <cell r="B404" t="str">
            <v>VAR_fin</v>
          </cell>
          <cell r="C404" t="str">
            <v>TH2O</v>
          </cell>
          <cell r="G404">
            <v>2.2592543167260358E-2</v>
          </cell>
          <cell r="H404">
            <v>2.2400904656515457E-3</v>
          </cell>
          <cell r="I404">
            <v>1.1753059398915862E-2</v>
          </cell>
        </row>
        <row r="405">
          <cell r="A405" t="str">
            <v>T_B_c-FCLH2O-S1</v>
          </cell>
          <cell r="B405" t="str">
            <v>VAR_ncap</v>
          </cell>
          <cell r="C405" t="str">
            <v>-</v>
          </cell>
          <cell r="G405">
            <v>1.1750749600850099E-4</v>
          </cell>
          <cell r="H405">
            <v>1.3128627998466099E-5</v>
          </cell>
          <cell r="I405">
            <v>9.8868115874045401E-5</v>
          </cell>
        </row>
        <row r="406">
          <cell r="A406" t="str">
            <v>T_B_c-FCLH2O-S1</v>
          </cell>
          <cell r="B406" t="str">
            <v>VAR_cap</v>
          </cell>
          <cell r="C406" t="str">
            <v>-</v>
          </cell>
          <cell r="G406">
            <v>1.1750749600850099E-4</v>
          </cell>
          <cell r="H406">
            <v>1.4263800144633499E-5</v>
          </cell>
          <cell r="I406">
            <v>1.05648354477362E-4</v>
          </cell>
        </row>
        <row r="407">
          <cell r="A407" t="str">
            <v>T_B_c-FCLH2O-S2</v>
          </cell>
          <cell r="B407" t="str">
            <v>VAR_fout</v>
          </cell>
          <cell r="C407" t="str">
            <v>TPBSc</v>
          </cell>
          <cell r="G407">
            <v>1.3145953847629603E-6</v>
          </cell>
          <cell r="H407">
            <v>1.2664281869940265E-2</v>
          </cell>
          <cell r="I407">
            <v>1.8215123509621466E-2</v>
          </cell>
        </row>
        <row r="408">
          <cell r="A408" t="str">
            <v>T_B_c-FCLH2O-S2</v>
          </cell>
          <cell r="B408" t="str">
            <v>VAR_fin</v>
          </cell>
          <cell r="C408" t="str">
            <v>TH2O</v>
          </cell>
          <cell r="G408">
            <v>7.7740012475249889E-6</v>
          </cell>
          <cell r="H408">
            <v>6.9761009012294942E-2</v>
          </cell>
          <cell r="I408">
            <v>8.5332212028629034E-2</v>
          </cell>
        </row>
        <row r="409">
          <cell r="A409" t="str">
            <v>T_B_c-FCLH2O-S2</v>
          </cell>
          <cell r="B409" t="str">
            <v>VAR_ncap</v>
          </cell>
          <cell r="C409" t="str">
            <v>-</v>
          </cell>
          <cell r="G409">
            <v>4.6208565608788497E-8</v>
          </cell>
          <cell r="H409">
            <v>2.1289177345600601E-7</v>
          </cell>
          <cell r="I409">
            <v>3.4746147662004099E-4</v>
          </cell>
        </row>
        <row r="410">
          <cell r="A410" t="str">
            <v>T_B_c-FCLH2O-S2</v>
          </cell>
          <cell r="B410" t="str">
            <v>VAR_cap</v>
          </cell>
          <cell r="C410" t="str">
            <v>-</v>
          </cell>
          <cell r="G410">
            <v>4.6208565608788497E-8</v>
          </cell>
          <cell r="H410">
            <v>2.7520925216694097E-4</v>
          </cell>
          <cell r="I410">
            <v>3.9582554295446599E-4</v>
          </cell>
        </row>
        <row r="411">
          <cell r="A411" t="str">
            <v>T_B_c-FCLH2O-S3</v>
          </cell>
          <cell r="B411" t="str">
            <v>VAR_fout</v>
          </cell>
          <cell r="C411" t="str">
            <v>TPBSc</v>
          </cell>
          <cell r="G411">
            <v>3.1843157541324013E-7</v>
          </cell>
          <cell r="H411">
            <v>1.5181952611062577E-3</v>
          </cell>
          <cell r="I411">
            <v>1.0575736725967275E-2</v>
          </cell>
        </row>
        <row r="412">
          <cell r="A412" t="str">
            <v>T_B_c-FCLH2O-S3</v>
          </cell>
          <cell r="B412" t="str">
            <v>VAR_fin</v>
          </cell>
          <cell r="C412" t="str">
            <v>TH2O</v>
          </cell>
          <cell r="G412">
            <v>2.815278084550826E-6</v>
          </cell>
          <cell r="H412">
            <v>1.1693059591598394E-2</v>
          </cell>
          <cell r="I412">
            <v>7.2601794173178719E-2</v>
          </cell>
        </row>
        <row r="413">
          <cell r="A413" t="str">
            <v>T_B_c-FCLH2O-S3</v>
          </cell>
          <cell r="B413" t="str">
            <v>VAR_ncap</v>
          </cell>
          <cell r="C413" t="str">
            <v>-</v>
          </cell>
          <cell r="G413">
            <v>1.9829590099891E-8</v>
          </cell>
          <cell r="H413">
            <v>3.294812662535E-5</v>
          </cell>
          <cell r="I413">
            <v>2.1852529822167201E-4</v>
          </cell>
        </row>
        <row r="414">
          <cell r="A414" t="str">
            <v>T_B_c-FCLH2O-S3</v>
          </cell>
          <cell r="B414" t="str">
            <v>VAR_cap</v>
          </cell>
          <cell r="C414" t="str">
            <v>-</v>
          </cell>
          <cell r="G414">
            <v>1.9829590099891E-8</v>
          </cell>
          <cell r="H414">
            <v>3.3009208940912202E-5</v>
          </cell>
          <cell r="I414">
            <v>2.2981073163127699E-4</v>
          </cell>
        </row>
        <row r="415">
          <cell r="A415" t="str">
            <v>T_C-HYBGSLEXT</v>
          </cell>
          <cell r="B415" t="str">
            <v>VAR_fout</v>
          </cell>
          <cell r="C415" t="str">
            <v>CO2_T</v>
          </cell>
          <cell r="D415">
            <v>92.548919546550707</v>
          </cell>
          <cell r="E415">
            <v>91.724449096442498</v>
          </cell>
          <cell r="F415">
            <v>68.278492688162501</v>
          </cell>
          <cell r="G415">
            <v>32.395471133385897</v>
          </cell>
        </row>
        <row r="416">
          <cell r="A416" t="str">
            <v>T_C-HYBGSLEXT</v>
          </cell>
          <cell r="B416" t="str">
            <v>VAR_fout</v>
          </cell>
          <cell r="C416" t="str">
            <v>TPCAR</v>
          </cell>
          <cell r="D416">
            <v>0.61924425253440341</v>
          </cell>
          <cell r="E416">
            <v>0.62769378197866044</v>
          </cell>
          <cell r="F416">
            <v>0.48284135402373141</v>
          </cell>
          <cell r="G416">
            <v>0.24142073231443339</v>
          </cell>
        </row>
        <row r="417">
          <cell r="A417" t="str">
            <v>T_C-HYBGSLEXT</v>
          </cell>
          <cell r="B417" t="str">
            <v>VAR_fin</v>
          </cell>
          <cell r="C417" t="str">
            <v>TGSL</v>
          </cell>
          <cell r="D417">
            <v>1.2540504003597663</v>
          </cell>
          <cell r="E417">
            <v>1.2428787140439357</v>
          </cell>
          <cell r="F417">
            <v>0.92518282775287952</v>
          </cell>
          <cell r="G417">
            <v>0.43896302348761446</v>
          </cell>
        </row>
        <row r="418">
          <cell r="A418" t="str">
            <v>T_C-HYBGSLEXT</v>
          </cell>
          <cell r="B418" t="str">
            <v>VAR_cap</v>
          </cell>
          <cell r="C418" t="str">
            <v>-</v>
          </cell>
          <cell r="D418">
            <v>6.5841999999999998E-2</v>
          </cell>
          <cell r="E418">
            <v>5.7063066666666697E-2</v>
          </cell>
          <cell r="F418">
            <v>4.38946666666667E-2</v>
          </cell>
          <cell r="G418">
            <v>2.1947333333333301E-2</v>
          </cell>
        </row>
        <row r="419">
          <cell r="A419" t="str">
            <v>TPAVDKEREXT</v>
          </cell>
          <cell r="B419" t="str">
            <v>VAR_fout</v>
          </cell>
          <cell r="C419" t="str">
            <v>CO2_T</v>
          </cell>
          <cell r="D419">
            <v>79.576349423418094</v>
          </cell>
          <cell r="E419">
            <v>100.796237247683</v>
          </cell>
          <cell r="F419">
            <v>132.626068984081</v>
          </cell>
          <cell r="G419">
            <v>185.675788544743</v>
          </cell>
          <cell r="H419">
            <v>154.38211110512901</v>
          </cell>
          <cell r="I419">
            <v>123.088433665514</v>
          </cell>
        </row>
        <row r="420">
          <cell r="A420" t="str">
            <v>TPAVDKEREXT</v>
          </cell>
          <cell r="B420" t="str">
            <v>VAR_fout</v>
          </cell>
          <cell r="C420" t="str">
            <v>TPAVD</v>
          </cell>
          <cell r="D420">
            <v>1.0930817228491501</v>
          </cell>
          <cell r="E420">
            <v>1.3845636984571901</v>
          </cell>
          <cell r="F420">
            <v>1.82178666186924</v>
          </cell>
          <cell r="G420">
            <v>2.5504916008893299</v>
          </cell>
          <cell r="H420">
            <v>2.1206333943012199</v>
          </cell>
          <cell r="I420">
            <v>1.6907751877131001</v>
          </cell>
        </row>
        <row r="421">
          <cell r="A421" t="str">
            <v>TPAVDKEREXT</v>
          </cell>
          <cell r="B421" t="str">
            <v>VAR_fin</v>
          </cell>
          <cell r="C421" t="str">
            <v>TKER</v>
          </cell>
          <cell r="D421">
            <v>1.0930817228491501</v>
          </cell>
          <cell r="E421">
            <v>1.3845636984571901</v>
          </cell>
          <cell r="F421">
            <v>1.82178666186924</v>
          </cell>
          <cell r="G421">
            <v>2.5504916008893299</v>
          </cell>
          <cell r="H421">
            <v>2.1206333943012199</v>
          </cell>
          <cell r="I421">
            <v>1.6907751877131001</v>
          </cell>
        </row>
        <row r="422">
          <cell r="A422" t="str">
            <v>TPAVDKEREXT</v>
          </cell>
          <cell r="B422" t="str">
            <v>VAR_ncap</v>
          </cell>
          <cell r="C422" t="str">
            <v>-</v>
          </cell>
          <cell r="D422">
            <v>1.79184847395975</v>
          </cell>
          <cell r="E422">
            <v>2.5964176144070601</v>
          </cell>
          <cell r="F422">
            <v>2.2572757938872599</v>
          </cell>
          <cell r="G422">
            <v>2.4033827407944002</v>
          </cell>
          <cell r="H422">
            <v>1.31418549013344</v>
          </cell>
          <cell r="I422">
            <v>1.23785636110382</v>
          </cell>
        </row>
        <row r="423">
          <cell r="A423" t="str">
            <v>TPAVDKEREXT</v>
          </cell>
          <cell r="B423" t="str">
            <v>VAR_cap</v>
          </cell>
          <cell r="C423" t="str">
            <v>-</v>
          </cell>
          <cell r="D423">
            <v>2.8849301968089001</v>
          </cell>
          <cell r="E423">
            <v>5.4813478112159597</v>
          </cell>
          <cell r="F423">
            <v>6.1925086139019001</v>
          </cell>
          <cell r="G423">
            <v>6.1552825104641595</v>
          </cell>
          <cell r="H423">
            <v>3.5881763942452247</v>
          </cell>
          <cell r="I423">
            <v>2.1736927022221999</v>
          </cell>
        </row>
        <row r="424">
          <cell r="A424" t="str">
            <v>T_C-ICE-GSL-S1</v>
          </cell>
          <cell r="B424" t="str">
            <v>VAR_fout</v>
          </cell>
          <cell r="C424" t="str">
            <v>CO2_T</v>
          </cell>
          <cell r="D424">
            <v>24.584869368450946</v>
          </cell>
          <cell r="E424">
            <v>3.7004737915608032</v>
          </cell>
          <cell r="F424">
            <v>2.6146860367546565</v>
          </cell>
          <cell r="G424">
            <v>1.9184205032428823</v>
          </cell>
          <cell r="H424">
            <v>4.6487077085472809E-3</v>
          </cell>
          <cell r="I424">
            <v>9.3115505687045705E-4</v>
          </cell>
        </row>
        <row r="425">
          <cell r="A425" t="str">
            <v>T_C-ICE-GSL-S1</v>
          </cell>
          <cell r="B425" t="str">
            <v>VAR_fout</v>
          </cell>
          <cell r="C425" t="str">
            <v>TPCAR</v>
          </cell>
          <cell r="D425">
            <v>0.24576382212229195</v>
          </cell>
          <cell r="E425">
            <v>4.3676770463768645E-2</v>
          </cell>
          <cell r="F425">
            <v>3.0812600324026152E-2</v>
          </cell>
          <cell r="G425">
            <v>2.2588619459346267E-2</v>
          </cell>
          <cell r="H425">
            <v>3.8941678323498098E-5</v>
          </cell>
          <cell r="I425">
            <v>8.3980585827047052E-6</v>
          </cell>
        </row>
        <row r="426">
          <cell r="A426" t="str">
            <v>T_C-ICE-GSL-S1</v>
          </cell>
          <cell r="B426" t="str">
            <v>VAR_fin</v>
          </cell>
          <cell r="C426" t="str">
            <v>TGSL</v>
          </cell>
          <cell r="D426">
            <v>0.33312831122562264</v>
          </cell>
          <cell r="E426">
            <v>5.0141921294861766E-2</v>
          </cell>
          <cell r="F426">
            <v>3.5429350091526521E-2</v>
          </cell>
          <cell r="G426">
            <v>2.5994857767518628E-2</v>
          </cell>
          <cell r="H426">
            <v>6.2990619357009098E-5</v>
          </cell>
          <cell r="I426">
            <v>1.2617277193366635E-5</v>
          </cell>
        </row>
        <row r="427">
          <cell r="A427" t="str">
            <v>T_C-ICE-GSL-S1</v>
          </cell>
          <cell r="B427" t="str">
            <v>VAR_ncap</v>
          </cell>
          <cell r="C427" t="str">
            <v>-</v>
          </cell>
          <cell r="E427">
            <v>9.5410464996488596E-8</v>
          </cell>
          <cell r="F427">
            <v>1.62418166060936E-5</v>
          </cell>
          <cell r="G427">
            <v>3.3389132841122101E-6</v>
          </cell>
          <cell r="H427">
            <v>1.15160703338502E-6</v>
          </cell>
          <cell r="I427">
            <v>3.1924373477452199E-7</v>
          </cell>
        </row>
        <row r="428">
          <cell r="A428" t="str">
            <v>T_C-ICE-GSL-S1</v>
          </cell>
          <cell r="B428" t="str">
            <v>VAR_cap</v>
          </cell>
          <cell r="C428" t="str">
            <v>-</v>
          </cell>
          <cell r="D428">
            <v>2.6256971788421998E-2</v>
          </cell>
          <cell r="E428">
            <v>4.6668686747471724E-3</v>
          </cell>
          <cell r="F428">
            <v>4.6828711254556857E-3</v>
          </cell>
          <cell r="G428">
            <v>3.4331479342700477E-3</v>
          </cell>
          <cell r="H428">
            <v>5.9649029287182796E-6</v>
          </cell>
          <cell r="I428">
            <v>1.5069167344008099E-6</v>
          </cell>
        </row>
        <row r="429">
          <cell r="A429" t="str">
            <v>V2G</v>
          </cell>
          <cell r="B429" t="str">
            <v>VAR_fout</v>
          </cell>
          <cell r="C429" t="str">
            <v>ELC35</v>
          </cell>
          <cell r="G429">
            <v>6.9724177578135726E-4</v>
          </cell>
          <cell r="H429">
            <v>0.65728327086334526</v>
          </cell>
          <cell r="I429">
            <v>1.7359165265615843</v>
          </cell>
        </row>
        <row r="430">
          <cell r="A430" t="str">
            <v>V2G</v>
          </cell>
          <cell r="B430" t="str">
            <v>VAR_fin</v>
          </cell>
          <cell r="C430" t="str">
            <v>T-ELC-Bus_c_BatSTGout_S1</v>
          </cell>
          <cell r="G430">
            <v>2.0640091590713697E-5</v>
          </cell>
          <cell r="H430">
            <v>1.3205649994024886E-4</v>
          </cell>
          <cell r="I430">
            <v>4.6201479039936239E-5</v>
          </cell>
        </row>
        <row r="431">
          <cell r="A431" t="str">
            <v>V2G</v>
          </cell>
          <cell r="B431" t="str">
            <v>VAR_fin</v>
          </cell>
          <cell r="C431" t="str">
            <v>T-ELC-Bus_c_BatSTGout_S2</v>
          </cell>
          <cell r="G431">
            <v>6.7686963497010964E-5</v>
          </cell>
          <cell r="H431">
            <v>2.4174563535066089E-4</v>
          </cell>
          <cell r="I431">
            <v>4.9973524910681067E-5</v>
          </cell>
        </row>
        <row r="432">
          <cell r="A432" t="str">
            <v>V2G</v>
          </cell>
          <cell r="B432" t="str">
            <v>VAR_fin</v>
          </cell>
          <cell r="C432" t="str">
            <v>T-ELC-Bus_c_BatSTGout_S3</v>
          </cell>
          <cell r="G432">
            <v>3.0314743907538642E-6</v>
          </cell>
          <cell r="H432">
            <v>1.7870644704258003E-4</v>
          </cell>
          <cell r="I432">
            <v>3.2096477061641038E-5</v>
          </cell>
        </row>
        <row r="433">
          <cell r="A433" t="str">
            <v>V2G</v>
          </cell>
          <cell r="B433" t="str">
            <v>VAR_fin</v>
          </cell>
          <cell r="C433" t="str">
            <v>T-ELC-Bus_c_BatSTGout_S4</v>
          </cell>
          <cell r="G433">
            <v>6.0868014855237756E-6</v>
          </cell>
          <cell r="H433">
            <v>7.8703053251679374E-6</v>
          </cell>
          <cell r="I433">
            <v>3.4619846596321648E-6</v>
          </cell>
        </row>
        <row r="434">
          <cell r="A434" t="str">
            <v>V2G</v>
          </cell>
          <cell r="B434" t="str">
            <v>VAR_fin</v>
          </cell>
          <cell r="C434" t="str">
            <v>T-ELC-car-BatSTGOut_S1</v>
          </cell>
          <cell r="G434">
            <v>3.7899912978252288E-5</v>
          </cell>
          <cell r="H434">
            <v>0.28002877224629474</v>
          </cell>
          <cell r="I434">
            <v>0.59326610045095662</v>
          </cell>
        </row>
        <row r="435">
          <cell r="A435" t="str">
            <v>V2G</v>
          </cell>
          <cell r="B435" t="str">
            <v>VAR_fin</v>
          </cell>
          <cell r="C435" t="str">
            <v>T-ELC-car-BatSTGOut_S2</v>
          </cell>
          <cell r="G435">
            <v>3.1196580370988319E-5</v>
          </cell>
          <cell r="H435">
            <v>5.9420711724933163E-2</v>
          </cell>
          <cell r="I435">
            <v>0.20767654257970994</v>
          </cell>
        </row>
        <row r="436">
          <cell r="A436" t="str">
            <v>V2G</v>
          </cell>
          <cell r="B436" t="str">
            <v>VAR_fin</v>
          </cell>
          <cell r="C436" t="str">
            <v>T-ELC-car-BatSTGOut_S3</v>
          </cell>
          <cell r="G436">
            <v>3.7622729806875509E-5</v>
          </cell>
          <cell r="H436">
            <v>0.2091732755945703</v>
          </cell>
          <cell r="I436">
            <v>0.50441886855242746</v>
          </cell>
        </row>
        <row r="437">
          <cell r="A437" t="str">
            <v>V2G</v>
          </cell>
          <cell r="B437" t="str">
            <v>VAR_fin</v>
          </cell>
          <cell r="C437" t="str">
            <v>T-ELC-car-BatSTGOut_S4</v>
          </cell>
          <cell r="G437">
            <v>3.0413694185230148E-5</v>
          </cell>
          <cell r="H437">
            <v>6.0272972296937469E-2</v>
          </cell>
          <cell r="I437">
            <v>0.20911366339304202</v>
          </cell>
        </row>
        <row r="438">
          <cell r="A438" t="str">
            <v>V2G</v>
          </cell>
          <cell r="B438" t="str">
            <v>VAR_fin</v>
          </cell>
          <cell r="C438" t="str">
            <v>T-ELC-car-PlgSTGOut_S1</v>
          </cell>
          <cell r="G438">
            <v>5.644357960389894E-6</v>
          </cell>
          <cell r="H438">
            <v>2.9818576262998374E-5</v>
          </cell>
          <cell r="I438">
            <v>2.8230245069387654E-5</v>
          </cell>
        </row>
        <row r="439">
          <cell r="A439" t="str">
            <v>V2G</v>
          </cell>
          <cell r="B439" t="str">
            <v>VAR_fin</v>
          </cell>
          <cell r="C439" t="str">
            <v>T-ELC-car-PlgSTGOut_S2</v>
          </cell>
          <cell r="G439">
            <v>2.0670187049536715E-7</v>
          </cell>
          <cell r="H439">
            <v>1.3366766273767745E-4</v>
          </cell>
          <cell r="I439">
            <v>1.1816511989693461E-5</v>
          </cell>
        </row>
        <row r="440">
          <cell r="A440" t="str">
            <v>V2G</v>
          </cell>
          <cell r="B440" t="str">
            <v>VAR_fin</v>
          </cell>
          <cell r="C440" t="str">
            <v>T-ELC-car-PlgSTGOut_S3</v>
          </cell>
          <cell r="G440">
            <v>5.3993847244419454E-5</v>
          </cell>
          <cell r="H440">
            <v>4.5656867987679997E-2</v>
          </cell>
          <cell r="I440">
            <v>0.21991393901503842</v>
          </cell>
        </row>
        <row r="441">
          <cell r="A441" t="str">
            <v>V2G</v>
          </cell>
          <cell r="B441" t="str">
            <v>VAR_fin</v>
          </cell>
          <cell r="C441" t="str">
            <v>T-ELC-TWSTGout_S1</v>
          </cell>
          <cell r="G441">
            <v>8.1550969759985507E-5</v>
          </cell>
          <cell r="H441">
            <v>6.4689887180270807E-5</v>
          </cell>
          <cell r="I441">
            <v>1.4105056575092042E-5</v>
          </cell>
        </row>
        <row r="442">
          <cell r="A442" t="str">
            <v>V2G</v>
          </cell>
          <cell r="B442" t="str">
            <v>VAR_fin</v>
          </cell>
          <cell r="C442" t="str">
            <v>T-ELC-car-PlgSTGOut_S4</v>
          </cell>
          <cell r="G442">
            <v>5.7688225995073795E-8</v>
          </cell>
          <cell r="H442">
            <v>1.0386940978396736E-4</v>
          </cell>
          <cell r="I442">
            <v>1.0816479641948764E-4</v>
          </cell>
        </row>
        <row r="443">
          <cell r="A443" t="str">
            <v>V2G</v>
          </cell>
          <cell r="B443" t="str">
            <v>VAR_fin</v>
          </cell>
          <cell r="C443" t="str">
            <v>T-ELC-TWSTGout_S2</v>
          </cell>
          <cell r="G443">
            <v>9.0187561791561631E-5</v>
          </cell>
          <cell r="H443">
            <v>8.6277028155812968E-5</v>
          </cell>
          <cell r="I443">
            <v>5.3504845970689511E-5</v>
          </cell>
        </row>
        <row r="444">
          <cell r="A444" t="str">
            <v>V2G</v>
          </cell>
          <cell r="B444" t="str">
            <v>VAR_fin</v>
          </cell>
          <cell r="C444" t="str">
            <v>T-ELC-TWSTGout_S3</v>
          </cell>
          <cell r="G444">
            <v>3.8877390729011124E-5</v>
          </cell>
          <cell r="H444">
            <v>1.3826351659615481E-4</v>
          </cell>
          <cell r="I444">
            <v>8.8035071741548052E-5</v>
          </cell>
        </row>
        <row r="445">
          <cell r="A445" t="str">
            <v>V2G</v>
          </cell>
          <cell r="B445" t="str">
            <v>VAR_fin</v>
          </cell>
          <cell r="C445" t="str">
            <v>T-ELC-TWSTGout_S4</v>
          </cell>
          <cell r="G445">
            <v>5.2171000862195853E-5</v>
          </cell>
          <cell r="H445">
            <v>1.7239687114679444E-4</v>
          </cell>
          <cell r="I445">
            <v>1.5253900593463929E-4</v>
          </cell>
        </row>
        <row r="446">
          <cell r="A446" t="str">
            <v>V2G</v>
          </cell>
          <cell r="B446" t="str">
            <v>VAR_fin</v>
          </cell>
          <cell r="C446" t="str">
            <v>T-ELC-Bus_u_BatSTGout_S1</v>
          </cell>
          <cell r="G446">
            <v>7.5516381921554757E-7</v>
          </cell>
          <cell r="H446">
            <v>1.8603400259568631E-6</v>
          </cell>
          <cell r="I446">
            <v>8.5451806258358443E-7</v>
          </cell>
        </row>
        <row r="447">
          <cell r="A447" t="str">
            <v>V2G</v>
          </cell>
          <cell r="B447" t="str">
            <v>VAR_fin</v>
          </cell>
          <cell r="C447" t="str">
            <v>T-ELC-Bus_u_BatSTGout_S2</v>
          </cell>
          <cell r="G447">
            <v>9.1334334437226612E-7</v>
          </cell>
          <cell r="H447">
            <v>8.1134824109532058E-7</v>
          </cell>
          <cell r="I447">
            <v>6.7080130379892927E-7</v>
          </cell>
        </row>
        <row r="448">
          <cell r="A448" t="str">
            <v>V2G</v>
          </cell>
          <cell r="B448" t="str">
            <v>VAR_fin</v>
          </cell>
          <cell r="C448" t="str">
            <v>T-ELC-Bus_u_BatSTGout_S3</v>
          </cell>
          <cell r="G448">
            <v>2.2766000045457641E-5</v>
          </cell>
        </row>
        <row r="449">
          <cell r="A449" t="str">
            <v>V2G</v>
          </cell>
          <cell r="B449" t="str">
            <v>VAR_fin</v>
          </cell>
          <cell r="C449" t="str">
            <v>T-ELC-Bus_u_BatSTGout_S4</v>
          </cell>
          <cell r="G449">
            <v>7.5428824992112055E-7</v>
          </cell>
          <cell r="H449">
            <v>3.4764234175500319E-6</v>
          </cell>
          <cell r="I449">
            <v>1.1291881321834901E-6</v>
          </cell>
        </row>
        <row r="450">
          <cell r="A450" t="str">
            <v>V2G</v>
          </cell>
          <cell r="B450" t="str">
            <v>VAR_fin</v>
          </cell>
          <cell r="C450" t="str">
            <v>T-ELC-LGV_BatSTGout</v>
          </cell>
          <cell r="G450">
            <v>9.0651652715796475E-6</v>
          </cell>
          <cell r="H450">
            <v>1.0879847758397901E-5</v>
          </cell>
          <cell r="I450">
            <v>6.4544599310869371E-6</v>
          </cell>
        </row>
        <row r="451">
          <cell r="A451" t="str">
            <v>V2G</v>
          </cell>
          <cell r="B451" t="str">
            <v>VAR_fin</v>
          </cell>
          <cell r="C451" t="str">
            <v>T-ELC-HGV_BatSTGout</v>
          </cell>
          <cell r="G451">
            <v>1.0048706805395935E-4</v>
          </cell>
          <cell r="H451">
            <v>1.4215687618362827E-3</v>
          </cell>
          <cell r="I451">
            <v>9.2521329962010198E-4</v>
          </cell>
        </row>
        <row r="452">
          <cell r="A452" t="str">
            <v>V2G</v>
          </cell>
          <cell r="B452" t="str">
            <v>VAR_ncap</v>
          </cell>
          <cell r="C452" t="str">
            <v>-</v>
          </cell>
          <cell r="G452">
            <v>7.2939666222791806E-5</v>
          </cell>
          <cell r="H452">
            <v>0.56340800915737899</v>
          </cell>
          <cell r="I452">
            <v>2.5158880196094899</v>
          </cell>
        </row>
        <row r="453">
          <cell r="A453" t="str">
            <v>V2G</v>
          </cell>
          <cell r="B453" t="str">
            <v>VAR_cap</v>
          </cell>
          <cell r="C453" t="str">
            <v>-</v>
          </cell>
          <cell r="G453">
            <v>7.2939666222791806E-5</v>
          </cell>
          <cell r="H453">
            <v>0.56456021072775642</v>
          </cell>
          <cell r="I453">
            <v>2.9252383759468072</v>
          </cell>
        </row>
        <row r="454">
          <cell r="A454" t="str">
            <v>TPSHPELCEXT</v>
          </cell>
          <cell r="B454" t="str">
            <v>VAR_fout</v>
          </cell>
          <cell r="C454" t="str">
            <v>TPSHP</v>
          </cell>
          <cell r="F454">
            <v>1.6589094901361101E-7</v>
          </cell>
          <cell r="G454">
            <v>3.8932454464893202E-7</v>
          </cell>
          <cell r="H454">
            <v>2.0004731194015501E-6</v>
          </cell>
          <cell r="I454">
            <v>7.6333100386019603E-7</v>
          </cell>
        </row>
        <row r="455">
          <cell r="A455" t="str">
            <v>TPSHPELCEXT</v>
          </cell>
          <cell r="B455" t="str">
            <v>VAR_fin</v>
          </cell>
          <cell r="C455" t="str">
            <v>TELC</v>
          </cell>
          <cell r="F455">
            <v>6.7233336164106259E-8</v>
          </cell>
          <cell r="G455">
            <v>1.5778792117930254E-7</v>
          </cell>
          <cell r="H455">
            <v>8.1076443605701346E-7</v>
          </cell>
          <cell r="I455">
            <v>3.0936763152043076E-7</v>
          </cell>
        </row>
        <row r="456">
          <cell r="A456" t="str">
            <v>TPSHPELCEXT</v>
          </cell>
          <cell r="B456" t="str">
            <v>VAR_ncap</v>
          </cell>
          <cell r="C456" t="str">
            <v>-</v>
          </cell>
          <cell r="D456">
            <v>2.4179222696231399E-8</v>
          </cell>
          <cell r="E456">
            <v>2.6996503122892001E-8</v>
          </cell>
          <cell r="F456">
            <v>4.7316393908487101E-8</v>
          </cell>
          <cell r="G456">
            <v>5.7759784733740001E-8</v>
          </cell>
          <cell r="H456">
            <v>1.28173274268706E-8</v>
          </cell>
        </row>
        <row r="457">
          <cell r="A457" t="str">
            <v>TPSHPELCEXT</v>
          </cell>
          <cell r="B457" t="str">
            <v>VAR_cap</v>
          </cell>
          <cell r="C457" t="str">
            <v>-</v>
          </cell>
          <cell r="D457">
            <v>2.4179222696231399E-8</v>
          </cell>
          <cell r="E457">
            <v>5.11757258191234E-8</v>
          </cell>
          <cell r="F457">
            <v>7.5648341093300199E-8</v>
          </cell>
          <cell r="G457">
            <v>1.0714247814040801E-7</v>
          </cell>
          <cell r="H457">
            <v>3.7174861343469914E-9</v>
          </cell>
          <cell r="I457">
            <v>-1.8911582247397026E-9</v>
          </cell>
        </row>
        <row r="458">
          <cell r="A458" t="str">
            <v>TFLGV-ICEGSL</v>
          </cell>
          <cell r="B458" t="str">
            <v>VAR_fout</v>
          </cell>
          <cell r="C458" t="str">
            <v>CO2_T</v>
          </cell>
          <cell r="D458">
            <v>26.251811180368918</v>
          </cell>
          <cell r="E458">
            <v>42.571181888793397</v>
          </cell>
          <cell r="F458">
            <v>57.135433076207001</v>
          </cell>
          <cell r="G458">
            <v>42.462209584713136</v>
          </cell>
          <cell r="H458">
            <v>14.728993024070244</v>
          </cell>
          <cell r="I458">
            <v>16.76340214434893</v>
          </cell>
        </row>
        <row r="459">
          <cell r="A459" t="str">
            <v>TFLGV-ICEGSL</v>
          </cell>
          <cell r="B459" t="str">
            <v>VAR_fout</v>
          </cell>
          <cell r="C459" t="str">
            <v>TFLGV</v>
          </cell>
          <cell r="D459">
            <v>0.12493785175175239</v>
          </cell>
          <cell r="E459">
            <v>0.20260514503838564</v>
          </cell>
          <cell r="F459">
            <v>0.271919457990974</v>
          </cell>
          <cell r="G459">
            <v>0.20208652308583946</v>
          </cell>
          <cell r="H459">
            <v>7.0098353757396703E-2</v>
          </cell>
          <cell r="I459">
            <v>7.9780531620304046E-2</v>
          </cell>
        </row>
        <row r="460">
          <cell r="A460" t="str">
            <v>TFLGV-ICEGSL</v>
          </cell>
          <cell r="B460" t="str">
            <v>VAR_fin</v>
          </cell>
          <cell r="C460" t="str">
            <v>TGSL</v>
          </cell>
          <cell r="D460">
            <v>0.35571559864998586</v>
          </cell>
          <cell r="E460">
            <v>0.57684528304598226</v>
          </cell>
          <cell r="F460">
            <v>0.77419286011120603</v>
          </cell>
          <cell r="G460">
            <v>0.57536869355979881</v>
          </cell>
          <cell r="H460">
            <v>0.19957985127466443</v>
          </cell>
          <cell r="I460">
            <v>0.22714637051963302</v>
          </cell>
        </row>
        <row r="461">
          <cell r="A461" t="str">
            <v>TFLGV-ICEGSL</v>
          </cell>
          <cell r="B461" t="str">
            <v>VAR_ncap</v>
          </cell>
          <cell r="C461" t="str">
            <v>-</v>
          </cell>
          <cell r="E461">
            <v>1.14088079815488E-7</v>
          </cell>
          <cell r="F461">
            <v>1.2378868753157199E-2</v>
          </cell>
          <cell r="G461">
            <v>1.31737322520874E-7</v>
          </cell>
          <cell r="H461">
            <v>6.9793866739480499E-3</v>
          </cell>
          <cell r="I461">
            <v>4.4436828861858799E-3</v>
          </cell>
        </row>
        <row r="462">
          <cell r="A462" t="str">
            <v>TFLGV-ICEGSL</v>
          </cell>
          <cell r="B462" t="str">
            <v>VAR_cap</v>
          </cell>
          <cell r="C462" t="str">
            <v>-</v>
          </cell>
          <cell r="D462">
            <v>1.2435E-2</v>
          </cell>
          <cell r="E462">
            <v>1.4122114088079814E-2</v>
          </cell>
          <cell r="F462">
            <v>2.65009828412371E-2</v>
          </cell>
          <cell r="G462">
            <v>2.007878670604589E-2</v>
          </cell>
          <cell r="H462">
            <v>6.9799303651107798E-3</v>
          </cell>
          <cell r="I462">
            <v>7.9439735408077493E-3</v>
          </cell>
        </row>
        <row r="463">
          <cell r="A463" t="str">
            <v>T_C-ICE-GSL-S2</v>
          </cell>
          <cell r="B463" t="str">
            <v>VAR_fout</v>
          </cell>
          <cell r="C463" t="str">
            <v>CO2_T</v>
          </cell>
          <cell r="D463">
            <v>276.2295528217856</v>
          </cell>
          <cell r="E463">
            <v>391.62796444146744</v>
          </cell>
          <cell r="F463">
            <v>277.8146651448792</v>
          </cell>
          <cell r="G463">
            <v>302.63284205553225</v>
          </cell>
          <cell r="H463">
            <v>3.5333367630923972E-3</v>
          </cell>
          <cell r="I463">
            <v>8.1116114287518306E-4</v>
          </cell>
        </row>
        <row r="464">
          <cell r="A464" t="str">
            <v>T_C-ICE-GSL-S2</v>
          </cell>
          <cell r="B464" t="str">
            <v>VAR_fout</v>
          </cell>
          <cell r="C464" t="str">
            <v>TPCAR</v>
          </cell>
          <cell r="D464">
            <v>2.2691130840822646</v>
          </cell>
          <cell r="E464">
            <v>3.2076256420212199</v>
          </cell>
          <cell r="F464">
            <v>2.2758906177245639</v>
          </cell>
          <cell r="G464">
            <v>2.499192746245694</v>
          </cell>
          <cell r="H464">
            <v>2.4781515581833336E-5</v>
          </cell>
          <cell r="I464">
            <v>6.0372076032955409E-6</v>
          </cell>
        </row>
        <row r="465">
          <cell r="A465" t="str">
            <v>T_C-ICE-GSL-S2</v>
          </cell>
          <cell r="B465" t="str">
            <v>VAR_fin</v>
          </cell>
          <cell r="C465" t="str">
            <v>TGSL</v>
          </cell>
          <cell r="D465">
            <v>3.7429478702139036</v>
          </cell>
          <cell r="E465">
            <v>5.3066119843017265</v>
          </cell>
          <cell r="F465">
            <v>3.7644263569766867</v>
          </cell>
          <cell r="G465">
            <v>4.1007160170126369</v>
          </cell>
          <cell r="H465">
            <v>4.78771919118211E-5</v>
          </cell>
          <cell r="I465">
            <v>1.0991343399392737E-5</v>
          </cell>
        </row>
        <row r="466">
          <cell r="A466" t="str">
            <v>T_C-ICE-GSL-S2</v>
          </cell>
          <cell r="B466" t="str">
            <v>VAR_ncap</v>
          </cell>
          <cell r="C466" t="str">
            <v>-</v>
          </cell>
          <cell r="E466">
            <v>2.20217270834884E-7</v>
          </cell>
          <cell r="F466">
            <v>7.1597529915494498E-6</v>
          </cell>
          <cell r="G466">
            <v>1.0410165469911799E-6</v>
          </cell>
          <cell r="H466">
            <v>6.3332484666344E-7</v>
          </cell>
          <cell r="I466">
            <v>2.6884788047312498E-7</v>
          </cell>
        </row>
        <row r="467">
          <cell r="A467" t="str">
            <v>T_C-ICE-GSL-S2</v>
          </cell>
          <cell r="B467" t="str">
            <v>VAR_cap</v>
          </cell>
          <cell r="C467" t="str">
            <v>-</v>
          </cell>
          <cell r="D467">
            <v>0.21743113056004243</v>
          </cell>
          <cell r="E467">
            <v>0.24337244209318909</v>
          </cell>
          <cell r="F467">
            <v>0.24003574416497064</v>
          </cell>
          <cell r="G467">
            <v>0.18962156763899832</v>
          </cell>
          <cell r="H467">
            <v>2.5775945146353E-6</v>
          </cell>
          <cell r="I467">
            <v>8.3500844903337902E-7</v>
          </cell>
        </row>
        <row r="468">
          <cell r="A468" t="str">
            <v>T_C-ICE-DSL-S1</v>
          </cell>
          <cell r="B468" t="str">
            <v>VAR_fout</v>
          </cell>
          <cell r="C468" t="str">
            <v>CO2_T</v>
          </cell>
          <cell r="D468">
            <v>0.4053402428515831</v>
          </cell>
          <cell r="E468">
            <v>0.17167456944656778</v>
          </cell>
          <cell r="F468">
            <v>0.11999208034441777</v>
          </cell>
          <cell r="G468">
            <v>9.7676489481319281E-2</v>
          </cell>
          <cell r="H468">
            <v>9.8910258478590151E-4</v>
          </cell>
          <cell r="I468">
            <v>2.5757465988125196E-4</v>
          </cell>
        </row>
        <row r="469">
          <cell r="A469" t="str">
            <v>T_C-ICE-DSL-S1</v>
          </cell>
          <cell r="B469" t="str">
            <v>VAR_fout</v>
          </cell>
          <cell r="C469" t="str">
            <v>TPCAR</v>
          </cell>
          <cell r="D469">
            <v>4.1581377193468201E-3</v>
          </cell>
          <cell r="E469">
            <v>2.3081047063890992E-3</v>
          </cell>
          <cell r="F469">
            <v>1.6114559288261717E-3</v>
          </cell>
          <cell r="G469">
            <v>1.3094918296479891E-3</v>
          </cell>
          <cell r="H469">
            <v>8.8918118095386156E-6</v>
          </cell>
          <cell r="I469">
            <v>2.4245023003393787E-6</v>
          </cell>
        </row>
        <row r="470">
          <cell r="A470" t="str">
            <v>T_C-ICE-DSL-S1</v>
          </cell>
          <cell r="B470" t="str">
            <v>VAR_fin</v>
          </cell>
          <cell r="C470" t="str">
            <v>TDSL</v>
          </cell>
          <cell r="D470">
            <v>5.5298805300352319E-3</v>
          </cell>
          <cell r="E470">
            <v>2.342081438561639E-3</v>
          </cell>
          <cell r="F470">
            <v>1.6369997318474491E-3</v>
          </cell>
          <cell r="G470">
            <v>1.3325578373986245E-3</v>
          </cell>
          <cell r="H470">
            <v>1.3493896108948167E-5</v>
          </cell>
          <cell r="I470">
            <v>3.5139789888301742E-6</v>
          </cell>
        </row>
        <row r="471">
          <cell r="A471" t="str">
            <v>T_C-ICE-DSL-S1</v>
          </cell>
          <cell r="B471" t="str">
            <v>VAR_ncap</v>
          </cell>
          <cell r="C471" t="str">
            <v>-</v>
          </cell>
          <cell r="E471">
            <v>1.06727464544866E-7</v>
          </cell>
          <cell r="F471">
            <v>1.2649359161520699E-6</v>
          </cell>
          <cell r="G471">
            <v>6.7850846706442496E-7</v>
          </cell>
          <cell r="H471">
            <v>5.1435653628655801E-7</v>
          </cell>
          <cell r="I471">
            <v>1.8329073370761099E-7</v>
          </cell>
        </row>
        <row r="472">
          <cell r="A472" t="str">
            <v>T_C-ICE-DSL-S1</v>
          </cell>
          <cell r="B472" t="str">
            <v>VAR_cap</v>
          </cell>
          <cell r="C472" t="str">
            <v>-</v>
          </cell>
          <cell r="D472">
            <v>4.4479404428632302E-4</v>
          </cell>
          <cell r="E472">
            <v>2.4683910518032826E-4</v>
          </cell>
          <cell r="F472">
            <v>2.4493623735037326E-4</v>
          </cell>
          <cell r="G472">
            <v>1.9918383991830742E-4</v>
          </cell>
          <cell r="H472">
            <v>1.65830231247174E-6</v>
          </cell>
          <cell r="I472">
            <v>6.50777415119899E-7</v>
          </cell>
        </row>
        <row r="473">
          <cell r="A473" t="str">
            <v>T_C-ICE-GSL-S3</v>
          </cell>
          <cell r="B473" t="str">
            <v>VAR_fout</v>
          </cell>
          <cell r="C473" t="str">
            <v>CO2_T</v>
          </cell>
          <cell r="D473">
            <v>265.46671870588409</v>
          </cell>
          <cell r="E473">
            <v>423.60418924218772</v>
          </cell>
          <cell r="F473">
            <v>424.00603722939974</v>
          </cell>
          <cell r="G473">
            <v>341.95248817205788</v>
          </cell>
          <cell r="H473">
            <v>0.41333219540253907</v>
          </cell>
          <cell r="I473">
            <v>9.9211718504241893E-4</v>
          </cell>
        </row>
        <row r="474">
          <cell r="A474" t="str">
            <v>T_C-ICE-GSL-S3</v>
          </cell>
          <cell r="B474" t="str">
            <v>VAR_fout</v>
          </cell>
          <cell r="C474" t="str">
            <v>TPCAR</v>
          </cell>
          <cell r="D474">
            <v>1.8531523421493323</v>
          </cell>
          <cell r="E474">
            <v>2.9619437393381296</v>
          </cell>
          <cell r="F474">
            <v>2.9615871294942662</v>
          </cell>
          <cell r="G474">
            <v>2.4077885927036804</v>
          </cell>
          <cell r="H474">
            <v>2.7009062032646099E-3</v>
          </cell>
          <cell r="I474">
            <v>7.0244012005784169E-6</v>
          </cell>
        </row>
        <row r="475">
          <cell r="A475" t="str">
            <v>T_C-ICE-GSL-S3</v>
          </cell>
          <cell r="B475" t="str">
            <v>VAR_fin</v>
          </cell>
          <cell r="C475" t="str">
            <v>TGSL</v>
          </cell>
          <cell r="D475">
            <v>3.5971100095648301</v>
          </cell>
          <cell r="E475">
            <v>5.7398941631732789</v>
          </cell>
          <cell r="F475">
            <v>5.7453392578509659</v>
          </cell>
          <cell r="G475">
            <v>4.6335025497568738</v>
          </cell>
          <cell r="H475">
            <v>5.6007072547769477E-3</v>
          </cell>
          <cell r="I475">
            <v>1.3443322290547691E-5</v>
          </cell>
        </row>
        <row r="476">
          <cell r="A476" t="str">
            <v>T_C-ICE-GSL-S3</v>
          </cell>
          <cell r="B476" t="str">
            <v>VAR_ncap</v>
          </cell>
          <cell r="C476" t="str">
            <v>-</v>
          </cell>
          <cell r="E476">
            <v>1.9264000890521499E-7</v>
          </cell>
          <cell r="F476">
            <v>3.1523167197440799E-3</v>
          </cell>
          <cell r="G476">
            <v>9.6669238018210307E-7</v>
          </cell>
          <cell r="H476">
            <v>5.8498200255493496E-7</v>
          </cell>
          <cell r="I476">
            <v>3.2041340711510502E-7</v>
          </cell>
        </row>
        <row r="477">
          <cell r="A477" t="str">
            <v>T_C-ICE-GSL-S3</v>
          </cell>
          <cell r="B477" t="str">
            <v>VAR_cap</v>
          </cell>
          <cell r="C477" t="str">
            <v>-</v>
          </cell>
          <cell r="D477">
            <v>0.18201276531802779</v>
          </cell>
          <cell r="E477">
            <v>0.2036541169066754</v>
          </cell>
          <cell r="F477">
            <v>0.20363024532245688</v>
          </cell>
          <cell r="G477">
            <v>0.16555238827465638</v>
          </cell>
          <cell r="H477">
            <v>2.6486211018419297E-4</v>
          </cell>
          <cell r="I477">
            <v>7.9819951723420396E-7</v>
          </cell>
        </row>
        <row r="478">
          <cell r="A478" t="str">
            <v>T_C-ICE-DSL-S2</v>
          </cell>
          <cell r="B478" t="str">
            <v>VAR_fout</v>
          </cell>
          <cell r="C478" t="str">
            <v>CO2_T</v>
          </cell>
          <cell r="D478">
            <v>89.582386453085931</v>
          </cell>
          <cell r="E478">
            <v>94.044525599438629</v>
          </cell>
          <cell r="F478">
            <v>67.131700962263281</v>
          </cell>
          <cell r="G478">
            <v>60.69947303889834</v>
          </cell>
          <cell r="H478">
            <v>9.6200159870250888E-4</v>
          </cell>
          <cell r="I478">
            <v>2.7081456754214238E-4</v>
          </cell>
        </row>
        <row r="479">
          <cell r="A479" t="str">
            <v>T_C-ICE-DSL-S2</v>
          </cell>
          <cell r="B479" t="str">
            <v>VAR_fout</v>
          </cell>
          <cell r="C479" t="str">
            <v>TPCAR</v>
          </cell>
          <cell r="D479">
            <v>0.85102388498239201</v>
          </cell>
          <cell r="E479">
            <v>0.90289034165506166</v>
          </cell>
          <cell r="F479">
            <v>0.64366805121837534</v>
          </cell>
          <cell r="G479">
            <v>0.63191113094866469</v>
          </cell>
          <cell r="H479">
            <v>6.9357227534616535E-6</v>
          </cell>
          <cell r="I479">
            <v>2.0725533489640044E-6</v>
          </cell>
        </row>
        <row r="480">
          <cell r="A480" t="str">
            <v>T_C-ICE-DSL-S2</v>
          </cell>
          <cell r="B480" t="str">
            <v>VAR_fin</v>
          </cell>
          <cell r="C480" t="str">
            <v>TDSL</v>
          </cell>
          <cell r="D480">
            <v>1.2221335123204091</v>
          </cell>
          <cell r="E480">
            <v>1.2830085347808811</v>
          </cell>
          <cell r="F480">
            <v>0.91584858065843389</v>
          </cell>
          <cell r="G480">
            <v>0.82809649439152055</v>
          </cell>
          <cell r="H480">
            <v>1.3124169150102443E-5</v>
          </cell>
          <cell r="I480">
            <v>3.6946052870687939E-6</v>
          </cell>
        </row>
        <row r="481">
          <cell r="A481" t="str">
            <v>T_C-ICE-DSL-S2</v>
          </cell>
          <cell r="B481" t="str">
            <v>VAR_ncap</v>
          </cell>
          <cell r="C481" t="str">
            <v>-</v>
          </cell>
          <cell r="E481">
            <v>2.27286897919498E-7</v>
          </cell>
          <cell r="F481">
            <v>7.0773628968384702E-7</v>
          </cell>
          <cell r="G481">
            <v>3.5686436108645398E-7</v>
          </cell>
          <cell r="H481">
            <v>2.87636407646734E-7</v>
          </cell>
          <cell r="I481">
            <v>1.2841953198988701E-7</v>
          </cell>
        </row>
        <row r="482">
          <cell r="A482" t="str">
            <v>T_C-ICE-DSL-S2</v>
          </cell>
          <cell r="B482" t="str">
            <v>VAR_cap</v>
          </cell>
          <cell r="C482" t="str">
            <v>-</v>
          </cell>
          <cell r="D482">
            <v>6.4569860942206375E-2</v>
          </cell>
          <cell r="E482">
            <v>6.8505109930403554E-2</v>
          </cell>
          <cell r="F482">
            <v>6.7885336448506625E-2</v>
          </cell>
          <cell r="G482">
            <v>5.1462543320525189E-2</v>
          </cell>
          <cell r="H482">
            <v>8.86363009142424E-7</v>
          </cell>
          <cell r="I482">
            <v>3.7656064468784802E-7</v>
          </cell>
        </row>
        <row r="483">
          <cell r="A483" t="str">
            <v>T_C-ICE-GSL-S4</v>
          </cell>
          <cell r="B483" t="str">
            <v>VAR_fout</v>
          </cell>
          <cell r="C483" t="str">
            <v>CO2_T</v>
          </cell>
          <cell r="D483">
            <v>309.97387447163561</v>
          </cell>
          <cell r="E483">
            <v>387.76497126970548</v>
          </cell>
          <cell r="F483">
            <v>594.6962990132472</v>
          </cell>
          <cell r="G483">
            <v>489.65079342036688</v>
          </cell>
          <cell r="H483">
            <v>133.95883356844951</v>
          </cell>
          <cell r="I483">
            <v>122.95275366481604</v>
          </cell>
        </row>
        <row r="484">
          <cell r="A484" t="str">
            <v>T_C-ICE-GSL-S4</v>
          </cell>
          <cell r="B484" t="str">
            <v>VAR_fout</v>
          </cell>
          <cell r="C484" t="str">
            <v>TPCAR</v>
          </cell>
          <cell r="D484">
            <v>1.8501567148476155</v>
          </cell>
          <cell r="E484">
            <v>2.2766546619838293</v>
          </cell>
          <cell r="F484">
            <v>3.495350604163395</v>
          </cell>
          <cell r="G484">
            <v>2.9038096492632857</v>
          </cell>
          <cell r="H484">
            <v>0.91264036134275062</v>
          </cell>
          <cell r="I484">
            <v>0.91506153307420957</v>
          </cell>
        </row>
        <row r="485">
          <cell r="A485" t="str">
            <v>T_C-ICE-GSL-S4</v>
          </cell>
          <cell r="B485" t="str">
            <v>VAR_fin</v>
          </cell>
          <cell r="C485" t="str">
            <v>TGSL</v>
          </cell>
          <cell r="D485">
            <v>4.2001880009706731</v>
          </cell>
          <cell r="E485">
            <v>5.2542679033835427</v>
          </cell>
          <cell r="F485">
            <v>8.0582154337838361</v>
          </cell>
          <cell r="G485">
            <v>6.6348345991919642</v>
          </cell>
          <cell r="H485">
            <v>1.815160346455954</v>
          </cell>
          <cell r="I485">
            <v>1.6660264724229801</v>
          </cell>
        </row>
        <row r="486">
          <cell r="A486" t="str">
            <v>T_C-ICE-GSL-S4</v>
          </cell>
          <cell r="B486" t="str">
            <v>VAR_ncap</v>
          </cell>
          <cell r="C486" t="str">
            <v>-</v>
          </cell>
          <cell r="E486">
            <v>2.1333641765722099E-7</v>
          </cell>
          <cell r="F486">
            <v>0.100197608932361</v>
          </cell>
          <cell r="G486">
            <v>2.1870622585642399E-6</v>
          </cell>
          <cell r="H486">
            <v>9.8260008579817107E-2</v>
          </cell>
          <cell r="I486">
            <v>6.2377595821766399E-2</v>
          </cell>
        </row>
        <row r="487">
          <cell r="A487" t="str">
            <v>T_C-ICE-GSL-S4</v>
          </cell>
          <cell r="B487" t="str">
            <v>VAR_cap</v>
          </cell>
          <cell r="C487" t="str">
            <v>-</v>
          </cell>
          <cell r="D487">
            <v>0.15707592482955299</v>
          </cell>
          <cell r="E487">
            <v>0.17926427838248943</v>
          </cell>
          <cell r="F487">
            <v>0.27522682052265512</v>
          </cell>
          <cell r="G487">
            <v>0.228647579025787</v>
          </cell>
          <cell r="H487">
            <v>0.10265880083736199</v>
          </cell>
          <cell r="I487">
            <v>0.10293136910114301</v>
          </cell>
        </row>
        <row r="488">
          <cell r="A488" t="str">
            <v>T_C-ICE-DSL-S3</v>
          </cell>
          <cell r="B488" t="str">
            <v>VAR_fout</v>
          </cell>
          <cell r="C488" t="str">
            <v>CO2_T</v>
          </cell>
          <cell r="D488">
            <v>370.02839439007829</v>
          </cell>
          <cell r="E488">
            <v>390.44816380676968</v>
          </cell>
          <cell r="F488">
            <v>386.71321742454887</v>
          </cell>
          <cell r="G488">
            <v>295.30757136696474</v>
          </cell>
          <cell r="H488">
            <v>1.0131095975856354E-3</v>
          </cell>
          <cell r="I488">
            <v>3.1179140746021564E-4</v>
          </cell>
        </row>
        <row r="489">
          <cell r="A489" t="str">
            <v>T_C-ICE-DSL-S3</v>
          </cell>
          <cell r="B489" t="str">
            <v>VAR_fout</v>
          </cell>
          <cell r="C489" t="str">
            <v>TPCAR</v>
          </cell>
          <cell r="D489">
            <v>2.6645770484989493</v>
          </cell>
          <cell r="E489">
            <v>2.8360301474702614</v>
          </cell>
          <cell r="F489">
            <v>2.8064472012850277</v>
          </cell>
          <cell r="G489">
            <v>2.1804384900156748</v>
          </cell>
          <cell r="H489">
            <v>6.7910637237698114E-6</v>
          </cell>
          <cell r="I489">
            <v>2.2493310191355907E-6</v>
          </cell>
        </row>
        <row r="490">
          <cell r="A490" t="str">
            <v>T_C-ICE-DSL-S3</v>
          </cell>
          <cell r="B490" t="str">
            <v>VAR_fin</v>
          </cell>
          <cell r="C490" t="str">
            <v>TDSL</v>
          </cell>
          <cell r="D490">
            <v>5.0481363491142934</v>
          </cell>
          <cell r="E490">
            <v>5.3267143766271401</v>
          </cell>
          <cell r="F490">
            <v>5.2757601285750262</v>
          </cell>
          <cell r="G490">
            <v>4.0287526789490391</v>
          </cell>
          <cell r="H490">
            <v>1.3821413336775372E-5</v>
          </cell>
          <cell r="I490">
            <v>4.2536344810397812E-6</v>
          </cell>
        </row>
        <row r="491">
          <cell r="A491" t="str">
            <v>T_C-ICE-DSL-S3</v>
          </cell>
          <cell r="B491" t="str">
            <v>VAR_ncap</v>
          </cell>
          <cell r="C491" t="str">
            <v>-</v>
          </cell>
          <cell r="E491">
            <v>1.6014902911289601E-7</v>
          </cell>
          <cell r="F491">
            <v>5.6080222217500305E-7</v>
          </cell>
          <cell r="G491">
            <v>3.0099311597401401E-7</v>
          </cell>
          <cell r="H491">
            <v>2.5465875099257401E-7</v>
          </cell>
          <cell r="I491">
            <v>1.3041996641219599E-7</v>
          </cell>
        </row>
        <row r="492">
          <cell r="A492" t="str">
            <v>T_C-ICE-DSL-S3</v>
          </cell>
          <cell r="B492" t="str">
            <v>VAR_cap</v>
          </cell>
          <cell r="C492" t="str">
            <v>-</v>
          </cell>
          <cell r="D492">
            <v>0.18324167544277603</v>
          </cell>
          <cell r="E492">
            <v>0.19499667066692261</v>
          </cell>
          <cell r="F492">
            <v>0.192963375735587</v>
          </cell>
          <cell r="G492">
            <v>0.14992061876991111</v>
          </cell>
          <cell r="H492">
            <v>7.5084183955127797E-7</v>
          </cell>
          <cell r="I492">
            <v>3.4101508538199903E-7</v>
          </cell>
        </row>
        <row r="493">
          <cell r="A493" t="str">
            <v>T_C-ICE-DSL-S4</v>
          </cell>
          <cell r="B493" t="str">
            <v>VAR_fout</v>
          </cell>
          <cell r="C493" t="str">
            <v>CO2_T</v>
          </cell>
          <cell r="D493">
            <v>142.35197481223219</v>
          </cell>
          <cell r="E493">
            <v>162.05365748879174</v>
          </cell>
          <cell r="F493">
            <v>159.37498678816007</v>
          </cell>
          <cell r="G493">
            <v>122.55812333476356</v>
          </cell>
          <cell r="H493">
            <v>5.5235069952060101E-4</v>
          </cell>
          <cell r="I493">
            <v>1.5474018047382019E-4</v>
          </cell>
        </row>
        <row r="494">
          <cell r="A494" t="str">
            <v>T_C-ICE-DSL-S4</v>
          </cell>
          <cell r="B494" t="str">
            <v>VAR_fout</v>
          </cell>
          <cell r="C494" t="str">
            <v>TPCAR</v>
          </cell>
          <cell r="D494">
            <v>0.90498275648594206</v>
          </cell>
          <cell r="E494">
            <v>1.0075870094200479</v>
          </cell>
          <cell r="F494">
            <v>0.99312102024499538</v>
          </cell>
          <cell r="G494">
            <v>0.77462152601125744</v>
          </cell>
          <cell r="H494">
            <v>3.5245256137364104E-6</v>
          </cell>
          <cell r="I494">
            <v>1.0673143494362876E-6</v>
          </cell>
        </row>
        <row r="495">
          <cell r="A495" t="str">
            <v>T_C-ICE-DSL-S4</v>
          </cell>
          <cell r="B495" t="str">
            <v>VAR_fin</v>
          </cell>
          <cell r="C495" t="str">
            <v>TDSL</v>
          </cell>
          <cell r="D495">
            <v>1.9420460410945746</v>
          </cell>
          <cell r="E495">
            <v>2.2108275237215769</v>
          </cell>
          <cell r="F495">
            <v>2.1742835851045017</v>
          </cell>
          <cell r="G495">
            <v>1.672007139628424</v>
          </cell>
          <cell r="H495">
            <v>7.5354802117408104E-6</v>
          </cell>
          <cell r="I495">
            <v>2.1110529396155542E-6</v>
          </cell>
        </row>
        <row r="496">
          <cell r="A496" t="str">
            <v>T_C-ICE-DSL-S4</v>
          </cell>
          <cell r="B496" t="str">
            <v>VAR_ncap</v>
          </cell>
          <cell r="C496" t="str">
            <v>-</v>
          </cell>
          <cell r="E496">
            <v>9.0069788334933699E-8</v>
          </cell>
          <cell r="F496">
            <v>2.8109007441238401E-7</v>
          </cell>
          <cell r="G496">
            <v>2.1431335853224501E-7</v>
          </cell>
          <cell r="H496">
            <v>2.1936053449678401E-7</v>
          </cell>
          <cell r="I496">
            <v>1.2055631670491E-7</v>
          </cell>
        </row>
        <row r="497">
          <cell r="A497" t="str">
            <v>T_C-ICE-DSL-S4</v>
          </cell>
          <cell r="B497" t="str">
            <v>VAR_cap</v>
          </cell>
          <cell r="C497" t="str">
            <v>-</v>
          </cell>
          <cell r="D497">
            <v>7.1262586389276475E-2</v>
          </cell>
          <cell r="E497">
            <v>7.9337674031354846E-2</v>
          </cell>
          <cell r="F497">
            <v>7.8202039551399205E-2</v>
          </cell>
          <cell r="G497">
            <v>6.1050519417941346E-2</v>
          </cell>
          <cell r="H497">
            <v>5.8814589787141805E-7</v>
          </cell>
          <cell r="I497">
            <v>2.9356593632653801E-7</v>
          </cell>
        </row>
        <row r="498">
          <cell r="A498" t="str">
            <v>TFLGV-ICENGAExt</v>
          </cell>
          <cell r="B498" t="str">
            <v>VAR_fout</v>
          </cell>
          <cell r="C498" t="str">
            <v>CO2_T</v>
          </cell>
          <cell r="D498">
            <v>6.0769506716252204</v>
          </cell>
          <cell r="E498">
            <v>1.82658361325604</v>
          </cell>
          <cell r="F498">
            <v>3.9588247782516</v>
          </cell>
          <cell r="G498">
            <v>1.9795631262412701</v>
          </cell>
        </row>
        <row r="499">
          <cell r="A499" t="str">
            <v>TFLGV-ICENGAExt</v>
          </cell>
          <cell r="B499" t="str">
            <v>VAR_fout</v>
          </cell>
          <cell r="C499" t="str">
            <v>TFLGV</v>
          </cell>
          <cell r="D499">
            <v>2.990886090093087E-2</v>
          </cell>
          <cell r="E499">
            <v>9.073662285576739E-3</v>
          </cell>
          <cell r="F499">
            <v>1.9938085226588718E-2</v>
          </cell>
          <cell r="G499">
            <v>9.9698017803763524E-3</v>
          </cell>
        </row>
        <row r="500">
          <cell r="A500" t="str">
            <v>TFLGV-ICENGAExt</v>
          </cell>
          <cell r="B500" t="str">
            <v>VAR_fin</v>
          </cell>
          <cell r="C500" t="str">
            <v>TNGA</v>
          </cell>
          <cell r="D500">
            <v>0.10774735233378044</v>
          </cell>
          <cell r="E500">
            <v>3.2386234277589479E-2</v>
          </cell>
          <cell r="F500">
            <v>7.0191928692404204E-2</v>
          </cell>
          <cell r="G500">
            <v>3.5098636990093392E-2</v>
          </cell>
        </row>
        <row r="501">
          <cell r="A501" t="str">
            <v>TFLGV-ICENGAExt</v>
          </cell>
          <cell r="B501" t="str">
            <v>VAR_cap</v>
          </cell>
          <cell r="C501" t="str">
            <v>-</v>
          </cell>
          <cell r="D501">
            <v>2.085E-3</v>
          </cell>
          <cell r="E501">
            <v>1.807E-3</v>
          </cell>
          <cell r="F501">
            <v>1.3899881405479162E-3</v>
          </cell>
          <cell r="G501">
            <v>6.9499999999999998E-4</v>
          </cell>
        </row>
        <row r="502">
          <cell r="A502" t="str">
            <v>D-TGSL</v>
          </cell>
          <cell r="B502" t="str">
            <v>VAR_fout</v>
          </cell>
          <cell r="C502" t="str">
            <v>CO2</v>
          </cell>
          <cell r="D502">
            <v>5888.0454966771604</v>
          </cell>
          <cell r="E502">
            <v>6116.87704005459</v>
          </cell>
          <cell r="F502">
            <v>5568.7548531049097</v>
          </cell>
          <cell r="G502">
            <v>3033.51259412016</v>
          </cell>
          <cell r="H502">
            <v>434.56672789082199</v>
          </cell>
          <cell r="I502">
            <v>81.064757229414894</v>
          </cell>
        </row>
        <row r="503">
          <cell r="A503" t="str">
            <v>D-TGSL</v>
          </cell>
          <cell r="B503" t="str">
            <v>VAR_fout</v>
          </cell>
          <cell r="C503" t="str">
            <v>TGSL</v>
          </cell>
          <cell r="D503">
            <v>83.163683379295989</v>
          </cell>
          <cell r="E503">
            <v>86.395739651627594</v>
          </cell>
          <cell r="F503">
            <v>78.653975232831073</v>
          </cell>
          <cell r="G503">
            <v>42.845837075234613</v>
          </cell>
          <cell r="H503">
            <v>11.753626010531146</v>
          </cell>
          <cell r="I503">
            <v>7.0497718870750719</v>
          </cell>
        </row>
        <row r="504">
          <cell r="A504" t="str">
            <v>D-TGSL</v>
          </cell>
          <cell r="B504" t="str">
            <v>VAR_fin</v>
          </cell>
          <cell r="C504" t="str">
            <v>GSL</v>
          </cell>
          <cell r="D504">
            <v>79.783814318118615</v>
          </cell>
          <cell r="E504">
            <v>82.884512737867098</v>
          </cell>
          <cell r="F504">
            <v>75.457382833399805</v>
          </cell>
          <cell r="G504">
            <v>41.104506695395131</v>
          </cell>
          <cell r="H504">
            <v>5.8884380473011184</v>
          </cell>
          <cell r="I504">
            <v>1.0984384448430211</v>
          </cell>
        </row>
        <row r="505">
          <cell r="A505" t="str">
            <v>D-TGSL</v>
          </cell>
          <cell r="B505" t="str">
            <v>VAR_fin</v>
          </cell>
          <cell r="C505" t="str">
            <v>ETH</v>
          </cell>
          <cell r="D505">
            <v>4.6202804784749496</v>
          </cell>
          <cell r="E505">
            <v>4.7998454244801891</v>
          </cell>
          <cell r="F505">
            <v>4.3697401592098268</v>
          </cell>
          <cell r="G505">
            <v>2.3803889734737891</v>
          </cell>
          <cell r="H505">
            <v>6.0404968396436134</v>
          </cell>
          <cell r="I505">
            <v>6.0564829521162888</v>
          </cell>
        </row>
        <row r="506">
          <cell r="A506" t="str">
            <v>T_TW-BEVELC-S1</v>
          </cell>
          <cell r="B506" t="str">
            <v>VAR_fout</v>
          </cell>
          <cell r="C506" t="str">
            <v>TPTWL</v>
          </cell>
          <cell r="D506">
            <v>1.726027729551799E-2</v>
          </cell>
          <cell r="E506">
            <v>2.2942956783416981E-2</v>
          </cell>
          <cell r="F506">
            <v>2.2950052021276059E-2</v>
          </cell>
          <cell r="G506">
            <v>1.5123616368845445E-2</v>
          </cell>
          <cell r="H506">
            <v>2.5782916292460913E-4</v>
          </cell>
          <cell r="I506">
            <v>0.86092789349508381</v>
          </cell>
        </row>
        <row r="507">
          <cell r="A507" t="str">
            <v>T_TW-BEVELC-S1</v>
          </cell>
          <cell r="B507" t="str">
            <v>VAR_fin</v>
          </cell>
          <cell r="C507" t="str">
            <v>T-ELC-TWSTGout_S1</v>
          </cell>
          <cell r="D507">
            <v>1.5551302640502784E-3</v>
          </cell>
          <cell r="E507">
            <v>2.06582360630523E-3</v>
          </cell>
          <cell r="F507">
            <v>2.0664532734464584E-3</v>
          </cell>
          <cell r="G507">
            <v>1.3614400725435972E-3</v>
          </cell>
          <cell r="H507">
            <v>2.2267309254677776E-5</v>
          </cell>
          <cell r="I507">
            <v>7.2262879352101725E-2</v>
          </cell>
        </row>
        <row r="508">
          <cell r="A508" t="str">
            <v>T_TW-BEVELC-S1</v>
          </cell>
          <cell r="B508" t="str">
            <v>VAR_ncap</v>
          </cell>
          <cell r="C508" t="str">
            <v>-</v>
          </cell>
          <cell r="D508">
            <v>3.47107218991845E-8</v>
          </cell>
          <cell r="E508">
            <v>1.7273385774483901E-6</v>
          </cell>
          <cell r="F508">
            <v>3.32039965277951E-6</v>
          </cell>
          <cell r="G508">
            <v>5.4713903962505E-6</v>
          </cell>
          <cell r="H508">
            <v>4.3087397103693098E-5</v>
          </cell>
          <cell r="I508">
            <v>0.29629384307697398</v>
          </cell>
        </row>
        <row r="509">
          <cell r="A509" t="str">
            <v>T_TW-BEVELC-S1</v>
          </cell>
          <cell r="B509" t="str">
            <v>VAR_cap</v>
          </cell>
          <cell r="C509" t="str">
            <v>-</v>
          </cell>
          <cell r="D509">
            <v>5.9410347107218993E-3</v>
          </cell>
          <cell r="E509">
            <v>7.8967620492993475E-3</v>
          </cell>
          <cell r="F509">
            <v>7.9000824489521265E-3</v>
          </cell>
          <cell r="G509">
            <v>5.206328281421339E-3</v>
          </cell>
          <cell r="H509">
            <v>8.9050904206412106E-5</v>
          </cell>
          <cell r="I509">
            <v>0.29632334764113699</v>
          </cell>
        </row>
        <row r="510">
          <cell r="A510" t="str">
            <v>T_TW-BEVELC-S2</v>
          </cell>
          <cell r="B510" t="str">
            <v>VAR_fout</v>
          </cell>
          <cell r="C510" t="str">
            <v>TPTWL</v>
          </cell>
          <cell r="D510">
            <v>2.2785454350036341E-3</v>
          </cell>
          <cell r="E510">
            <v>2.6246702189326918E-3</v>
          </cell>
          <cell r="F510">
            <v>2.6239799953746284E-3</v>
          </cell>
          <cell r="G510">
            <v>2.1504543050056566E-3</v>
          </cell>
          <cell r="H510">
            <v>2.4741252169395942E-5</v>
          </cell>
          <cell r="I510">
            <v>1.603059031944502E-5</v>
          </cell>
        </row>
        <row r="511">
          <cell r="A511" t="str">
            <v>T_TW-BEVELC-S2</v>
          </cell>
          <cell r="B511" t="str">
            <v>VAR_fin</v>
          </cell>
          <cell r="C511" t="str">
            <v>T-ELC-TWSTGout_S2</v>
          </cell>
          <cell r="D511">
            <v>3.6256450025744642E-4</v>
          </cell>
          <cell r="E511">
            <v>4.1749701483878717E-4</v>
          </cell>
          <cell r="F511">
            <v>4.1738226403728189E-4</v>
          </cell>
          <cell r="G511">
            <v>3.4201967377892555E-4</v>
          </cell>
          <cell r="H511">
            <v>3.7761093380429335E-6</v>
          </cell>
          <cell r="I511">
            <v>2.416746694154538E-6</v>
          </cell>
        </row>
        <row r="512">
          <cell r="A512" t="str">
            <v>T_TW-BEVELC-S2</v>
          </cell>
          <cell r="B512" t="str">
            <v>VAR_ncap</v>
          </cell>
          <cell r="C512" t="str">
            <v>-</v>
          </cell>
          <cell r="D512">
            <v>2.6946654843542601E-8</v>
          </cell>
          <cell r="E512">
            <v>6.0363104726657302E-7</v>
          </cell>
          <cell r="F512">
            <v>1.1203234577220299E-6</v>
          </cell>
          <cell r="G512">
            <v>1.4922748920047299E-6</v>
          </cell>
          <cell r="H512">
            <v>4.1833349367390997E-6</v>
          </cell>
          <cell r="I512">
            <v>2.33659908791641E-6</v>
          </cell>
        </row>
        <row r="513">
          <cell r="A513" t="str">
            <v>T_TW-BEVELC-S2</v>
          </cell>
          <cell r="B513" t="str">
            <v>VAR_cap</v>
          </cell>
          <cell r="C513" t="str">
            <v>-</v>
          </cell>
          <cell r="D513">
            <v>7.8502694665484357E-4</v>
          </cell>
          <cell r="E513">
            <v>9.0354657559760048E-4</v>
          </cell>
          <cell r="F513">
            <v>9.0475090115983215E-4</v>
          </cell>
          <cell r="G513">
            <v>7.4135990168167087E-4</v>
          </cell>
          <cell r="H513">
            <v>9.4470909127830707E-6</v>
          </cell>
          <cell r="I513">
            <v>6.6055184381276401E-6</v>
          </cell>
        </row>
        <row r="514">
          <cell r="A514" t="str">
            <v>T_TW-BEVELC-S3</v>
          </cell>
          <cell r="B514" t="str">
            <v>VAR_fout</v>
          </cell>
          <cell r="C514" t="str">
            <v>TPTWL</v>
          </cell>
          <cell r="D514">
            <v>3.0793558512916806E-4</v>
          </cell>
          <cell r="E514">
            <v>3.3855837861607711E-4</v>
          </cell>
          <cell r="F514">
            <v>4.6846940983423215E-4</v>
          </cell>
          <cell r="G514">
            <v>4.7073264739978788E-4</v>
          </cell>
          <cell r="H514">
            <v>1.8091033637873785E-4</v>
          </cell>
          <cell r="I514">
            <v>5.7351070847305077E-6</v>
          </cell>
        </row>
        <row r="515">
          <cell r="A515" t="str">
            <v>T_TW-BEVELC-S3</v>
          </cell>
          <cell r="B515" t="str">
            <v>VAR_fin</v>
          </cell>
          <cell r="C515" t="str">
            <v>T-ELC-TWSTGout_S3</v>
          </cell>
          <cell r="D515">
            <v>7.5287236786911516E-5</v>
          </cell>
          <cell r="E515">
            <v>8.2686799073055812E-5</v>
          </cell>
          <cell r="F515">
            <v>1.1441053415198146E-4</v>
          </cell>
          <cell r="G515">
            <v>1.1495334661751783E-4</v>
          </cell>
          <cell r="H515">
            <v>4.4103103391684206E-5</v>
          </cell>
          <cell r="I515">
            <v>1.3189649061232591E-6</v>
          </cell>
        </row>
        <row r="516">
          <cell r="A516" t="str">
            <v>T_TW-BEVELC-S3</v>
          </cell>
          <cell r="B516" t="str">
            <v>VAR_ncap</v>
          </cell>
          <cell r="C516" t="str">
            <v>-</v>
          </cell>
          <cell r="D516">
            <v>2.89825942090266E-8</v>
          </cell>
          <cell r="E516">
            <v>3.7317563924602598E-7</v>
          </cell>
          <cell r="F516">
            <v>6.5562328929096896E-7</v>
          </cell>
          <cell r="G516">
            <v>7.3271112915206403E-7</v>
          </cell>
          <cell r="H516">
            <v>9.3861529263649898E-7</v>
          </cell>
          <cell r="I516">
            <v>9.5875972525555106E-7</v>
          </cell>
        </row>
        <row r="517">
          <cell r="A517" t="str">
            <v>T_TW-BEVELC-S3</v>
          </cell>
          <cell r="B517" t="str">
            <v>VAR_cap</v>
          </cell>
          <cell r="C517" t="str">
            <v>-</v>
          </cell>
          <cell r="D517">
            <v>1.0702898259420902E-4</v>
          </cell>
          <cell r="E517">
            <v>1.6229935259252668E-4</v>
          </cell>
          <cell r="F517">
            <v>1.6300457570787806E-4</v>
          </cell>
          <cell r="G517">
            <v>1.6379049265189809E-4</v>
          </cell>
          <cell r="H517">
            <v>6.3954375089775528E-5</v>
          </cell>
          <cell r="I517">
            <v>2.90023920994503E-6</v>
          </cell>
        </row>
        <row r="518">
          <cell r="A518" t="str">
            <v>T_TW-BEVELC-S4</v>
          </cell>
          <cell r="B518" t="str">
            <v>VAR_fout</v>
          </cell>
          <cell r="C518" t="str">
            <v>TPTWL</v>
          </cell>
          <cell r="D518">
            <v>3.469169678298832E-5</v>
          </cell>
          <cell r="E518">
            <v>5.6599946788725577E-5</v>
          </cell>
          <cell r="F518">
            <v>7.6492219127833092E-5</v>
          </cell>
          <cell r="G518">
            <v>7.7883968794072267E-5</v>
          </cell>
          <cell r="H518">
            <v>8.0282907337235877E-5</v>
          </cell>
          <cell r="I518">
            <v>1.4246846636018324E-5</v>
          </cell>
        </row>
        <row r="519">
          <cell r="A519" t="str">
            <v>T_TW-BEVELC-S4</v>
          </cell>
          <cell r="B519" t="str">
            <v>VAR_fin</v>
          </cell>
          <cell r="C519" t="str">
            <v>T-ELC-TWSTGout_S4</v>
          </cell>
          <cell r="D519">
            <v>9.2141312042436453E-6</v>
          </cell>
          <cell r="E519">
            <v>1.5005538215698481E-5</v>
          </cell>
          <cell r="F519">
            <v>2.0273119559676047E-5</v>
          </cell>
          <cell r="G519">
            <v>2.0632858500032011E-5</v>
          </cell>
          <cell r="H519">
            <v>2.1208608248923597E-5</v>
          </cell>
          <cell r="I519">
            <v>3.6648599568157108E-6</v>
          </cell>
        </row>
        <row r="520">
          <cell r="A520" t="str">
            <v>T_TW-BEVELC-S4</v>
          </cell>
          <cell r="B520" t="str">
            <v>VAR_ncap</v>
          </cell>
          <cell r="C520" t="str">
            <v>-</v>
          </cell>
          <cell r="D520">
            <v>1.5489867371149401E-7</v>
          </cell>
          <cell r="E520">
            <v>3.8803622943929601E-7</v>
          </cell>
          <cell r="F520">
            <v>6.9993979187871197E-7</v>
          </cell>
          <cell r="G520">
            <v>6.2948663840324802E-7</v>
          </cell>
          <cell r="H520">
            <v>1.0086770839526901E-6</v>
          </cell>
          <cell r="I520">
            <v>9.8423755108807701E-7</v>
          </cell>
        </row>
        <row r="521">
          <cell r="A521" t="str">
            <v>T_TW-BEVELC-S4</v>
          </cell>
          <cell r="B521" t="str">
            <v>VAR_cap</v>
          </cell>
          <cell r="C521" t="str">
            <v>-</v>
          </cell>
          <cell r="D521">
            <v>1.3154898673711493E-5</v>
          </cell>
          <cell r="E521">
            <v>2.7457146245361915E-5</v>
          </cell>
          <cell r="F521">
            <v>2.821725804520956E-5</v>
          </cell>
          <cell r="G521">
            <v>2.8872361333432749E-5</v>
          </cell>
          <cell r="H521">
            <v>3.022189403494721E-5</v>
          </cell>
          <cell r="I521">
            <v>6.9202183285559092E-6</v>
          </cell>
        </row>
        <row r="522">
          <cell r="A522" t="str">
            <v>T_B_u-BeVELCEXT</v>
          </cell>
          <cell r="B522" t="str">
            <v>VAR_fout</v>
          </cell>
          <cell r="C522" t="str">
            <v>TPBSu</v>
          </cell>
          <cell r="D522">
            <v>2.0035880107985922E-3</v>
          </cell>
          <cell r="E522">
            <v>1.6034272030224215E-3</v>
          </cell>
          <cell r="F522">
            <v>1.0020243957942453E-3</v>
          </cell>
        </row>
        <row r="523">
          <cell r="A523" t="str">
            <v>T_B_u-BeVELCEXT</v>
          </cell>
          <cell r="B523" t="str">
            <v>VAR_fin</v>
          </cell>
          <cell r="C523" t="str">
            <v>TELC</v>
          </cell>
          <cell r="D523">
            <v>4.7811435016510885E-4</v>
          </cell>
          <cell r="E523">
            <v>4.7526546270560999E-4</v>
          </cell>
          <cell r="F523">
            <v>4.6638964376067286E-4</v>
          </cell>
        </row>
        <row r="524">
          <cell r="A524" t="str">
            <v>T_B_u-BeVELCEXT</v>
          </cell>
          <cell r="B524" t="str">
            <v>VAR_cap</v>
          </cell>
          <cell r="C524" t="str">
            <v>-</v>
          </cell>
          <cell r="D524">
            <v>3.77895550061805E-5</v>
          </cell>
          <cell r="E524">
            <v>3.02316440049444E-5</v>
          </cell>
          <cell r="F524">
            <v>1.8894777503090199E-5</v>
          </cell>
        </row>
        <row r="525">
          <cell r="A525" t="str">
            <v>T_B_u-HYBDSL-S1</v>
          </cell>
          <cell r="B525" t="str">
            <v>VAR_fout</v>
          </cell>
          <cell r="C525" t="str">
            <v>CO2_T</v>
          </cell>
          <cell r="E525">
            <v>15.456538049632901</v>
          </cell>
          <cell r="F525">
            <v>15.453940277626083</v>
          </cell>
          <cell r="G525">
            <v>6.7994665800755891</v>
          </cell>
          <cell r="H525">
            <v>4.2340887459794254E-3</v>
          </cell>
          <cell r="I525">
            <v>29.637993693639284</v>
          </cell>
        </row>
        <row r="526">
          <cell r="A526" t="str">
            <v>T_B_u-HYBDSL-S1</v>
          </cell>
          <cell r="B526" t="str">
            <v>VAR_fout</v>
          </cell>
          <cell r="C526" t="str">
            <v>TPBSu</v>
          </cell>
          <cell r="E526">
            <v>3.426874737826939E-2</v>
          </cell>
          <cell r="F526">
            <v>3.4263079179218552E-2</v>
          </cell>
          <cell r="G526">
            <v>1.7101730620337346E-2</v>
          </cell>
          <cell r="H526">
            <v>1.1556352614755382E-5</v>
          </cell>
          <cell r="I526">
            <v>9.0948682047196888E-2</v>
          </cell>
        </row>
        <row r="527">
          <cell r="A527" t="str">
            <v>T_B_u-HYBDSL-S1</v>
          </cell>
          <cell r="B527" t="str">
            <v>VAR_fin</v>
          </cell>
          <cell r="C527" t="str">
            <v>TDSL</v>
          </cell>
          <cell r="E527">
            <v>0.21086682195952089</v>
          </cell>
          <cell r="F527">
            <v>0.21083138168657622</v>
          </cell>
          <cell r="G527">
            <v>9.2762163438957726E-2</v>
          </cell>
          <cell r="H527">
            <v>5.7763830095217216E-5</v>
          </cell>
          <cell r="I527">
            <v>0.40433824957215864</v>
          </cell>
        </row>
        <row r="528">
          <cell r="A528" t="str">
            <v>T_B_u-HYBDSL-S1</v>
          </cell>
          <cell r="B528" t="str">
            <v>VAR_ncap</v>
          </cell>
          <cell r="C528" t="str">
            <v>-</v>
          </cell>
          <cell r="E528">
            <v>6.4622929598388899E-4</v>
          </cell>
          <cell r="F528">
            <v>5.3309364146350903E-8</v>
          </cell>
          <cell r="G528">
            <v>3.2245955021042798E-4</v>
          </cell>
          <cell r="H528">
            <v>1.5073756441788499E-7</v>
          </cell>
          <cell r="I528">
            <v>2.0722366284476302E-3</v>
          </cell>
        </row>
        <row r="529">
          <cell r="A529" t="str">
            <v>T_B_u-HYBDSL-S1</v>
          </cell>
          <cell r="B529" t="str">
            <v>VAR_cap</v>
          </cell>
          <cell r="C529" t="str">
            <v>-</v>
          </cell>
          <cell r="E529">
            <v>6.4622929598388899E-4</v>
          </cell>
          <cell r="F529">
            <v>6.461406340826525E-4</v>
          </cell>
          <cell r="G529">
            <v>3.2255415851192902E-4</v>
          </cell>
          <cell r="H529">
            <v>2.6335407760650275E-7</v>
          </cell>
          <cell r="I529">
            <v>2.07232757287695E-3</v>
          </cell>
        </row>
        <row r="530">
          <cell r="A530" t="str">
            <v>T_B_u-HYBDSL-S2</v>
          </cell>
          <cell r="B530" t="str">
            <v>VAR_fout</v>
          </cell>
          <cell r="C530" t="str">
            <v>CO2_T</v>
          </cell>
          <cell r="E530">
            <v>7.4962717567188001E-3</v>
          </cell>
          <cell r="F530">
            <v>7.8819551356982299E-3</v>
          </cell>
          <cell r="G530">
            <v>1.0591300041322393E-2</v>
          </cell>
          <cell r="H530">
            <v>2.2982839593375303E-3</v>
          </cell>
          <cell r="I530">
            <v>7.2336147684976795E-4</v>
          </cell>
        </row>
        <row r="531">
          <cell r="A531" t="str">
            <v>T_B_u-HYBDSL-S2</v>
          </cell>
          <cell r="B531" t="str">
            <v>VAR_fout</v>
          </cell>
          <cell r="C531" t="str">
            <v>TPBSu</v>
          </cell>
          <cell r="E531">
            <v>1.1913645156244777E-5</v>
          </cell>
          <cell r="F531">
            <v>1.2560929900284587E-5</v>
          </cell>
          <cell r="G531">
            <v>1.7650412579322393E-5</v>
          </cell>
          <cell r="H531">
            <v>4.4660848877293795E-6</v>
          </cell>
          <cell r="I531">
            <v>1.4918449627694033E-6</v>
          </cell>
        </row>
        <row r="532">
          <cell r="A532" t="str">
            <v>T_B_u-HYBDSL-S2</v>
          </cell>
          <cell r="B532" t="str">
            <v>VAR_fin</v>
          </cell>
          <cell r="C532" t="str">
            <v>TDSL</v>
          </cell>
          <cell r="E532">
            <v>1.0226837321580905E-4</v>
          </cell>
          <cell r="F532">
            <v>1.0753008370666073E-4</v>
          </cell>
          <cell r="G532">
            <v>1.4449249715310213E-4</v>
          </cell>
          <cell r="H532">
            <v>3.1354487849079498E-5</v>
          </cell>
          <cell r="I532">
            <v>9.8685058233256241E-6</v>
          </cell>
        </row>
        <row r="533">
          <cell r="A533" t="str">
            <v>T_B_u-HYBDSL-S2</v>
          </cell>
          <cell r="B533" t="str">
            <v>VAR_ncap</v>
          </cell>
          <cell r="C533" t="str">
            <v>-</v>
          </cell>
          <cell r="E533">
            <v>2.28158545845429E-7</v>
          </cell>
          <cell r="F533">
            <v>2.4761926289420001E-8</v>
          </cell>
          <cell r="G533">
            <v>1.3195731137231199E-7</v>
          </cell>
          <cell r="H533">
            <v>6.20286763762346E-8</v>
          </cell>
          <cell r="I533">
            <v>1.9071237901126101E-8</v>
          </cell>
        </row>
        <row r="534">
          <cell r="A534" t="str">
            <v>T_B_u-HYBDSL-S2</v>
          </cell>
          <cell r="B534" t="str">
            <v>VAR_cap</v>
          </cell>
          <cell r="C534" t="str">
            <v>-</v>
          </cell>
          <cell r="E534">
            <v>2.28158545845429E-7</v>
          </cell>
          <cell r="F534">
            <v>2.52920472134849E-7</v>
          </cell>
          <cell r="G534">
            <v>3.5464781920740797E-7</v>
          </cell>
          <cell r="H534">
            <v>1.25509518798276E-7</v>
          </cell>
          <cell r="I534">
            <v>5.7217499798616603E-8</v>
          </cell>
        </row>
        <row r="535">
          <cell r="A535" t="str">
            <v>T_B_u-HYBDSL-S3</v>
          </cell>
          <cell r="B535" t="str">
            <v>VAR_fout</v>
          </cell>
          <cell r="C535" t="str">
            <v>CO2_T</v>
          </cell>
          <cell r="E535">
            <v>4.7206052555711899</v>
          </cell>
          <cell r="F535">
            <v>4.7206937043836907</v>
          </cell>
          <cell r="G535">
            <v>2.8063339712575877</v>
          </cell>
          <cell r="H535">
            <v>82.473462342499104</v>
          </cell>
          <cell r="I535">
            <v>3.9584196994525196</v>
          </cell>
        </row>
        <row r="536">
          <cell r="A536" t="str">
            <v>T_B_u-HYBDSL-S3</v>
          </cell>
          <cell r="B536" t="str">
            <v>VAR_fout</v>
          </cell>
          <cell r="C536" t="str">
            <v>TPBSu</v>
          </cell>
          <cell r="E536">
            <v>5.0384783302547748E-3</v>
          </cell>
          <cell r="F536">
            <v>5.0385794595705843E-3</v>
          </cell>
          <cell r="G536">
            <v>2.9966523664595878E-3</v>
          </cell>
          <cell r="H536">
            <v>0.10629063061735383</v>
          </cell>
          <cell r="I536">
            <v>5.3318363582800883E-3</v>
          </cell>
        </row>
        <row r="537">
          <cell r="A537" t="str">
            <v>T_B_u-HYBDSL-S3</v>
          </cell>
          <cell r="B537" t="str">
            <v>VAR_fin</v>
          </cell>
          <cell r="C537" t="str">
            <v>TDSL</v>
          </cell>
          <cell r="E537">
            <v>6.4401163104654671E-2</v>
          </cell>
          <cell r="F537">
            <v>6.4402369773310847E-2</v>
          </cell>
          <cell r="G537">
            <v>3.8285593059448585E-2</v>
          </cell>
          <cell r="H537">
            <v>1.1251495544679275</v>
          </cell>
          <cell r="I537">
            <v>5.4002997264017978E-2</v>
          </cell>
        </row>
        <row r="538">
          <cell r="A538" t="str">
            <v>T_B_u-HYBDSL-S3</v>
          </cell>
          <cell r="B538" t="str">
            <v>VAR_ncap</v>
          </cell>
          <cell r="C538" t="str">
            <v>-</v>
          </cell>
          <cell r="E538">
            <v>9.5013305525717105E-5</v>
          </cell>
          <cell r="F538">
            <v>1.19369543623582E-8</v>
          </cell>
          <cell r="G538">
            <v>2.1472689978312401E-7</v>
          </cell>
          <cell r="H538">
            <v>2.9353833290675802E-4</v>
          </cell>
          <cell r="I538">
            <v>1.1947315519349701E-8</v>
          </cell>
        </row>
        <row r="539">
          <cell r="A539" t="str">
            <v>T_B_u-HYBDSL-S3</v>
          </cell>
          <cell r="B539" t="str">
            <v>VAR_cap</v>
          </cell>
          <cell r="C539" t="str">
            <v>-</v>
          </cell>
          <cell r="E539">
            <v>9.5013305525717105E-5</v>
          </cell>
          <cell r="F539">
            <v>9.5025242480079505E-5</v>
          </cell>
          <cell r="G539">
            <v>5.6521453067634797E-5</v>
          </cell>
          <cell r="H539">
            <v>2.0043845897763399E-3</v>
          </cell>
          <cell r="I539">
            <v>1.00555063069998E-4</v>
          </cell>
        </row>
        <row r="540">
          <cell r="A540" t="str">
            <v>T_C-HY-GSL-S1</v>
          </cell>
          <cell r="B540" t="str">
            <v>VAR_fout</v>
          </cell>
          <cell r="C540" t="str">
            <v>CO2_T</v>
          </cell>
          <cell r="D540">
            <v>3.4751422452063481</v>
          </cell>
          <cell r="E540">
            <v>2.6104710137409315</v>
          </cell>
          <cell r="F540">
            <v>1.7990839378232308</v>
          </cell>
          <cell r="G540">
            <v>1.5347617778540734</v>
          </cell>
          <cell r="H540">
            <v>15.106745696552258</v>
          </cell>
          <cell r="I540">
            <v>14.925807940469213</v>
          </cell>
        </row>
        <row r="541">
          <cell r="A541" t="str">
            <v>T_C-HY-GSL-S1</v>
          </cell>
          <cell r="B541" t="str">
            <v>VAR_fout</v>
          </cell>
          <cell r="C541" t="str">
            <v>TPCAR</v>
          </cell>
          <cell r="D541">
            <v>5.3061396903121401E-2</v>
          </cell>
          <cell r="E541">
            <v>5.0611733725154373E-2</v>
          </cell>
          <cell r="F541">
            <v>3.4897290014862602E-2</v>
          </cell>
          <cell r="G541">
            <v>2.9333945480155145E-2</v>
          </cell>
          <cell r="H541">
            <v>0.19828486871321402</v>
          </cell>
          <cell r="I541">
            <v>0.20522379420815687</v>
          </cell>
        </row>
        <row r="542">
          <cell r="A542" t="str">
            <v>T_C-HY-GSL-S1</v>
          </cell>
          <cell r="B542" t="str">
            <v>VAR_fin</v>
          </cell>
          <cell r="C542" t="str">
            <v>TGSL</v>
          </cell>
          <cell r="D542">
            <v>4.708864830902907E-2</v>
          </cell>
          <cell r="E542">
            <v>3.5372235958549179E-2</v>
          </cell>
          <cell r="F542">
            <v>2.4377831135816132E-2</v>
          </cell>
          <cell r="G542">
            <v>2.0796230052223166E-2</v>
          </cell>
          <cell r="H542">
            <v>0.20469845117279425</v>
          </cell>
          <cell r="I542">
            <v>0.20224672006055838</v>
          </cell>
        </row>
        <row r="543">
          <cell r="A543" t="str">
            <v>T_C-HY-GSL-S1</v>
          </cell>
          <cell r="B543" t="str">
            <v>VAR_ncap</v>
          </cell>
          <cell r="C543" t="str">
            <v>-</v>
          </cell>
          <cell r="E543">
            <v>1.3235834483319701E-7</v>
          </cell>
          <cell r="F543">
            <v>3.40902571385497E-6</v>
          </cell>
          <cell r="G543">
            <v>6.5752731809180398E-6</v>
          </cell>
          <cell r="H543">
            <v>3.1401096279315498E-2</v>
          </cell>
          <cell r="I543">
            <v>1.7937117789275699E-2</v>
          </cell>
        </row>
        <row r="544">
          <cell r="A544" t="str">
            <v>T_C-HY-GSL-S1</v>
          </cell>
          <cell r="B544" t="str">
            <v>VAR_cap</v>
          </cell>
          <cell r="C544" t="str">
            <v>-</v>
          </cell>
          <cell r="D544">
            <v>5.6690986866363337E-3</v>
          </cell>
          <cell r="E544">
            <v>5.4074231502521533E-3</v>
          </cell>
          <cell r="F544">
            <v>5.3034182043299929E-3</v>
          </cell>
          <cell r="G544">
            <v>4.4579883632287322E-3</v>
          </cell>
          <cell r="H544">
            <v>3.01345552212877E-2</v>
          </cell>
          <cell r="I544">
            <v>3.1189038999334898E-2</v>
          </cell>
        </row>
        <row r="545">
          <cell r="A545" t="str">
            <v>TFRLFDSLEXT</v>
          </cell>
          <cell r="B545" t="str">
            <v>VAR_fout</v>
          </cell>
          <cell r="C545" t="str">
            <v>CO2_T</v>
          </cell>
          <cell r="D545">
            <v>29.033513132559801</v>
          </cell>
          <cell r="E545">
            <v>45.436335588405299</v>
          </cell>
        </row>
        <row r="546">
          <cell r="A546" t="str">
            <v>TFRLFDSLEXT</v>
          </cell>
          <cell r="B546" t="str">
            <v>VAR_fout</v>
          </cell>
          <cell r="C546" t="str">
            <v>TFRLF</v>
          </cell>
          <cell r="D546">
            <v>1.6053884572881593E-3</v>
          </cell>
          <cell r="E546">
            <v>2.5123714227092584E-3</v>
          </cell>
        </row>
        <row r="547">
          <cell r="A547" t="str">
            <v>TFRLFDSLEXT</v>
          </cell>
          <cell r="B547" t="str">
            <v>VAR_fin</v>
          </cell>
          <cell r="C547" t="str">
            <v>TDSL</v>
          </cell>
          <cell r="D547">
            <v>0.3960915843459718</v>
          </cell>
          <cell r="E547">
            <v>0.619868152638544</v>
          </cell>
        </row>
        <row r="548">
          <cell r="A548" t="str">
            <v>TFRLFDSLEXT</v>
          </cell>
          <cell r="B548" t="str">
            <v>VAR_ncap</v>
          </cell>
          <cell r="C548" t="str">
            <v>-</v>
          </cell>
          <cell r="D548">
            <v>1.48207022477574E-4</v>
          </cell>
          <cell r="E548">
            <v>8.3728290717040294E-5</v>
          </cell>
        </row>
        <row r="549">
          <cell r="A549" t="str">
            <v>TFRLFDSLEXT</v>
          </cell>
          <cell r="B549" t="str">
            <v>VAR_cap</v>
          </cell>
          <cell r="C549" t="str">
            <v>-</v>
          </cell>
          <cell r="D549">
            <v>1.48207022477574E-4</v>
          </cell>
          <cell r="E549">
            <v>2.31935313194615E-4</v>
          </cell>
          <cell r="F549">
            <v>1.3295108097994071E-8</v>
          </cell>
          <cell r="G549">
            <v>4.0064063779867917E-9</v>
          </cell>
          <cell r="H549">
            <v>2.9722685010110956E-9</v>
          </cell>
          <cell r="I549">
            <v>1.1657578829940129E-9</v>
          </cell>
        </row>
        <row r="550">
          <cell r="A550" t="str">
            <v>T_C-HY-GSL-S2</v>
          </cell>
          <cell r="B550" t="str">
            <v>VAR_fout</v>
          </cell>
          <cell r="C550" t="str">
            <v>CO2_T</v>
          </cell>
          <cell r="D550">
            <v>9.847658850005331</v>
          </cell>
          <cell r="E550">
            <v>15.043682768118273</v>
          </cell>
          <cell r="F550">
            <v>99.854669346768659</v>
          </cell>
          <cell r="G550">
            <v>87.852511970548477</v>
          </cell>
          <cell r="H550">
            <v>5.3079035203942233</v>
          </cell>
          <cell r="I550">
            <v>2.1444450684784582E-3</v>
          </cell>
        </row>
        <row r="551">
          <cell r="A551" t="str">
            <v>T_C-HY-GSL-S2</v>
          </cell>
          <cell r="B551" t="str">
            <v>VAR_fout</v>
          </cell>
          <cell r="C551" t="str">
            <v>TPCAR</v>
          </cell>
          <cell r="D551">
            <v>0.21859529239088613</v>
          </cell>
          <cell r="E551">
            <v>0.38567610230279925</v>
          </cell>
          <cell r="F551">
            <v>2.5374228364993616</v>
          </cell>
          <cell r="G551">
            <v>2.2274354085733346</v>
          </cell>
          <cell r="H551">
            <v>0.13367620738455258</v>
          </cell>
          <cell r="I551">
            <v>2.4583279850013797E-5</v>
          </cell>
        </row>
        <row r="552">
          <cell r="A552" t="str">
            <v>T_C-HY-GSL-S2</v>
          </cell>
          <cell r="B552" t="str">
            <v>VAR_fin</v>
          </cell>
          <cell r="C552" t="str">
            <v>TGSL</v>
          </cell>
          <cell r="D552">
            <v>0.13343711178869017</v>
          </cell>
          <cell r="E552">
            <v>0.2038439399474018</v>
          </cell>
          <cell r="F552">
            <v>1.3530443000917176</v>
          </cell>
          <cell r="G552">
            <v>1.1904134413353447</v>
          </cell>
          <cell r="H552">
            <v>7.1922811929460817E-2</v>
          </cell>
          <cell r="I552">
            <v>2.9057521253095676E-5</v>
          </cell>
        </row>
        <row r="553">
          <cell r="A553" t="str">
            <v>T_C-HY-GSL-S2</v>
          </cell>
          <cell r="B553" t="str">
            <v>VAR_ncap</v>
          </cell>
          <cell r="C553" t="str">
            <v>-</v>
          </cell>
          <cell r="E553">
            <v>3.23087312697361E-5</v>
          </cell>
          <cell r="F553">
            <v>0.16885940194789201</v>
          </cell>
          <cell r="G553">
            <v>1.43375331139137E-6</v>
          </cell>
          <cell r="H553">
            <v>1.7190001097977101E-6</v>
          </cell>
          <cell r="I553">
            <v>1.68042657036927E-6</v>
          </cell>
        </row>
        <row r="554">
          <cell r="A554" t="str">
            <v>T_C-HY-GSL-S2</v>
          </cell>
          <cell r="B554" t="str">
            <v>VAR_cap</v>
          </cell>
          <cell r="C554" t="str">
            <v>-</v>
          </cell>
          <cell r="D554">
            <v>1.7227233396033804E-2</v>
          </cell>
          <cell r="E554">
            <v>2.9262420185750274E-2</v>
          </cell>
          <cell r="F554">
            <v>0.1947893408258502</v>
          </cell>
          <cell r="G554">
            <v>0.1690023799883637</v>
          </cell>
          <cell r="H554">
            <v>1.40993554103294E-2</v>
          </cell>
          <cell r="I554">
            <v>2.6243410934579E-6</v>
          </cell>
        </row>
        <row r="555">
          <cell r="A555" t="str">
            <v>TPSHPNGAEXT</v>
          </cell>
          <cell r="B555" t="str">
            <v>VAR_fout</v>
          </cell>
          <cell r="C555" t="str">
            <v>TPSHP</v>
          </cell>
          <cell r="F555">
            <v>1.7234197249835199</v>
          </cell>
          <cell r="G555">
            <v>5.8500639144069604</v>
          </cell>
          <cell r="H555">
            <v>4.4165446561644E-6</v>
          </cell>
          <cell r="I555">
            <v>1.4702526417209099E-6</v>
          </cell>
        </row>
        <row r="556">
          <cell r="A556" t="str">
            <v>TPSHPNGAEXT</v>
          </cell>
          <cell r="B556" t="str">
            <v>VAR_fout</v>
          </cell>
          <cell r="C556" t="str">
            <v>CO2_T</v>
          </cell>
          <cell r="F556">
            <v>103.295944579552</v>
          </cell>
          <cell r="G556">
            <v>350.633028698332</v>
          </cell>
          <cell r="H556">
            <v>2.6471273678884999E-4</v>
          </cell>
          <cell r="I556">
            <v>8.8121966573520297E-5</v>
          </cell>
        </row>
        <row r="557">
          <cell r="A557" t="str">
            <v>TPSHPNGAEXT</v>
          </cell>
          <cell r="B557" t="str">
            <v>VAR_fin</v>
          </cell>
          <cell r="C557" t="str">
            <v>TNGA</v>
          </cell>
          <cell r="F557">
            <v>1.8314883790700704</v>
          </cell>
          <cell r="G557">
            <v>6.2168976719562412</v>
          </cell>
          <cell r="H557">
            <v>4.6934882409370706E-6</v>
          </cell>
          <cell r="I557">
            <v>1.5624462158425588E-6</v>
          </cell>
        </row>
        <row r="558">
          <cell r="A558" t="str">
            <v>TPSHPNGAEXT</v>
          </cell>
          <cell r="B558" t="str">
            <v>VAR_ncap</v>
          </cell>
          <cell r="C558" t="str">
            <v>-</v>
          </cell>
          <cell r="D558">
            <v>1.1990452304014399E-7</v>
          </cell>
          <cell r="E558">
            <v>1.6840413329433599E-7</v>
          </cell>
          <cell r="F558">
            <v>1.7234194133554499</v>
          </cell>
          <cell r="G558">
            <v>4.1266436262383204</v>
          </cell>
          <cell r="H558">
            <v>2.2812570206958798E-8</v>
          </cell>
          <cell r="I558">
            <v>1.10812308926199E-8</v>
          </cell>
        </row>
        <row r="559">
          <cell r="A559" t="str">
            <v>TPSHPNGAEXT</v>
          </cell>
          <cell r="B559" t="str">
            <v>VAR_cap</v>
          </cell>
          <cell r="C559" t="str">
            <v>-</v>
          </cell>
          <cell r="D559">
            <v>1.1990452304014399E-7</v>
          </cell>
          <cell r="E559">
            <v>2.8830865633447998E-7</v>
          </cell>
          <cell r="F559">
            <v>1.7234196587939854</v>
          </cell>
          <cell r="G559">
            <v>5.8500632548531053</v>
          </cell>
          <cell r="H559">
            <v>-2.8924960204790295E-8</v>
          </cell>
          <cell r="I559">
            <v>-1.8449901606487629E-9</v>
          </cell>
        </row>
        <row r="560">
          <cell r="A560" t="str">
            <v>T_C-HY-DSL-S1</v>
          </cell>
          <cell r="B560" t="str">
            <v>VAR_fout</v>
          </cell>
          <cell r="C560" t="str">
            <v>CO2_T</v>
          </cell>
          <cell r="D560">
            <v>2.4026526326214699E-3</v>
          </cell>
          <cell r="E560">
            <v>8.510370227390819E-5</v>
          </cell>
          <cell r="F560">
            <v>1.9535502947002461E-3</v>
          </cell>
          <cell r="G560">
            <v>3.2489015053340353E-3</v>
          </cell>
          <cell r="H560">
            <v>9.1562035550256109</v>
          </cell>
          <cell r="I560">
            <v>10.285470630568534</v>
          </cell>
        </row>
        <row r="561">
          <cell r="A561" t="str">
            <v>T_C-HY-DSL-S1</v>
          </cell>
          <cell r="B561" t="str">
            <v>VAR_fout</v>
          </cell>
          <cell r="C561" t="str">
            <v>TPCAR</v>
          </cell>
          <cell r="D561">
            <v>1.3709253256722521E-5</v>
          </cell>
          <cell r="E561">
            <v>1.0511922971881179E-6</v>
          </cell>
          <cell r="F561">
            <v>3.6231091915035112E-5</v>
          </cell>
          <cell r="G561">
            <v>5.0466063290463915E-5</v>
          </cell>
          <cell r="H561">
            <v>0.12094654968882118</v>
          </cell>
          <cell r="I561">
            <v>0.14322109762719398</v>
          </cell>
        </row>
        <row r="562">
          <cell r="A562" t="str">
            <v>T_C-HY-DSL-S1</v>
          </cell>
          <cell r="B562" t="str">
            <v>VAR_fin</v>
          </cell>
          <cell r="C562" t="str">
            <v>TDSL</v>
          </cell>
          <cell r="D562">
            <v>3.2778344237673587E-5</v>
          </cell>
          <cell r="E562">
            <v>1.1610327731774659E-6</v>
          </cell>
          <cell r="F562">
            <v>2.6651436489771349E-5</v>
          </cell>
          <cell r="G562">
            <v>4.4323349322428902E-5</v>
          </cell>
          <cell r="H562">
            <v>0.1249141003414133</v>
          </cell>
          <cell r="I562">
            <v>0.14032019959847924</v>
          </cell>
        </row>
        <row r="563">
          <cell r="A563" t="str">
            <v>T_C-HY-DSL-S1</v>
          </cell>
          <cell r="B563" t="str">
            <v>VAR_ncap</v>
          </cell>
          <cell r="C563" t="str">
            <v>-</v>
          </cell>
          <cell r="E563">
            <v>1.4441761209037001E-7</v>
          </cell>
          <cell r="F563">
            <v>5.4333932041462003E-6</v>
          </cell>
          <cell r="G563">
            <v>3.0850803173623399E-6</v>
          </cell>
          <cell r="H563">
            <v>1.9142596457672901E-2</v>
          </cell>
          <cell r="I563">
            <v>1.41565226398383E-2</v>
          </cell>
        </row>
        <row r="564">
          <cell r="A564" t="str">
            <v>T_C-HY-DSL-S1</v>
          </cell>
          <cell r="B564" t="str">
            <v>VAR_cap</v>
          </cell>
          <cell r="C564" t="str">
            <v>-</v>
          </cell>
          <cell r="D564">
            <v>1.5999999999999999E-6</v>
          </cell>
          <cell r="E564">
            <v>2.7031501317419711E-7</v>
          </cell>
          <cell r="F564">
            <v>5.63468037262267E-6</v>
          </cell>
          <cell r="G564">
            <v>7.8350194880534003E-6</v>
          </cell>
          <cell r="H564">
            <v>1.8380997844308199E-2</v>
          </cell>
          <cell r="I564">
            <v>2.17661049655767E-2</v>
          </cell>
        </row>
        <row r="565">
          <cell r="A565" t="str">
            <v>T_C-HY-GSL-S3</v>
          </cell>
          <cell r="B565" t="str">
            <v>VAR_fout</v>
          </cell>
          <cell r="C565" t="str">
            <v>CO2_T</v>
          </cell>
          <cell r="D565">
            <v>7.3833470350590407</v>
          </cell>
          <cell r="E565">
            <v>106.78174745417081</v>
          </cell>
          <cell r="F565">
            <v>100.93400039927914</v>
          </cell>
          <cell r="G565">
            <v>80.752713601593015</v>
          </cell>
          <cell r="H565">
            <v>1.0221933462278734E-3</v>
          </cell>
          <cell r="I565">
            <v>4.3610456045665123E-4</v>
          </cell>
        </row>
        <row r="566">
          <cell r="A566" t="str">
            <v>T_C-HY-GSL-S3</v>
          </cell>
          <cell r="B566" t="str">
            <v>VAR_fout</v>
          </cell>
          <cell r="C566" t="str">
            <v>TPCAR</v>
          </cell>
          <cell r="D566">
            <v>0.20181617752559411</v>
          </cell>
          <cell r="E566">
            <v>3.6202098930187123</v>
          </cell>
          <cell r="F566">
            <v>3.4188685312292799</v>
          </cell>
          <cell r="G566">
            <v>2.751044176720538</v>
          </cell>
          <cell r="H566">
            <v>1.0083172488062877E-5</v>
          </cell>
          <cell r="I566">
            <v>4.4600073015027325E-6</v>
          </cell>
        </row>
        <row r="567">
          <cell r="A567" t="str">
            <v>T_C-HY-GSL-S3</v>
          </cell>
          <cell r="B567" t="str">
            <v>VAR_fin</v>
          </cell>
          <cell r="C567" t="str">
            <v>TGSL</v>
          </cell>
          <cell r="D567">
            <v>0.10004535277857783</v>
          </cell>
          <cell r="E567">
            <v>1.4469071470754851</v>
          </cell>
          <cell r="F567">
            <v>1.3676693821040524</v>
          </cell>
          <cell r="G567">
            <v>1.0942102114037013</v>
          </cell>
          <cell r="H567">
            <v>1.3850858349971178E-5</v>
          </cell>
          <cell r="I567">
            <v>5.9092758869465012E-6</v>
          </cell>
        </row>
        <row r="568">
          <cell r="A568" t="str">
            <v>T_C-HY-GSL-S3</v>
          </cell>
          <cell r="B568" t="str">
            <v>VAR_ncap</v>
          </cell>
          <cell r="C568" t="str">
            <v>-</v>
          </cell>
          <cell r="E568">
            <v>0.22598822467969301</v>
          </cell>
          <cell r="F568">
            <v>1.0873972524145499E-6</v>
          </cell>
          <cell r="G568">
            <v>3.8577625587938301E-7</v>
          </cell>
          <cell r="H568">
            <v>3.75687549256816E-7</v>
          </cell>
          <cell r="I568">
            <v>2.8785343282504898E-7</v>
          </cell>
        </row>
        <row r="569">
          <cell r="A569" t="str">
            <v>T_C-HY-GSL-S3</v>
          </cell>
          <cell r="B569" t="str">
            <v>VAR_cap</v>
          </cell>
          <cell r="C569" t="str">
            <v>-</v>
          </cell>
          <cell r="D569">
            <v>1.4248958923955203E-2</v>
          </cell>
          <cell r="E569">
            <v>0.24891432691265081</v>
          </cell>
          <cell r="F569">
            <v>0.23507136204536969</v>
          </cell>
          <cell r="G569">
            <v>0.18915341754523091</v>
          </cell>
          <cell r="H569">
            <v>9.5552902490341595E-7</v>
          </cell>
          <cell r="I569">
            <v>5.4013690697731399E-7</v>
          </cell>
        </row>
        <row r="570">
          <cell r="A570" t="str">
            <v>T_C-HY-DSL-S2</v>
          </cell>
          <cell r="B570" t="str">
            <v>VAR_fout</v>
          </cell>
          <cell r="C570" t="str">
            <v>CO2_T</v>
          </cell>
          <cell r="D570">
            <v>0.21283320719720272</v>
          </cell>
          <cell r="E570">
            <v>51.329783981333847</v>
          </cell>
          <cell r="F570">
            <v>116.64964386012744</v>
          </cell>
          <cell r="G570">
            <v>98.858377226588928</v>
          </cell>
          <cell r="H570">
            <v>4.1575413986127163</v>
          </cell>
          <cell r="I570">
            <v>2.0915482520082991E-3</v>
          </cell>
        </row>
        <row r="571">
          <cell r="A571" t="str">
            <v>T_C-HY-DSL-S2</v>
          </cell>
          <cell r="B571" t="str">
            <v>VAR_fout</v>
          </cell>
          <cell r="C571" t="str">
            <v>TPCAR</v>
          </cell>
          <cell r="D571">
            <v>3.4220799146933109E-3</v>
          </cell>
          <cell r="E571">
            <v>1.8778698711799748</v>
          </cell>
          <cell r="F571">
            <v>3.5892712629727779</v>
          </cell>
          <cell r="G571">
            <v>3.0204267669875606</v>
          </cell>
          <cell r="H571">
            <v>0.11073112617164092</v>
          </cell>
          <cell r="I571">
            <v>2.3824552244594571E-5</v>
          </cell>
        </row>
        <row r="572">
          <cell r="A572" t="str">
            <v>T_C-HY-DSL-S2</v>
          </cell>
          <cell r="B572" t="str">
            <v>VAR_fin</v>
          </cell>
          <cell r="C572" t="str">
            <v>TDSL</v>
          </cell>
          <cell r="D572">
            <v>2.9035908212442381E-3</v>
          </cell>
          <cell r="E572">
            <v>0.70026990424739199</v>
          </cell>
          <cell r="F572">
            <v>1.5914003255133331</v>
          </cell>
          <cell r="G572">
            <v>1.3486818175523729</v>
          </cell>
          <cell r="H572">
            <v>5.6719527948331835E-2</v>
          </cell>
          <cell r="I572">
            <v>2.8534082564915383E-5</v>
          </cell>
        </row>
        <row r="573">
          <cell r="A573" t="str">
            <v>T_C-HY-DSL-S2</v>
          </cell>
          <cell r="B573" t="str">
            <v>VAR_ncap</v>
          </cell>
          <cell r="C573" t="str">
            <v>-</v>
          </cell>
          <cell r="E573">
            <v>0.14387453259532301</v>
          </cell>
          <cell r="F573">
            <v>0.13986387368549799</v>
          </cell>
          <cell r="G573">
            <v>9.6431449013913392E-7</v>
          </cell>
          <cell r="H573">
            <v>1.6082622202550599E-6</v>
          </cell>
          <cell r="I573">
            <v>1.39406554967618E-6</v>
          </cell>
        </row>
        <row r="574">
          <cell r="A574" t="str">
            <v>T_C-HY-DSL-S2</v>
          </cell>
          <cell r="B574" t="str">
            <v>VAR_cap</v>
          </cell>
          <cell r="C574" t="str">
            <v>-</v>
          </cell>
          <cell r="D574">
            <v>2.5986386435055E-4</v>
          </cell>
          <cell r="E574">
            <v>0.14247976097324841</v>
          </cell>
          <cell r="F574">
            <v>0.27232912865012537</v>
          </cell>
          <cell r="G574">
            <v>0.22916913769924718</v>
          </cell>
          <cell r="H574">
            <v>1.1679208452980301E-2</v>
          </cell>
          <cell r="I574">
            <v>2.50877772426601E-6</v>
          </cell>
        </row>
        <row r="575">
          <cell r="A575" t="str">
            <v>D-T-ELC-Bus_c_S1</v>
          </cell>
          <cell r="B575" t="str">
            <v>VAR_fout</v>
          </cell>
          <cell r="C575" t="str">
            <v>T-ELC-Bus_c_BatSTGin_S1</v>
          </cell>
          <cell r="D575">
            <v>1.2139094933249289E-4</v>
          </cell>
          <cell r="E575">
            <v>3.2503732927393524E-4</v>
          </cell>
          <cell r="F575">
            <v>7.5880200249059057E-4</v>
          </cell>
          <cell r="G575">
            <v>1.2772401891230535E-2</v>
          </cell>
          <cell r="H575">
            <v>2.5275848452981042E-2</v>
          </cell>
          <cell r="I575">
            <v>9.4382272411701329E-2</v>
          </cell>
        </row>
        <row r="576">
          <cell r="A576" t="str">
            <v>D-T-ELC-Bus_c_S1</v>
          </cell>
          <cell r="B576" t="str">
            <v>VAR_fin</v>
          </cell>
          <cell r="C576" t="str">
            <v>TELC</v>
          </cell>
          <cell r="D576">
            <v>1.2139094933249289E-4</v>
          </cell>
          <cell r="E576">
            <v>3.2503732927393524E-4</v>
          </cell>
          <cell r="F576">
            <v>7.5880200249059057E-4</v>
          </cell>
          <cell r="G576">
            <v>1.2772401891230535E-2</v>
          </cell>
          <cell r="H576">
            <v>2.5275848452981042E-2</v>
          </cell>
          <cell r="I576">
            <v>9.4382272411701329E-2</v>
          </cell>
        </row>
        <row r="577">
          <cell r="A577" t="str">
            <v>D-T-ELC-Bus_c_S1</v>
          </cell>
          <cell r="B577" t="str">
            <v>VAR_ncap</v>
          </cell>
          <cell r="C577" t="str">
            <v>-</v>
          </cell>
          <cell r="D577">
            <v>1.61360113572517E-5</v>
          </cell>
          <cell r="E577">
            <v>2.5343645909220801E-5</v>
          </cell>
          <cell r="F577">
            <v>4.9351584914010302E-5</v>
          </cell>
          <cell r="G577">
            <v>1.5427234577765701E-3</v>
          </cell>
          <cell r="H577">
            <v>2.58733966699336E-3</v>
          </cell>
          <cell r="I577">
            <v>1.04452397166104E-2</v>
          </cell>
        </row>
        <row r="578">
          <cell r="A578" t="str">
            <v>D-T-ELC-Bus_c_S1</v>
          </cell>
          <cell r="B578" t="str">
            <v>VAR_cap</v>
          </cell>
          <cell r="C578" t="str">
            <v>-</v>
          </cell>
          <cell r="D578">
            <v>1.61360113572517E-5</v>
          </cell>
          <cell r="E578">
            <v>4.1479657266472497E-5</v>
          </cell>
          <cell r="F578">
            <v>9.0831242180482806E-5</v>
          </cell>
          <cell r="G578">
            <v>1.6258674385387999E-3</v>
          </cell>
          <cell r="H578">
            <v>2.8658479852372199E-3</v>
          </cell>
          <cell r="I578">
            <v>1.1743726996067801E-2</v>
          </cell>
        </row>
        <row r="579">
          <cell r="A579" t="str">
            <v>T_C-HY-GSL-S4</v>
          </cell>
          <cell r="B579" t="str">
            <v>VAR_fout</v>
          </cell>
          <cell r="C579" t="str">
            <v>CO2_T</v>
          </cell>
          <cell r="D579">
            <v>6.6953875766801136</v>
          </cell>
          <cell r="E579">
            <v>14.603499064034661</v>
          </cell>
          <cell r="F579">
            <v>13.965122401092653</v>
          </cell>
          <cell r="G579">
            <v>11.443016905408768</v>
          </cell>
          <cell r="H579">
            <v>1.3428408920059935E-3</v>
          </cell>
          <cell r="I579">
            <v>1.1802926368906122E-3</v>
          </cell>
        </row>
        <row r="580">
          <cell r="A580" t="str">
            <v>T_C-HY-GSL-S4</v>
          </cell>
          <cell r="B580" t="str">
            <v>VAR_fout</v>
          </cell>
          <cell r="C580" t="str">
            <v>TPCAR</v>
          </cell>
          <cell r="D580">
            <v>0.10449848198185577</v>
          </cell>
          <cell r="E580">
            <v>0.28256068180660404</v>
          </cell>
          <cell r="F580">
            <v>0.26923816069192336</v>
          </cell>
          <cell r="G580">
            <v>0.22194410115288396</v>
          </cell>
          <cell r="H580">
            <v>1.2702649669795845E-5</v>
          </cell>
          <cell r="I580">
            <v>1.2096372664929502E-5</v>
          </cell>
        </row>
        <row r="581">
          <cell r="A581" t="str">
            <v>T_C-HY-GSL-S4</v>
          </cell>
          <cell r="B581" t="str">
            <v>VAR_fin</v>
          </cell>
          <cell r="C581" t="str">
            <v>TGSL</v>
          </cell>
          <cell r="D581">
            <v>9.0723408898104513E-2</v>
          </cell>
          <cell r="E581">
            <v>0.19787939111158062</v>
          </cell>
          <cell r="F581">
            <v>0.18922930082781372</v>
          </cell>
          <cell r="G581">
            <v>0.15505442961258503</v>
          </cell>
          <cell r="H581">
            <v>1.8195676043441657E-5</v>
          </cell>
          <cell r="I581">
            <v>1.5993125161119412E-5</v>
          </cell>
        </row>
        <row r="582">
          <cell r="A582" t="str">
            <v>T_C-HY-GSL-S4</v>
          </cell>
          <cell r="B582" t="str">
            <v>VAR_ncap</v>
          </cell>
          <cell r="C582" t="str">
            <v>-</v>
          </cell>
          <cell r="E582">
            <v>8.2798723760557497E-3</v>
          </cell>
          <cell r="F582">
            <v>8.6941326300838598E-7</v>
          </cell>
          <cell r="G582">
            <v>4.4658192231378002E-7</v>
          </cell>
          <cell r="H582">
            <v>7.0715670009588596E-7</v>
          </cell>
          <cell r="I582">
            <v>1.03813262327384E-6</v>
          </cell>
        </row>
        <row r="583">
          <cell r="A583" t="str">
            <v>T_C-HY-GSL-S4</v>
          </cell>
          <cell r="B583" t="str">
            <v>VAR_cap</v>
          </cell>
          <cell r="C583" t="str">
            <v>-</v>
          </cell>
          <cell r="D583">
            <v>8.3205854194635769E-3</v>
          </cell>
          <cell r="E583">
            <v>2.2248901636950421E-2</v>
          </cell>
          <cell r="F583">
            <v>2.120432779533343E-2</v>
          </cell>
          <cell r="G583">
            <v>1.7476544524757859E-2</v>
          </cell>
          <cell r="H583">
            <v>1.43670054280495E-6</v>
          </cell>
          <cell r="I583">
            <v>1.39441282971719E-6</v>
          </cell>
        </row>
        <row r="584">
          <cell r="A584" t="str">
            <v>T_C-HY-DSL-S3</v>
          </cell>
          <cell r="B584" t="str">
            <v>VAR_fout</v>
          </cell>
          <cell r="C584" t="str">
            <v>CO2_T</v>
          </cell>
          <cell r="D584">
            <v>2.2131284502578539</v>
          </cell>
          <cell r="E584">
            <v>3.3062929737551174</v>
          </cell>
          <cell r="F584">
            <v>3.1615737149070799</v>
          </cell>
          <cell r="G584">
            <v>2.3585480576846991</v>
          </cell>
          <cell r="H584">
            <v>1.0675424429319846E-3</v>
          </cell>
          <cell r="I584">
            <v>4.1387005733905884E-4</v>
          </cell>
        </row>
        <row r="585">
          <cell r="A585" t="str">
            <v>T_C-HY-DSL-S3</v>
          </cell>
          <cell r="B585" t="str">
            <v>VAR_fout</v>
          </cell>
          <cell r="C585" t="str">
            <v>TPCAR</v>
          </cell>
          <cell r="D585">
            <v>2.6935853441553134E-2</v>
          </cell>
          <cell r="E585">
            <v>5.3451867005412851E-2</v>
          </cell>
          <cell r="F585">
            <v>5.0892199086028579E-2</v>
          </cell>
          <cell r="G585">
            <v>4.040398675372614E-2</v>
          </cell>
          <cell r="H585">
            <v>1.0298249351947177E-5</v>
          </cell>
          <cell r="I585">
            <v>4.230044787041802E-6</v>
          </cell>
        </row>
        <row r="586">
          <cell r="A586" t="str">
            <v>T_C-HY-DSL-S3</v>
          </cell>
          <cell r="B586" t="str">
            <v>VAR_fin</v>
          </cell>
          <cell r="C586" t="str">
            <v>TDSL</v>
          </cell>
          <cell r="D586">
            <v>3.0192748298197142E-2</v>
          </cell>
          <cell r="E586">
            <v>4.5106316149455879E-2</v>
          </cell>
          <cell r="F586">
            <v>4.3131974282497723E-2</v>
          </cell>
          <cell r="G586">
            <v>3.2176644716025847E-2</v>
          </cell>
          <cell r="H586">
            <v>1.4564016956780152E-5</v>
          </cell>
          <cell r="I586">
            <v>5.6462490769312348E-6</v>
          </cell>
        </row>
        <row r="587">
          <cell r="A587" t="str">
            <v>T_C-HY-DSL-S3</v>
          </cell>
          <cell r="B587" t="str">
            <v>VAR_ncap</v>
          </cell>
          <cell r="C587" t="str">
            <v>-</v>
          </cell>
          <cell r="E587">
            <v>8.9801440800481896E-7</v>
          </cell>
          <cell r="F587">
            <v>8.22066253468016E-7</v>
          </cell>
          <cell r="G587">
            <v>3.4103595032180599E-7</v>
          </cell>
          <cell r="H587">
            <v>3.6452414190754199E-7</v>
          </cell>
          <cell r="I587">
            <v>2.6848269794580702E-7</v>
          </cell>
        </row>
        <row r="588">
          <cell r="A588" t="str">
            <v>T_C-HY-DSL-S3</v>
          </cell>
          <cell r="B588" t="str">
            <v>VAR_cap</v>
          </cell>
          <cell r="C588" t="str">
            <v>-</v>
          </cell>
          <cell r="D588">
            <v>1.8564880349107762E-3</v>
          </cell>
          <cell r="E588">
            <v>3.6752179848616143E-3</v>
          </cell>
          <cell r="F588">
            <v>3.4996327919161558E-3</v>
          </cell>
          <cell r="G588">
            <v>2.7783385051291243E-3</v>
          </cell>
          <cell r="H588">
            <v>9.6960551813374704E-7</v>
          </cell>
          <cell r="I588">
            <v>5.3673707749475302E-7</v>
          </cell>
        </row>
        <row r="589">
          <cell r="A589" t="str">
            <v>D-T-ELC-Bus_c_S2</v>
          </cell>
          <cell r="B589" t="str">
            <v>VAR_fout</v>
          </cell>
          <cell r="C589" t="str">
            <v>T-ELC-Bus_c_BatSTGin_S2</v>
          </cell>
          <cell r="D589">
            <v>4.4931855017482739E-4</v>
          </cell>
          <cell r="E589">
            <v>3.5928263044888923E-5</v>
          </cell>
          <cell r="F589">
            <v>5.6121121235893964E-5</v>
          </cell>
          <cell r="G589">
            <v>1.2264941346478401E-4</v>
          </cell>
          <cell r="H589">
            <v>0.11576400244737169</v>
          </cell>
          <cell r="I589">
            <v>0.10036142953965903</v>
          </cell>
        </row>
        <row r="590">
          <cell r="A590" t="str">
            <v>D-T-ELC-Bus_c_S2</v>
          </cell>
          <cell r="B590" t="str">
            <v>VAR_fin</v>
          </cell>
          <cell r="C590" t="str">
            <v>TELC</v>
          </cell>
          <cell r="D590">
            <v>4.4931855017482739E-4</v>
          </cell>
          <cell r="E590">
            <v>3.5928263044888923E-5</v>
          </cell>
          <cell r="F590">
            <v>5.6121121235893964E-5</v>
          </cell>
          <cell r="G590">
            <v>1.2264941346478401E-4</v>
          </cell>
          <cell r="H590">
            <v>0.11576400244737169</v>
          </cell>
          <cell r="I590">
            <v>0.10036142953965903</v>
          </cell>
        </row>
        <row r="591">
          <cell r="A591" t="str">
            <v>D-T-ELC-Bus_c_S2</v>
          </cell>
          <cell r="B591" t="str">
            <v>VAR_ncap</v>
          </cell>
          <cell r="C591" t="str">
            <v>-</v>
          </cell>
          <cell r="D591">
            <v>4.7842181591441801E-5</v>
          </cell>
          <cell r="E591">
            <v>2.4157462815226499E-7</v>
          </cell>
          <cell r="F591">
            <v>5.4205294579862295E-7</v>
          </cell>
          <cell r="G591">
            <v>2.89517249485096E-6</v>
          </cell>
          <cell r="H591">
            <v>9.0209376494803997E-3</v>
          </cell>
          <cell r="I591">
            <v>7.2631270716891896E-3</v>
          </cell>
        </row>
        <row r="592">
          <cell r="A592" t="str">
            <v>D-T-ELC-Bus_c_S2</v>
          </cell>
          <cell r="B592" t="str">
            <v>VAR_cap</v>
          </cell>
          <cell r="C592" t="str">
            <v>-</v>
          </cell>
          <cell r="D592">
            <v>4.7842181591441801E-5</v>
          </cell>
          <cell r="E592">
            <v>4.8083756219593998E-5</v>
          </cell>
          <cell r="F592">
            <v>4.8625809165392598E-5</v>
          </cell>
          <cell r="G592">
            <v>3.8652761601910899E-5</v>
          </cell>
          <cell r="H592">
            <v>1.47278112594426E-2</v>
          </cell>
          <cell r="I592">
            <v>1.2788576500622199E-2</v>
          </cell>
        </row>
        <row r="593">
          <cell r="A593" t="str">
            <v>T_C-HY-DSL-S4</v>
          </cell>
          <cell r="B593" t="str">
            <v>VAR_fout</v>
          </cell>
          <cell r="C593" t="str">
            <v>CO2_T</v>
          </cell>
          <cell r="D593">
            <v>2.6123760265922344</v>
          </cell>
          <cell r="E593">
            <v>34.179291317798359</v>
          </cell>
          <cell r="F593">
            <v>32.250244378190089</v>
          </cell>
          <cell r="G593">
            <v>25.968695721662478</v>
          </cell>
          <cell r="H593">
            <v>1.3896826626534136E-3</v>
          </cell>
          <cell r="I593">
            <v>1.041491052506602E-3</v>
          </cell>
        </row>
        <row r="594">
          <cell r="A594" t="str">
            <v>T_C-HY-DSL-S4</v>
          </cell>
          <cell r="B594" t="str">
            <v>VAR_fout</v>
          </cell>
          <cell r="C594" t="str">
            <v>TPCAR</v>
          </cell>
          <cell r="D594">
            <v>4.7894344757837104E-2</v>
          </cell>
          <cell r="E594">
            <v>0.77215853196683981</v>
          </cell>
          <cell r="F594">
            <v>0.72915273030100658</v>
          </cell>
          <cell r="G594">
            <v>0.58913323223244518</v>
          </cell>
          <cell r="H594">
            <v>1.3208885167925776E-5</v>
          </cell>
          <cell r="I594">
            <v>1.0678180273961676E-5</v>
          </cell>
        </row>
        <row r="595">
          <cell r="A595" t="str">
            <v>T_C-HY-DSL-S4</v>
          </cell>
          <cell r="B595" t="str">
            <v>VAR_fin</v>
          </cell>
          <cell r="C595" t="str">
            <v>TDSL</v>
          </cell>
          <cell r="D595">
            <v>3.5639509230453358E-2</v>
          </cell>
          <cell r="E595">
            <v>0.46629319669574892</v>
          </cell>
          <cell r="F595">
            <v>0.43997604881569019</v>
          </cell>
          <cell r="G595">
            <v>0.35427961421094728</v>
          </cell>
          <cell r="H595">
            <v>1.8958835779719152E-5</v>
          </cell>
          <cell r="I595">
            <v>1.420860917471489E-5</v>
          </cell>
        </row>
        <row r="596">
          <cell r="A596" t="str">
            <v>T_C-HY-DSL-S4</v>
          </cell>
          <cell r="B596" t="str">
            <v>VAR_ncap</v>
          </cell>
          <cell r="C596" t="str">
            <v>-</v>
          </cell>
          <cell r="E596">
            <v>5.2732106970958897E-2</v>
          </cell>
          <cell r="F596">
            <v>8.7688731081422E-7</v>
          </cell>
          <cell r="G596">
            <v>3.9399995410111302E-7</v>
          </cell>
          <cell r="H596">
            <v>6.7616092156994697E-7</v>
          </cell>
          <cell r="I596">
            <v>8.6320386849089901E-7</v>
          </cell>
        </row>
        <row r="597">
          <cell r="A597" t="str">
            <v>T_C-HY-DSL-S4</v>
          </cell>
          <cell r="B597" t="str">
            <v>VAR_cap</v>
          </cell>
          <cell r="C597" t="str">
            <v>-</v>
          </cell>
          <cell r="D597">
            <v>3.7730346420031002E-3</v>
          </cell>
          <cell r="E597">
            <v>6.0799919009020029E-2</v>
          </cell>
          <cell r="F597">
            <v>5.7414496913938247E-2</v>
          </cell>
          <cell r="G597">
            <v>4.6389178264536958E-2</v>
          </cell>
          <cell r="H597">
            <v>1.48710533311398E-6</v>
          </cell>
          <cell r="I597">
            <v>1.25864938984278E-6</v>
          </cell>
        </row>
        <row r="598">
          <cell r="A598" t="str">
            <v>D-T-ELC-Bus_c_S3</v>
          </cell>
          <cell r="B598" t="str">
            <v>VAR_fout</v>
          </cell>
          <cell r="C598" t="str">
            <v>T-ELC-Bus_c_BatSTGin_S3</v>
          </cell>
          <cell r="D598">
            <v>1.4505239118836564E-4</v>
          </cell>
          <cell r="E598">
            <v>1.2240839878949954E-4</v>
          </cell>
          <cell r="F598">
            <v>1.6645507974556514E-4</v>
          </cell>
          <cell r="G598">
            <v>9.3449235511815364E-5</v>
          </cell>
          <cell r="H598">
            <v>9.2017757919995204E-3</v>
          </cell>
          <cell r="I598">
            <v>3.1539736595186723E-3</v>
          </cell>
        </row>
        <row r="599">
          <cell r="A599" t="str">
            <v>D-T-ELC-Bus_c_S3</v>
          </cell>
          <cell r="B599" t="str">
            <v>VAR_fin</v>
          </cell>
          <cell r="C599" t="str">
            <v>TELC</v>
          </cell>
          <cell r="D599">
            <v>1.4505239118836564E-4</v>
          </cell>
          <cell r="E599">
            <v>1.2240839878949954E-4</v>
          </cell>
          <cell r="F599">
            <v>1.6645507974556514E-4</v>
          </cell>
          <cell r="G599">
            <v>9.3449235511815364E-5</v>
          </cell>
          <cell r="H599">
            <v>9.2017757919995204E-3</v>
          </cell>
          <cell r="I599">
            <v>3.1539736595186723E-3</v>
          </cell>
        </row>
        <row r="600">
          <cell r="A600" t="str">
            <v>D-T-ELC-Bus_c_S3</v>
          </cell>
          <cell r="B600" t="str">
            <v>VAR_ncap</v>
          </cell>
          <cell r="C600" t="str">
            <v>-</v>
          </cell>
          <cell r="D600">
            <v>1.5537911935149299E-5</v>
          </cell>
          <cell r="E600">
            <v>3.93973071298416E-7</v>
          </cell>
          <cell r="F600">
            <v>2.2749084240596401E-6</v>
          </cell>
          <cell r="G600">
            <v>2.8251856204417599E-6</v>
          </cell>
          <cell r="H600">
            <v>1.1473078298966199E-3</v>
          </cell>
          <cell r="I600">
            <v>5.3276893395919899E-6</v>
          </cell>
        </row>
        <row r="601">
          <cell r="A601" t="str">
            <v>D-T-ELC-Bus_c_S3</v>
          </cell>
          <cell r="B601" t="str">
            <v>VAR_cap</v>
          </cell>
          <cell r="C601" t="str">
            <v>-</v>
          </cell>
          <cell r="D601">
            <v>1.5537911935149299E-5</v>
          </cell>
          <cell r="E601">
            <v>1.5931885006447701E-5</v>
          </cell>
          <cell r="F601">
            <v>1.82067934305074E-5</v>
          </cell>
          <cell r="G601">
            <v>1.23226390280873E-5</v>
          </cell>
          <cell r="H601">
            <v>1.1505903151515699E-3</v>
          </cell>
          <cell r="I601">
            <v>3.9830499763532801E-4</v>
          </cell>
        </row>
        <row r="602">
          <cell r="A602" t="str">
            <v>D-T-ELC-Bus_c_S4</v>
          </cell>
          <cell r="B602" t="str">
            <v>VAR_fout</v>
          </cell>
          <cell r="C602" t="str">
            <v>T-ELC-Bus_c_BatSTGin_S4</v>
          </cell>
          <cell r="G602">
            <v>6.2408205661191825E-6</v>
          </cell>
          <cell r="H602">
            <v>9.6921880577636429E-6</v>
          </cell>
          <cell r="I602">
            <v>2.9178933918079241E-6</v>
          </cell>
        </row>
        <row r="603">
          <cell r="A603" t="str">
            <v>D-T-ELC-Bus_c_S4</v>
          </cell>
          <cell r="B603" t="str">
            <v>VAR_fin</v>
          </cell>
          <cell r="C603" t="str">
            <v>TELC</v>
          </cell>
          <cell r="G603">
            <v>6.2408205661191825E-6</v>
          </cell>
          <cell r="H603">
            <v>9.6921880577636429E-6</v>
          </cell>
          <cell r="I603">
            <v>2.9178933918079241E-6</v>
          </cell>
        </row>
        <row r="604">
          <cell r="A604" t="str">
            <v>D-T-ELC-Bus_c_S4</v>
          </cell>
          <cell r="B604" t="str">
            <v>VAR_ncap</v>
          </cell>
          <cell r="C604" t="str">
            <v>-</v>
          </cell>
          <cell r="D604">
            <v>2.28298989971183E-7</v>
          </cell>
          <cell r="E604">
            <v>1.9605539576263101E-7</v>
          </cell>
          <cell r="F604">
            <v>3.34873182520702E-7</v>
          </cell>
          <cell r="G604">
            <v>1.1987959325941201E-6</v>
          </cell>
          <cell r="H604">
            <v>1.5243653218589499E-6</v>
          </cell>
          <cell r="I604">
            <v>7.3861793886708102E-7</v>
          </cell>
        </row>
        <row r="605">
          <cell r="A605" t="str">
            <v>D-T-ELC-Bus_c_S4</v>
          </cell>
          <cell r="B605" t="str">
            <v>VAR_cap</v>
          </cell>
          <cell r="C605" t="str">
            <v>-</v>
          </cell>
          <cell r="D605">
            <v>2.28298989971183E-7</v>
          </cell>
          <cell r="E605">
            <v>4.2435438573381401E-7</v>
          </cell>
          <cell r="F605">
            <v>7.5922756825451595E-7</v>
          </cell>
          <cell r="G605">
            <v>1.5384152977394101E-6</v>
          </cell>
          <cell r="H605">
            <v>2.0316659420502802E-6</v>
          </cell>
          <cell r="I605">
            <v>1.0061267304588699E-6</v>
          </cell>
        </row>
        <row r="606">
          <cell r="A606" t="str">
            <v>D-TH2O</v>
          </cell>
          <cell r="B606" t="str">
            <v>VAR_fout</v>
          </cell>
          <cell r="C606" t="str">
            <v>TH2O</v>
          </cell>
          <cell r="D606">
            <v>4.045821599421036E-3</v>
          </cell>
          <cell r="E606">
            <v>2.9000113279334098E-2</v>
          </cell>
          <cell r="F606">
            <v>9.8179300730034062E-3</v>
          </cell>
          <cell r="G606">
            <v>0.23941383151445961</v>
          </cell>
          <cell r="H606">
            <v>1.9343007350803363</v>
          </cell>
          <cell r="I606">
            <v>4.4774684053348439</v>
          </cell>
        </row>
        <row r="607">
          <cell r="A607" t="str">
            <v>D-TH2O</v>
          </cell>
          <cell r="B607" t="str">
            <v>VAR_fin</v>
          </cell>
          <cell r="C607" t="str">
            <v>H2</v>
          </cell>
          <cell r="D607">
            <v>4.045821599421036E-3</v>
          </cell>
          <cell r="E607">
            <v>2.9000113279334098E-2</v>
          </cell>
          <cell r="F607">
            <v>9.8179300730034062E-3</v>
          </cell>
          <cell r="G607">
            <v>0.23941383151445961</v>
          </cell>
          <cell r="H607">
            <v>1.9343007350803363</v>
          </cell>
          <cell r="I607">
            <v>4.4774684053348439</v>
          </cell>
        </row>
        <row r="608">
          <cell r="A608" t="str">
            <v>D-TH2O</v>
          </cell>
          <cell r="B608" t="str">
            <v>VAR_ncap</v>
          </cell>
          <cell r="C608" t="str">
            <v>-</v>
          </cell>
          <cell r="D608">
            <v>7.3060232326448301E-4</v>
          </cell>
          <cell r="E608">
            <v>6.0490200615016601E-3</v>
          </cell>
          <cell r="G608">
            <v>5.0583462006767499E-2</v>
          </cell>
          <cell r="H608">
            <v>0.143035298121855</v>
          </cell>
          <cell r="I608">
            <v>0.46710909586527699</v>
          </cell>
        </row>
        <row r="609">
          <cell r="A609" t="str">
            <v>D-TH2O</v>
          </cell>
          <cell r="B609" t="str">
            <v>VAR_cap</v>
          </cell>
          <cell r="C609" t="str">
            <v>-</v>
          </cell>
          <cell r="D609">
            <v>7.3060232326448301E-4</v>
          </cell>
          <cell r="E609">
            <v>6.7796223847661503E-3</v>
          </cell>
          <cell r="F609">
            <v>6.7796223847661503E-3</v>
          </cell>
          <cell r="G609">
            <v>5.7363084391533703E-2</v>
          </cell>
          <cell r="H609">
            <v>0.34258627196827002</v>
          </cell>
          <cell r="I609">
            <v>0.80969536783354701</v>
          </cell>
        </row>
        <row r="610">
          <cell r="A610" t="str">
            <v>TFHGV-HYBDSL</v>
          </cell>
          <cell r="B610" t="str">
            <v>VAR_fout</v>
          </cell>
          <cell r="C610" t="str">
            <v>CO2_T</v>
          </cell>
          <cell r="E610">
            <v>355.59918023666103</v>
          </cell>
          <cell r="F610">
            <v>513.27273102209199</v>
          </cell>
          <cell r="G610">
            <v>785.61025935526197</v>
          </cell>
          <cell r="H610">
            <v>820.12147589416998</v>
          </cell>
          <cell r="I610">
            <v>251.33261864087498</v>
          </cell>
        </row>
        <row r="611">
          <cell r="A611" t="str">
            <v>TFHGV-HYBDSL</v>
          </cell>
          <cell r="B611" t="str">
            <v>VAR_fout</v>
          </cell>
          <cell r="C611" t="str">
            <v>TFHGV</v>
          </cell>
          <cell r="E611">
            <v>0.7930242646858755</v>
          </cell>
          <cell r="F611">
            <v>1.1446531733599905</v>
          </cell>
          <cell r="G611">
            <v>1.7519950350848872</v>
          </cell>
          <cell r="H611">
            <v>1.8289587449026903</v>
          </cell>
          <cell r="I611">
            <v>0.56049866300762374</v>
          </cell>
        </row>
        <row r="612">
          <cell r="A612" t="str">
            <v>TFHGV-HYBDSL</v>
          </cell>
          <cell r="B612" t="str">
            <v>VAR_fin</v>
          </cell>
          <cell r="C612" t="str">
            <v>TDSL</v>
          </cell>
          <cell r="E612">
            <v>4.8512848599817362</v>
          </cell>
          <cell r="F612">
            <v>7.0023564941622345</v>
          </cell>
          <cell r="G612">
            <v>10.717738872513793</v>
          </cell>
          <cell r="H612">
            <v>11.188560380548015</v>
          </cell>
          <cell r="I612">
            <v>3.4288215367104375</v>
          </cell>
        </row>
        <row r="613">
          <cell r="A613" t="str">
            <v>TFHGV-HYBDSL</v>
          </cell>
          <cell r="B613" t="str">
            <v>VAR_ncap</v>
          </cell>
          <cell r="C613" t="str">
            <v>-</v>
          </cell>
          <cell r="E613">
            <v>1.4918586883173201E-2</v>
          </cell>
          <cell r="F613">
            <v>6.6149607006113298E-3</v>
          </cell>
          <cell r="G613">
            <v>2.3590173731771299E-2</v>
          </cell>
          <cell r="H613">
            <v>1.2975648056614299E-2</v>
          </cell>
          <cell r="I613">
            <v>1.0318271694554E-2</v>
          </cell>
        </row>
        <row r="614">
          <cell r="A614" t="str">
            <v>TFHGV-HYBDSL</v>
          </cell>
          <cell r="B614" t="str">
            <v>VAR_cap</v>
          </cell>
          <cell r="C614" t="str">
            <v>-</v>
          </cell>
          <cell r="E614">
            <v>1.4918586883173201E-2</v>
          </cell>
          <cell r="F614">
            <v>2.15335475837845E-2</v>
          </cell>
          <cell r="G614">
            <v>3.2959012641458299E-2</v>
          </cell>
          <cell r="H614">
            <v>3.6292269935829499E-2</v>
          </cell>
          <cell r="I614">
            <v>1.2595350477422201E-2</v>
          </cell>
        </row>
        <row r="615">
          <cell r="A615" t="str">
            <v>D-TKER</v>
          </cell>
          <cell r="B615" t="str">
            <v>VAR_fout</v>
          </cell>
          <cell r="C615" t="str">
            <v>CO2</v>
          </cell>
          <cell r="D615">
            <v>80.763254672403804</v>
          </cell>
          <cell r="E615">
            <v>102.299643522715</v>
          </cell>
          <cell r="F615">
            <v>134.604226798182</v>
          </cell>
          <cell r="G615">
            <v>139.83442771352099</v>
          </cell>
          <cell r="H615">
            <v>24.991803797484899</v>
          </cell>
          <cell r="I615">
            <v>9.4371689367210099E-4</v>
          </cell>
        </row>
        <row r="616">
          <cell r="A616" t="str">
            <v>D-TKER</v>
          </cell>
          <cell r="B616" t="str">
            <v>VAR_fout</v>
          </cell>
          <cell r="C616" t="str">
            <v>TKER</v>
          </cell>
          <cell r="D616">
            <v>1.0930817228491501</v>
          </cell>
          <cell r="E616">
            <v>1.3845636984571901</v>
          </cell>
          <cell r="F616">
            <v>1.82178666186924</v>
          </cell>
          <cell r="G616">
            <v>1.89257426262377</v>
          </cell>
          <cell r="H616">
            <v>0.33824892350948299</v>
          </cell>
          <cell r="I616">
            <v>1.27726364198821E-5</v>
          </cell>
        </row>
        <row r="617">
          <cell r="A617" t="str">
            <v>D-TKER</v>
          </cell>
          <cell r="B617" t="str">
            <v>VAR_fin</v>
          </cell>
          <cell r="C617" t="str">
            <v>KER</v>
          </cell>
          <cell r="D617">
            <v>1.1093853663791744</v>
          </cell>
          <cell r="E617">
            <v>1.4052148835537817</v>
          </cell>
          <cell r="F617">
            <v>1.8489591593156731</v>
          </cell>
          <cell r="G617">
            <v>1.9208025784824261</v>
          </cell>
          <cell r="H617">
            <v>0.34329400820721134</v>
          </cell>
          <cell r="I617">
            <v>1.2963144143847624E-5</v>
          </cell>
        </row>
        <row r="618">
          <cell r="A618" t="str">
            <v>T_B_u-BEVELC-S1</v>
          </cell>
          <cell r="B618" t="str">
            <v>VAR_fout</v>
          </cell>
          <cell r="C618" t="str">
            <v>TPBSu</v>
          </cell>
          <cell r="D618">
            <v>1.3801912878400819E-7</v>
          </cell>
          <cell r="E618">
            <v>9.2363791645625631E-4</v>
          </cell>
          <cell r="F618">
            <v>1.9970867468703424E-3</v>
          </cell>
          <cell r="G618">
            <v>2.2581666059130895E-2</v>
          </cell>
          <cell r="H618">
            <v>4.8007884717506187E-2</v>
          </cell>
          <cell r="I618">
            <v>2.6240700538854023E-2</v>
          </cell>
        </row>
        <row r="619">
          <cell r="A619" t="str">
            <v>T_B_u-BEVELC-S1</v>
          </cell>
          <cell r="B619" t="str">
            <v>VAR_fin</v>
          </cell>
          <cell r="C619" t="str">
            <v>T-ELC-Bus_u_BatSTGout_S1</v>
          </cell>
          <cell r="D619">
            <v>3.6446158151595888E-7</v>
          </cell>
          <cell r="E619">
            <v>2.3536709274874171E-3</v>
          </cell>
          <cell r="F619">
            <v>5.0029691466522263E-3</v>
          </cell>
          <cell r="G619">
            <v>5.0478868707193265E-2</v>
          </cell>
          <cell r="H619">
            <v>0.10171044174584731</v>
          </cell>
          <cell r="I619">
            <v>5.0808471316784232E-2</v>
          </cell>
        </row>
        <row r="620">
          <cell r="A620" t="str">
            <v>T_B_u-BEVELC-S1</v>
          </cell>
          <cell r="B620" t="str">
            <v>VAR_ncap</v>
          </cell>
          <cell r="C620" t="str">
            <v>-</v>
          </cell>
          <cell r="E620">
            <v>2.4882720266770099E-5</v>
          </cell>
          <cell r="F620">
            <v>1.2789482858580901E-5</v>
          </cell>
          <cell r="G620">
            <v>4.2583811977325002E-4</v>
          </cell>
          <cell r="H620">
            <v>3.6156936513514E-5</v>
          </cell>
          <cell r="I620">
            <v>3.2419320298110498E-4</v>
          </cell>
        </row>
        <row r="621">
          <cell r="A621" t="str">
            <v>T_B_u-BEVELC-S1</v>
          </cell>
          <cell r="B621" t="str">
            <v>VAR_cap</v>
          </cell>
          <cell r="C621" t="str">
            <v>-</v>
          </cell>
          <cell r="D621">
            <v>3.02390998593531E-8</v>
          </cell>
          <cell r="E621">
            <v>2.4924211124716655E-5</v>
          </cell>
          <cell r="F621">
            <v>3.7713693983297555E-5</v>
          </cell>
          <cell r="G621">
            <v>4.2588774653073058E-4</v>
          </cell>
          <cell r="H621">
            <v>9.0534924992030402E-4</v>
          </cell>
          <cell r="I621">
            <v>4.948559570956202E-4</v>
          </cell>
        </row>
        <row r="622">
          <cell r="A622" t="str">
            <v>TPSHPH2OEXT</v>
          </cell>
          <cell r="B622" t="str">
            <v>VAR_fout</v>
          </cell>
          <cell r="C622" t="str">
            <v>TPSHP</v>
          </cell>
          <cell r="G622">
            <v>1.61003804247249E-7</v>
          </cell>
          <cell r="H622">
            <v>5.5247731018164099E-6</v>
          </cell>
          <cell r="I622">
            <v>1.2367332735294501E-6</v>
          </cell>
        </row>
        <row r="623">
          <cell r="A623" t="str">
            <v>TPSHPH2OEXT</v>
          </cell>
          <cell r="B623" t="str">
            <v>VAR_fin</v>
          </cell>
          <cell r="C623" t="str">
            <v>TH2O</v>
          </cell>
          <cell r="G623">
            <v>8.9771818125738871E-8</v>
          </cell>
          <cell r="H623">
            <v>3.0804795476794471E-6</v>
          </cell>
          <cell r="I623">
            <v>6.8957249190732611E-7</v>
          </cell>
        </row>
        <row r="624">
          <cell r="A624" t="str">
            <v>TPSHPH2OEXT</v>
          </cell>
          <cell r="B624" t="str">
            <v>VAR_ncap</v>
          </cell>
          <cell r="C624" t="str">
            <v>-</v>
          </cell>
          <cell r="G624">
            <v>3.0486277048430801E-8</v>
          </cell>
          <cell r="H624">
            <v>1.26619587148792E-8</v>
          </cell>
        </row>
        <row r="625">
          <cell r="A625" t="str">
            <v>TPSHPH2OEXT</v>
          </cell>
          <cell r="B625" t="str">
            <v>VAR_cap</v>
          </cell>
          <cell r="C625" t="str">
            <v>-</v>
          </cell>
          <cell r="G625">
            <v>3.0486277048430801E-8</v>
          </cell>
          <cell r="H625">
            <v>1.3880903784213195E-8</v>
          </cell>
          <cell r="I625">
            <v>-1.1478757615728034E-9</v>
          </cell>
        </row>
        <row r="626">
          <cell r="A626" t="str">
            <v>T_B_u-BEVELC-S2</v>
          </cell>
          <cell r="B626" t="str">
            <v>VAR_fout</v>
          </cell>
          <cell r="C626" t="str">
            <v>TPBSu</v>
          </cell>
          <cell r="D626">
            <v>1.2378494166921344E-4</v>
          </cell>
          <cell r="E626">
            <v>8.5604212639291451E-6</v>
          </cell>
          <cell r="F626">
            <v>1.4071223085760498E-5</v>
          </cell>
          <cell r="G626">
            <v>4.5535661362998374E-5</v>
          </cell>
          <cell r="H626">
            <v>3.9617637629459711E-2</v>
          </cell>
          <cell r="I626">
            <v>4.5694526652988558E-2</v>
          </cell>
        </row>
        <row r="627">
          <cell r="A627" t="str">
            <v>T_B_u-BEVELC-S2</v>
          </cell>
          <cell r="B627" t="str">
            <v>VAR_fin</v>
          </cell>
          <cell r="C627" t="str">
            <v>T-ELC-Bus_u_BatSTGout_S2</v>
          </cell>
          <cell r="D627">
            <v>4.498314723228844E-4</v>
          </cell>
          <cell r="E627">
            <v>3.0566767896934311E-5</v>
          </cell>
          <cell r="F627">
            <v>4.9961076014262035E-5</v>
          </cell>
          <cell r="G627">
            <v>1.4057011005677762E-4</v>
          </cell>
          <cell r="H627">
            <v>0.11325242858679287</v>
          </cell>
          <cell r="I627">
            <v>0.12019139261786407</v>
          </cell>
        </row>
        <row r="628">
          <cell r="A628" t="str">
            <v>T_B_u-BEVELC-S2</v>
          </cell>
          <cell r="B628" t="str">
            <v>VAR_ncap</v>
          </cell>
          <cell r="C628" t="str">
            <v>-</v>
          </cell>
          <cell r="E628">
            <v>1.9459464640788099E-8</v>
          </cell>
          <cell r="F628">
            <v>3.7426070127908099E-8</v>
          </cell>
          <cell r="G628">
            <v>8.4637428115468499E-7</v>
          </cell>
          <cell r="H628">
            <v>3.8003674308056598E-4</v>
          </cell>
          <cell r="I628">
            <v>6.0668792294080003E-4</v>
          </cell>
        </row>
        <row r="629">
          <cell r="A629" t="str">
            <v>T_B_u-BEVELC-S2</v>
          </cell>
          <cell r="B629" t="str">
            <v>VAR_cap</v>
          </cell>
          <cell r="C629" t="str">
            <v>-</v>
          </cell>
          <cell r="D629">
            <v>3.3164556962025304E-6</v>
          </cell>
          <cell r="E629">
            <v>2.6833149022748946E-7</v>
          </cell>
          <cell r="F629">
            <v>3.064095425085961E-7</v>
          </cell>
          <cell r="G629">
            <v>8.7879338246955598E-7</v>
          </cell>
          <cell r="H629">
            <v>7.4710817421829736E-4</v>
          </cell>
          <cell r="I629">
            <v>8.6169181236448995E-4</v>
          </cell>
        </row>
        <row r="630">
          <cell r="A630" t="str">
            <v>TFHGV-ICEDSL</v>
          </cell>
          <cell r="B630" t="str">
            <v>VAR_fout</v>
          </cell>
          <cell r="C630" t="str">
            <v>CO2_T</v>
          </cell>
          <cell r="D630">
            <v>380.93389541276531</v>
          </cell>
          <cell r="E630">
            <v>52.41963093048075</v>
          </cell>
          <cell r="F630">
            <v>52.419380439378244</v>
          </cell>
          <cell r="G630">
            <v>15.913639533157385</v>
          </cell>
          <cell r="H630">
            <v>5.2075614689791304E-4</v>
          </cell>
        </row>
        <row r="631">
          <cell r="A631" t="str">
            <v>TFHGV-ICEDSL</v>
          </cell>
          <cell r="B631" t="str">
            <v>VAR_fout</v>
          </cell>
          <cell r="C631" t="str">
            <v>TFHGV</v>
          </cell>
          <cell r="D631">
            <v>0.61689211941479005</v>
          </cell>
          <cell r="E631">
            <v>8.4889419432224264E-2</v>
          </cell>
          <cell r="F631">
            <v>8.4889013781824132E-2</v>
          </cell>
          <cell r="G631">
            <v>2.5770872420200635E-2</v>
          </cell>
          <cell r="H631">
            <v>8.4332312515807558E-7</v>
          </cell>
        </row>
        <row r="632">
          <cell r="A632" t="str">
            <v>TFHGV-ICEDSL</v>
          </cell>
          <cell r="B632" t="str">
            <v>VAR_fin</v>
          </cell>
          <cell r="C632" t="str">
            <v>TDSL</v>
          </cell>
          <cell r="D632">
            <v>5.1969153535165873</v>
          </cell>
          <cell r="E632">
            <v>0.71513821187558912</v>
          </cell>
          <cell r="F632">
            <v>0.71513479453449191</v>
          </cell>
          <cell r="G632">
            <v>0.21710285856967759</v>
          </cell>
          <cell r="H632">
            <v>7.1044494801898083E-6</v>
          </cell>
        </row>
        <row r="633">
          <cell r="A633" t="str">
            <v>TFHGV-ICEDSL</v>
          </cell>
          <cell r="B633" t="str">
            <v>VAR_ncap</v>
          </cell>
          <cell r="C633" t="str">
            <v>-</v>
          </cell>
          <cell r="E633">
            <v>1.1474123795696501E-8</v>
          </cell>
          <cell r="F633">
            <v>7.08302447178579E-8</v>
          </cell>
          <cell r="G633">
            <v>4.8308736866658801E-8</v>
          </cell>
          <cell r="H633">
            <v>2.4517010637469499E-8</v>
          </cell>
        </row>
        <row r="634">
          <cell r="A634" t="str">
            <v>TFHGV-ICEDSL</v>
          </cell>
          <cell r="B634" t="str">
            <v>VAR_cap</v>
          </cell>
          <cell r="C634" t="str">
            <v>-</v>
          </cell>
          <cell r="D634">
            <v>1.160517850121915E-2</v>
          </cell>
          <cell r="E634">
            <v>1.5969878124835954E-3</v>
          </cell>
          <cell r="F634">
            <v>1.5970413216616543E-3</v>
          </cell>
          <cell r="G634">
            <v>4.8484128975479878E-4</v>
          </cell>
          <cell r="H634">
            <v>3.6929905492538601E-8</v>
          </cell>
          <cell r="I634">
            <v>4.3024567634970501E-9</v>
          </cell>
        </row>
        <row r="635">
          <cell r="A635" t="str">
            <v>D-T-ELC-Bus_u_S1</v>
          </cell>
          <cell r="B635" t="str">
            <v>VAR_fout</v>
          </cell>
          <cell r="C635" t="str">
            <v>T-ELC-Bus_u_BatSTGin_S1</v>
          </cell>
          <cell r="D635">
            <v>1.1743803280171731E-6</v>
          </cell>
          <cell r="E635">
            <v>2.3585064519546059E-3</v>
          </cell>
          <cell r="F635">
            <v>5.0089353918062471E-3</v>
          </cell>
          <cell r="G635">
            <v>5.0490519270100495E-2</v>
          </cell>
          <cell r="H635">
            <v>0.10172541087879187</v>
          </cell>
          <cell r="I635">
            <v>5.0816045202117265E-2</v>
          </cell>
        </row>
        <row r="636">
          <cell r="A636" t="str">
            <v>D-T-ELC-Bus_u_S1</v>
          </cell>
          <cell r="B636" t="str">
            <v>VAR_fin</v>
          </cell>
          <cell r="C636" t="str">
            <v>TELC</v>
          </cell>
          <cell r="D636">
            <v>1.1743803280171731E-6</v>
          </cell>
          <cell r="E636">
            <v>2.3585064519546059E-3</v>
          </cell>
          <cell r="F636">
            <v>5.0089353918062471E-3</v>
          </cell>
          <cell r="G636">
            <v>5.0490519270100495E-2</v>
          </cell>
          <cell r="H636">
            <v>0.10172541087879187</v>
          </cell>
          <cell r="I636">
            <v>5.0816045202117265E-2</v>
          </cell>
        </row>
        <row r="637">
          <cell r="A637" t="str">
            <v>D-T-ELC-Bus_u_S1</v>
          </cell>
          <cell r="B637" t="str">
            <v>VAR_ncap</v>
          </cell>
          <cell r="C637" t="str">
            <v>-</v>
          </cell>
          <cell r="D637">
            <v>1.37779659796724E-5</v>
          </cell>
          <cell r="E637">
            <v>2.35517227648316E-4</v>
          </cell>
          <cell r="F637">
            <v>2.8014026137254401E-4</v>
          </cell>
          <cell r="G637">
            <v>4.8422664789021901E-3</v>
          </cell>
          <cell r="H637">
            <v>5.1524059939846199E-6</v>
          </cell>
          <cell r="I637">
            <v>3.6331209356782E-3</v>
          </cell>
        </row>
        <row r="638">
          <cell r="A638" t="str">
            <v>D-T-ELC-Bus_u_S1</v>
          </cell>
          <cell r="B638" t="str">
            <v>VAR_cap</v>
          </cell>
          <cell r="C638" t="str">
            <v>-</v>
          </cell>
          <cell r="D638">
            <v>1.37779659796724E-5</v>
          </cell>
          <cell r="E638">
            <v>2.4929519362798801E-4</v>
          </cell>
          <cell r="F638">
            <v>5.2943545500053202E-4</v>
          </cell>
          <cell r="G638">
            <v>5.3368003049351796E-3</v>
          </cell>
          <cell r="H638">
            <v>1.07523737309976E-2</v>
          </cell>
          <cell r="I638">
            <v>5.3712084981127201E-3</v>
          </cell>
        </row>
        <row r="639">
          <cell r="A639" t="str">
            <v>T-Plg-DSL-mix_S1</v>
          </cell>
          <cell r="B639" t="str">
            <v>VAR_fout</v>
          </cell>
          <cell r="C639" t="str">
            <v>CO2_T</v>
          </cell>
          <cell r="D639">
            <v>1.3235461830754199E-3</v>
          </cell>
          <cell r="E639">
            <v>1.618703995993105E-3</v>
          </cell>
          <cell r="F639">
            <v>1.8422160888947161E-3</v>
          </cell>
          <cell r="G639">
            <v>2.1212719763026599E-3</v>
          </cell>
          <cell r="H639">
            <v>1.588811927446517E-3</v>
          </cell>
          <cell r="I639">
            <v>4.9335717244991441E-4</v>
          </cell>
        </row>
        <row r="640">
          <cell r="A640" t="str">
            <v>T-Plg-DSL-mix_S1</v>
          </cell>
          <cell r="B640" t="str">
            <v>VAR_fout</v>
          </cell>
          <cell r="C640" t="str">
            <v>T-PEVmix-ELC_DSL_S1</v>
          </cell>
          <cell r="D640">
            <v>1.3152504480768465E-5</v>
          </cell>
          <cell r="E640">
            <v>1.6085582681268594E-5</v>
          </cell>
          <cell r="F640">
            <v>1.8306694298668678E-5</v>
          </cell>
          <cell r="G640">
            <v>2.1079762482046678E-5</v>
          </cell>
          <cell r="H640">
            <v>1.6803923352161988E-5</v>
          </cell>
          <cell r="I640">
            <v>5.8617836768691702E-6</v>
          </cell>
        </row>
        <row r="641">
          <cell r="A641" t="str">
            <v>T-Plg-DSL-mix_S1</v>
          </cell>
          <cell r="B641" t="str">
            <v>VAR_fin</v>
          </cell>
          <cell r="C641" t="str">
            <v>TDSL</v>
          </cell>
          <cell r="D641">
            <v>1.8056564571288158E-5</v>
          </cell>
          <cell r="E641">
            <v>2.2083274160888218E-5</v>
          </cell>
          <cell r="F641">
            <v>2.513255237236993E-5</v>
          </cell>
          <cell r="G641">
            <v>2.8939590399763473E-5</v>
          </cell>
          <cell r="H641">
            <v>2.1675469678670104E-5</v>
          </cell>
          <cell r="I641">
            <v>6.730657195769629E-6</v>
          </cell>
        </row>
        <row r="642">
          <cell r="A642" t="str">
            <v>T_B_u-BEVELC-S3</v>
          </cell>
          <cell r="B642" t="str">
            <v>VAR_fout</v>
          </cell>
          <cell r="C642" t="str">
            <v>TPBSu</v>
          </cell>
          <cell r="D642">
            <v>5.3828069430952809E-4</v>
          </cell>
          <cell r="F642">
            <v>4.3367810791972607E-7</v>
          </cell>
          <cell r="G642">
            <v>2.2896624589281559E-5</v>
          </cell>
          <cell r="H642">
            <v>6.6619287205241462E-2</v>
          </cell>
          <cell r="I642">
            <v>0.19031117485991805</v>
          </cell>
        </row>
        <row r="643">
          <cell r="A643" t="str">
            <v>T_B_u-BEVELC-S3</v>
          </cell>
          <cell r="B643" t="str">
            <v>VAR_fin</v>
          </cell>
          <cell r="C643" t="str">
            <v>T-ELC-Bus_u_BatSTGout_S3</v>
          </cell>
          <cell r="D643">
            <v>2.9419002927295193E-3</v>
          </cell>
          <cell r="F643">
            <v>2.2068449303789802E-6</v>
          </cell>
          <cell r="G643">
            <v>1.0616061345275443E-4</v>
          </cell>
          <cell r="H643">
            <v>0.27866718425812081</v>
          </cell>
          <cell r="I643">
            <v>0.73437022918520767</v>
          </cell>
        </row>
        <row r="644">
          <cell r="A644" t="str">
            <v>T_B_u-BEVELC-S3</v>
          </cell>
          <cell r="B644" t="str">
            <v>VAR_ncap</v>
          </cell>
          <cell r="C644" t="str">
            <v>-</v>
          </cell>
          <cell r="F644">
            <v>1.7447434896180701E-8</v>
          </cell>
          <cell r="G644">
            <v>4.2485380187599901E-7</v>
          </cell>
          <cell r="H644">
            <v>1.25477473505848E-3</v>
          </cell>
          <cell r="I644">
            <v>3.1590244183479399E-3</v>
          </cell>
        </row>
        <row r="645">
          <cell r="A645" t="str">
            <v>T_B_u-BEVELC-S3</v>
          </cell>
          <cell r="B645" t="str">
            <v>VAR_cap</v>
          </cell>
          <cell r="C645" t="str">
            <v>-</v>
          </cell>
          <cell r="D645">
            <v>1.4493670886075899E-5</v>
          </cell>
          <cell r="E645">
            <v>1.6307463100601071E-8</v>
          </cell>
          <cell r="F645">
            <v>3.4479527743075118E-8</v>
          </cell>
          <cell r="G645">
            <v>4.5146440605778172E-7</v>
          </cell>
          <cell r="H645">
            <v>1.25628076926238E-3</v>
          </cell>
          <cell r="I645">
            <v>3.5888114249834802E-3</v>
          </cell>
        </row>
        <row r="646">
          <cell r="A646" t="str">
            <v>D-T-ELC-Bus_u_S2</v>
          </cell>
          <cell r="B646" t="str">
            <v>VAR_fout</v>
          </cell>
          <cell r="C646" t="str">
            <v>T-ELC-Bus_u_BatSTGin_S2</v>
          </cell>
          <cell r="D646">
            <v>4.5033109128389358E-4</v>
          </cell>
          <cell r="E646">
            <v>3.6413653866512975E-5</v>
          </cell>
          <cell r="F646">
            <v>5.8322884598058637E-5</v>
          </cell>
          <cell r="G646">
            <v>1.4746985632230431E-4</v>
          </cell>
          <cell r="H646">
            <v>0.11326780426318178</v>
          </cell>
          <cell r="I646">
            <v>0.12020525156440519</v>
          </cell>
        </row>
        <row r="647">
          <cell r="A647" t="str">
            <v>D-T-ELC-Bus_u_S2</v>
          </cell>
          <cell r="B647" t="str">
            <v>VAR_fin</v>
          </cell>
          <cell r="C647" t="str">
            <v>TELC</v>
          </cell>
          <cell r="D647">
            <v>4.5033109128389358E-4</v>
          </cell>
          <cell r="E647">
            <v>3.6413653866512975E-5</v>
          </cell>
          <cell r="F647">
            <v>5.8322884598058637E-5</v>
          </cell>
          <cell r="G647">
            <v>1.4746985632230431E-4</v>
          </cell>
          <cell r="H647">
            <v>0.11326780426318178</v>
          </cell>
          <cell r="I647">
            <v>0.12020525156440519</v>
          </cell>
        </row>
        <row r="648">
          <cell r="A648" t="str">
            <v>D-T-ELC-Bus_u_S2</v>
          </cell>
          <cell r="B648" t="str">
            <v>VAR_ncap</v>
          </cell>
          <cell r="C648" t="str">
            <v>-</v>
          </cell>
          <cell r="D648">
            <v>4.7593555404019003E-5</v>
          </cell>
          <cell r="E648">
            <v>1.3852260566793699E-6</v>
          </cell>
          <cell r="F648">
            <v>1.9383743852998798E-6</v>
          </cell>
          <cell r="G648">
            <v>3.2741894282884301E-6</v>
          </cell>
          <cell r="H648">
            <v>5.9463477388361601E-3</v>
          </cell>
          <cell r="I648">
            <v>8.6660873731225305E-3</v>
          </cell>
        </row>
        <row r="649">
          <cell r="A649" t="str">
            <v>D-T-ELC-Bus_u_S2</v>
          </cell>
          <cell r="B649" t="str">
            <v>VAR_cap</v>
          </cell>
          <cell r="C649" t="str">
            <v>-</v>
          </cell>
          <cell r="D649">
            <v>4.7593555404019003E-5</v>
          </cell>
          <cell r="E649">
            <v>4.8978781460698402E-5</v>
          </cell>
          <cell r="F649">
            <v>5.0917155845998298E-5</v>
          </cell>
          <cell r="G649">
            <v>4.1238303842513297E-5</v>
          </cell>
          <cell r="H649">
            <v>1.19723171234257E-2</v>
          </cell>
          <cell r="I649">
            <v>1.2705599598765001E-2</v>
          </cell>
        </row>
        <row r="650">
          <cell r="A650" t="str">
            <v>T-Plg-DSL-mix_S2</v>
          </cell>
          <cell r="B650" t="str">
            <v>VAR_fout</v>
          </cell>
          <cell r="C650" t="str">
            <v>CO2_T</v>
          </cell>
          <cell r="D650">
            <v>2.5795714657349202E-4</v>
          </cell>
          <cell r="E650">
            <v>2.1368552016838701E-3</v>
          </cell>
          <cell r="F650">
            <v>4.2122982343276603E-3</v>
          </cell>
          <cell r="G650">
            <v>5.935012398438356E-3</v>
          </cell>
          <cell r="H650">
            <v>8.4900065230822663E-3</v>
          </cell>
          <cell r="I650">
            <v>2.8483500865686966E-3</v>
          </cell>
        </row>
        <row r="651">
          <cell r="A651" t="str">
            <v>T-Plg-DSL-mix_S2</v>
          </cell>
          <cell r="B651" t="str">
            <v>VAR_fout</v>
          </cell>
          <cell r="C651" t="str">
            <v>T-PEVmix-ELC_DSL_S2</v>
          </cell>
          <cell r="D651">
            <v>2.0957665300475396E-6</v>
          </cell>
          <cell r="E651">
            <v>1.7360827838011249E-5</v>
          </cell>
          <cell r="F651">
            <v>3.4222714010240288E-5</v>
          </cell>
          <cell r="G651">
            <v>4.8218863114616465E-5</v>
          </cell>
          <cell r="H651">
            <v>7.4329665521524567E-5</v>
          </cell>
          <cell r="I651">
            <v>2.8568487619115416E-5</v>
          </cell>
        </row>
        <row r="652">
          <cell r="A652" t="str">
            <v>T-Plg-DSL-mix_S2</v>
          </cell>
          <cell r="B652" t="str">
            <v>VAR_fin</v>
          </cell>
          <cell r="C652" t="str">
            <v>TDSL</v>
          </cell>
          <cell r="D652">
            <v>3.5191970883150388E-6</v>
          </cell>
          <cell r="E652">
            <v>2.9152185561853563E-5</v>
          </cell>
          <cell r="F652">
            <v>5.7466551627935355E-5</v>
          </cell>
          <cell r="G652">
            <v>8.0968791247453776E-5</v>
          </cell>
          <cell r="H652">
            <v>1.1582546416210466E-4</v>
          </cell>
          <cell r="I652">
            <v>3.8858800635316359E-5</v>
          </cell>
        </row>
        <row r="653">
          <cell r="A653" t="str">
            <v>T_B_u-BEVELC-S4</v>
          </cell>
          <cell r="B653" t="str">
            <v>VAR_cap</v>
          </cell>
          <cell r="C653" t="str">
            <v>-</v>
          </cell>
          <cell r="D653">
            <v>1.7721518987341798E-7</v>
          </cell>
          <cell r="E653">
            <v>3.3473980309423397E-7</v>
          </cell>
          <cell r="F653">
            <v>2.1008428190159918E-9</v>
          </cell>
          <cell r="G653">
            <v>2.7781860325280106E-10</v>
          </cell>
        </row>
        <row r="654">
          <cell r="A654" t="str">
            <v>D-TBDS1</v>
          </cell>
          <cell r="B654" t="str">
            <v>VAR_fout</v>
          </cell>
          <cell r="C654" t="str">
            <v>TDSL</v>
          </cell>
          <cell r="D654">
            <v>2.9709285743637874</v>
          </cell>
          <cell r="E654">
            <v>2.9709284620297085</v>
          </cell>
          <cell r="F654">
            <v>3.0535515830619491</v>
          </cell>
          <cell r="G654">
            <v>2.631922591270198</v>
          </cell>
          <cell r="H654">
            <v>1.1885441493258249</v>
          </cell>
          <cell r="I654">
            <v>27.378769038308803</v>
          </cell>
        </row>
        <row r="655">
          <cell r="A655" t="str">
            <v>D-TBDS1</v>
          </cell>
          <cell r="B655" t="str">
            <v>VAR_fout</v>
          </cell>
          <cell r="C655" t="str">
            <v>TKER</v>
          </cell>
          <cell r="G655">
            <v>0.65791736289597602</v>
          </cell>
          <cell r="H655">
            <v>1.78238454320957</v>
          </cell>
          <cell r="I655">
            <v>1.69076247109616</v>
          </cell>
        </row>
        <row r="656">
          <cell r="A656" t="str">
            <v>D-TBDS1</v>
          </cell>
          <cell r="B656" t="str">
            <v>VAR_fin</v>
          </cell>
          <cell r="C656" t="str">
            <v>BDS</v>
          </cell>
          <cell r="D656">
            <v>3.015240869974527</v>
          </cell>
          <cell r="E656">
            <v>3.0152407559649532</v>
          </cell>
          <cell r="F656">
            <v>3.0990962257635188</v>
          </cell>
          <cell r="G656">
            <v>3.3389088775687248</v>
          </cell>
          <cell r="H656">
            <v>3.0152409236214308</v>
          </cell>
          <cell r="I656">
            <v>29.503112282275602</v>
          </cell>
        </row>
        <row r="657">
          <cell r="A657" t="str">
            <v>D-T-ELC-Bus_u_S3</v>
          </cell>
          <cell r="B657" t="str">
            <v>VAR_fout</v>
          </cell>
          <cell r="C657" t="str">
            <v>T-ELC-Bus_u_BatSTGin_S3</v>
          </cell>
          <cell r="D657">
            <v>2.9413722009015053E-3</v>
          </cell>
          <cell r="E657">
            <v>3.2977879704898173E-6</v>
          </cell>
          <cell r="F657">
            <v>9.0658282737731565E-6</v>
          </cell>
          <cell r="G657">
            <v>1.3595117498263883E-4</v>
          </cell>
          <cell r="H657">
            <v>0.2786965065896701</v>
          </cell>
          <cell r="I657">
            <v>0.73444468985517275</v>
          </cell>
        </row>
        <row r="658">
          <cell r="A658" t="str">
            <v>D-T-ELC-Bus_u_S3</v>
          </cell>
          <cell r="B658" t="str">
            <v>VAR_fin</v>
          </cell>
          <cell r="C658" t="str">
            <v>TELC</v>
          </cell>
          <cell r="D658">
            <v>2.9413722009015053E-3</v>
          </cell>
          <cell r="E658">
            <v>3.2977879704898173E-6</v>
          </cell>
          <cell r="F658">
            <v>9.0658282737731565E-6</v>
          </cell>
          <cell r="G658">
            <v>1.3595117498263883E-4</v>
          </cell>
          <cell r="H658">
            <v>0.2786965065896701</v>
          </cell>
          <cell r="I658">
            <v>0.73444468985517275</v>
          </cell>
        </row>
        <row r="659">
          <cell r="A659" t="str">
            <v>D-T-ELC-Bus_u_S3</v>
          </cell>
          <cell r="B659" t="str">
            <v>VAR_ncap</v>
          </cell>
          <cell r="C659" t="str">
            <v>-</v>
          </cell>
          <cell r="D659">
            <v>3.1088313814567299E-4</v>
          </cell>
          <cell r="E659">
            <v>1.12774032805598E-6</v>
          </cell>
          <cell r="F659">
            <v>8.7767288913586397E-7</v>
          </cell>
          <cell r="G659">
            <v>1.58766096714401E-6</v>
          </cell>
          <cell r="H659">
            <v>2.9413661781419999E-2</v>
          </cell>
          <cell r="I659">
            <v>6.7555477719780294E-2</v>
          </cell>
        </row>
        <row r="660">
          <cell r="A660" t="str">
            <v>D-T-ELC-Bus_u_S3</v>
          </cell>
          <cell r="B660" t="str">
            <v>VAR_cap</v>
          </cell>
          <cell r="C660" t="str">
            <v>-</v>
          </cell>
          <cell r="D660">
            <v>3.1088313814567299E-4</v>
          </cell>
          <cell r="E660">
            <v>3.1201087847372902E-4</v>
          </cell>
          <cell r="F660">
            <v>3.1288855136286502E-4</v>
          </cell>
          <cell r="G660">
            <v>1.4297206211025501E-4</v>
          </cell>
          <cell r="H660">
            <v>2.9458012797454899E-2</v>
          </cell>
          <cell r="I660">
            <v>7.7630281824468697E-2</v>
          </cell>
        </row>
        <row r="661">
          <cell r="A661" t="str">
            <v>T-Plg-DSL-mix_S3</v>
          </cell>
          <cell r="B661" t="str">
            <v>VAR_fout</v>
          </cell>
          <cell r="C661" t="str">
            <v>CO2_T</v>
          </cell>
          <cell r="D661">
            <v>6.9552742730569902E-3</v>
          </cell>
          <cell r="E661">
            <v>1.5494573737470881E-2</v>
          </cell>
          <cell r="F661">
            <v>62.937089058447498</v>
          </cell>
          <cell r="G661">
            <v>328.62701112455341</v>
          </cell>
          <cell r="H661">
            <v>484.49829056733586</v>
          </cell>
          <cell r="I661">
            <v>225.38436603080299</v>
          </cell>
        </row>
        <row r="662">
          <cell r="A662" t="str">
            <v>T-Plg-DSL-mix_S3</v>
          </cell>
          <cell r="B662" t="str">
            <v>VAR_fout</v>
          </cell>
          <cell r="C662" t="str">
            <v>T-PEVmix-ELC_DSL_S3</v>
          </cell>
          <cell r="D662">
            <v>5.2528254635926544E-5</v>
          </cell>
          <cell r="E662">
            <v>1.1701952831822452E-4</v>
          </cell>
          <cell r="F662">
            <v>0.47531920529901311</v>
          </cell>
          <cell r="G662">
            <v>2.4818867873354069</v>
          </cell>
          <cell r="H662">
            <v>3.9563626096570053</v>
          </cell>
          <cell r="I662">
            <v>2.1319419817344833</v>
          </cell>
        </row>
        <row r="663">
          <cell r="A663" t="str">
            <v>T-Plg-DSL-mix_S3</v>
          </cell>
          <cell r="B663" t="str">
            <v>VAR_fin</v>
          </cell>
          <cell r="C663" t="str">
            <v>TDSL</v>
          </cell>
          <cell r="D663">
            <v>9.4887779987134859E-5</v>
          </cell>
          <cell r="E663">
            <v>2.1138572629564642E-4</v>
          </cell>
          <cell r="F663">
            <v>0.85862331594062002</v>
          </cell>
          <cell r="G663">
            <v>4.4833152950143695</v>
          </cell>
          <cell r="H663">
            <v>6.6097993256116974</v>
          </cell>
          <cell r="I663">
            <v>3.0748208189741235</v>
          </cell>
        </row>
        <row r="664">
          <cell r="A664" t="str">
            <v>D-T-ELC-Bus_u_S4</v>
          </cell>
          <cell r="B664" t="str">
            <v>VAR_fout</v>
          </cell>
          <cell r="C664" t="str">
            <v>T-ELC-Bus_u_BatSTGin_S4</v>
          </cell>
          <cell r="D664">
            <v>6.1004816588215851E-6</v>
          </cell>
          <cell r="F664">
            <v>3.5301015009937999E-6</v>
          </cell>
          <cell r="H664">
            <v>3.9688826270062299E-6</v>
          </cell>
          <cell r="I664">
            <v>9.0126102873978643E-7</v>
          </cell>
        </row>
        <row r="665">
          <cell r="A665" t="str">
            <v>D-T-ELC-Bus_u_S4</v>
          </cell>
          <cell r="B665" t="str">
            <v>VAR_fin</v>
          </cell>
          <cell r="C665" t="str">
            <v>TELC</v>
          </cell>
          <cell r="D665">
            <v>6.1004816588215851E-6</v>
          </cell>
          <cell r="F665">
            <v>3.5301015009937999E-6</v>
          </cell>
          <cell r="H665">
            <v>3.9688826270062299E-6</v>
          </cell>
          <cell r="I665">
            <v>9.0126102873978643E-7</v>
          </cell>
        </row>
        <row r="666">
          <cell r="A666" t="str">
            <v>D-T-ELC-Bus_u_S4</v>
          </cell>
          <cell r="B666" t="str">
            <v>VAR_ncap</v>
          </cell>
          <cell r="C666" t="str">
            <v>-</v>
          </cell>
          <cell r="D666">
            <v>1.3950290600867101E-6</v>
          </cell>
          <cell r="E666">
            <v>1.02895350082528E-6</v>
          </cell>
          <cell r="F666">
            <v>7.5879283732966205E-7</v>
          </cell>
          <cell r="G666">
            <v>9.2949543221722298E-7</v>
          </cell>
          <cell r="H666">
            <v>1.2151662623239201E-6</v>
          </cell>
          <cell r="I666">
            <v>4.49643803800563E-7</v>
          </cell>
        </row>
        <row r="667">
          <cell r="A667" t="str">
            <v>D-T-ELC-Bus_u_S4</v>
          </cell>
          <cell r="B667" t="str">
            <v>VAR_cap</v>
          </cell>
          <cell r="C667" t="str">
            <v>-</v>
          </cell>
          <cell r="D667">
            <v>1.3950290600867101E-6</v>
          </cell>
          <cell r="E667">
            <v>2.4239825609119901E-6</v>
          </cell>
          <cell r="F667">
            <v>3.1827753982416502E-6</v>
          </cell>
          <cell r="G667">
            <v>2.0114032280098402E-6</v>
          </cell>
          <cell r="H667">
            <v>1.9207380282309901E-6</v>
          </cell>
          <cell r="I667">
            <v>6.6289167408205104E-7</v>
          </cell>
        </row>
        <row r="668">
          <cell r="A668" t="str">
            <v>T_C-FC-H2O-S1</v>
          </cell>
          <cell r="B668" t="str">
            <v>VAR_fout</v>
          </cell>
          <cell r="C668" t="str">
            <v>TPCAR</v>
          </cell>
          <cell r="E668">
            <v>1.06897500874414E-8</v>
          </cell>
          <cell r="F668">
            <v>1.4498076466177615E-6</v>
          </cell>
          <cell r="G668">
            <v>2.8895259774386095E-6</v>
          </cell>
          <cell r="H668">
            <v>0.44833464006126023</v>
          </cell>
          <cell r="I668">
            <v>0.22718846645249458</v>
          </cell>
        </row>
        <row r="669">
          <cell r="A669" t="str">
            <v>T_C-FC-H2O-S1</v>
          </cell>
          <cell r="B669" t="str">
            <v>VAR_fin</v>
          </cell>
          <cell r="C669" t="str">
            <v>TH2O</v>
          </cell>
          <cell r="E669">
            <v>9.7483547307789005E-9</v>
          </cell>
          <cell r="F669">
            <v>1.3221299950903181E-6</v>
          </cell>
          <cell r="G669">
            <v>2.635059192353312E-6</v>
          </cell>
          <cell r="H669">
            <v>0.36450711792333979</v>
          </cell>
          <cell r="I669">
            <v>0.18430653690092019</v>
          </cell>
        </row>
        <row r="670">
          <cell r="A670" t="str">
            <v>T_C-FC-H2O-S1</v>
          </cell>
          <cell r="B670" t="str">
            <v>VAR_ncap</v>
          </cell>
          <cell r="C670" t="str">
            <v>-</v>
          </cell>
          <cell r="E670">
            <v>6.6975291858405502E-8</v>
          </cell>
          <cell r="F670">
            <v>3.2544469491112498E-7</v>
          </cell>
          <cell r="G670">
            <v>3.8968317436167E-7</v>
          </cell>
          <cell r="H670">
            <v>6.4847460203513396E-2</v>
          </cell>
          <cell r="I670">
            <v>4.6138566221311102E-7</v>
          </cell>
        </row>
        <row r="671">
          <cell r="A671" t="str">
            <v>T_C-FC-H2O-S1</v>
          </cell>
          <cell r="B671" t="str">
            <v>VAR_cap</v>
          </cell>
          <cell r="C671" t="str">
            <v>-</v>
          </cell>
          <cell r="E671">
            <v>6.6083639690118901E-8</v>
          </cell>
          <cell r="F671">
            <v>3.8341309979767399E-7</v>
          </cell>
          <cell r="G671">
            <v>7.0179572346195699E-7</v>
          </cell>
          <cell r="H671">
            <v>6.8136013166418097E-2</v>
          </cell>
          <cell r="I671">
            <v>3.4527216929712702E-2</v>
          </cell>
        </row>
        <row r="672">
          <cell r="A672" t="str">
            <v>T_B_c-ICEDSL-S1</v>
          </cell>
          <cell r="B672" t="str">
            <v>VAR_fout</v>
          </cell>
          <cell r="C672" t="str">
            <v>CO2_T</v>
          </cell>
          <cell r="D672">
            <v>8.3238984455673091</v>
          </cell>
          <cell r="E672">
            <v>9.7580228807730478</v>
          </cell>
          <cell r="F672">
            <v>14.729446029804318</v>
          </cell>
          <cell r="G672">
            <v>24.121965972197032</v>
          </cell>
          <cell r="H672">
            <v>24.270286583047948</v>
          </cell>
          <cell r="I672">
            <v>2.1695436253007749E-4</v>
          </cell>
        </row>
        <row r="673">
          <cell r="A673" t="str">
            <v>T_B_c-ICEDSL-S1</v>
          </cell>
          <cell r="B673" t="str">
            <v>VAR_fout</v>
          </cell>
          <cell r="C673" t="str">
            <v>TPBSc</v>
          </cell>
          <cell r="D673">
            <v>1.4072176884208769E-2</v>
          </cell>
          <cell r="E673">
            <v>1.6541838129241045E-2</v>
          </cell>
          <cell r="F673">
            <v>2.5727199591878063E-2</v>
          </cell>
          <cell r="G673">
            <v>4.5975669154879273E-2</v>
          </cell>
          <cell r="H673">
            <v>5.2102051694819088E-2</v>
          </cell>
          <cell r="I673">
            <v>4.8118337389004483E-7</v>
          </cell>
        </row>
        <row r="674">
          <cell r="A674" t="str">
            <v>T_B_c-ICEDSL-S1</v>
          </cell>
          <cell r="B674" t="str">
            <v>VAR_fin</v>
          </cell>
          <cell r="C674" t="str">
            <v>TDSL</v>
          </cell>
          <cell r="D674">
            <v>0.1135593239504409</v>
          </cell>
          <cell r="E674">
            <v>0.13312445949212887</v>
          </cell>
          <cell r="F674">
            <v>0.20094742196185977</v>
          </cell>
          <cell r="G674">
            <v>0.32908548393174658</v>
          </cell>
          <cell r="H674">
            <v>0.33110895747678021</v>
          </cell>
          <cell r="I674">
            <v>2.9598139499328371E-6</v>
          </cell>
        </row>
        <row r="675">
          <cell r="A675" t="str">
            <v>T_B_c-ICEDSL-S1</v>
          </cell>
          <cell r="B675" t="str">
            <v>VAR_ncap</v>
          </cell>
          <cell r="C675" t="str">
            <v>-</v>
          </cell>
          <cell r="E675">
            <v>1.96410113661269E-7</v>
          </cell>
          <cell r="F675">
            <v>1.9996621297008101E-4</v>
          </cell>
          <cell r="G675">
            <v>6.0776705294097305E-4</v>
          </cell>
          <cell r="H675">
            <v>4.6136026603751002E-4</v>
          </cell>
          <cell r="I675">
            <v>1.5529531710845501E-8</v>
          </cell>
        </row>
        <row r="676">
          <cell r="A676" t="str">
            <v>T_B_c-ICEDSL-S1</v>
          </cell>
          <cell r="B676" t="str">
            <v>VAR_cap</v>
          </cell>
          <cell r="C676" t="str">
            <v>-</v>
          </cell>
          <cell r="D676">
            <v>3.05805288461538E-4</v>
          </cell>
          <cell r="E676">
            <v>3.5954737165212226E-4</v>
          </cell>
          <cell r="F676">
            <v>5.5951358462220295E-4</v>
          </cell>
          <cell r="G676">
            <v>1.0318549689685851E-3</v>
          </cell>
          <cell r="H676">
            <v>1.1605613754619201E-3</v>
          </cell>
          <cell r="I676">
            <v>6.026770265997591E-8</v>
          </cell>
        </row>
        <row r="677">
          <cell r="A677" t="str">
            <v>T-Plg-DSL-mix_S4</v>
          </cell>
          <cell r="B677" t="str">
            <v>VAR_fout</v>
          </cell>
          <cell r="C677" t="str">
            <v>CO2_T</v>
          </cell>
          <cell r="D677">
            <v>0.45456618347205202</v>
          </cell>
          <cell r="E677">
            <v>79.489865430908594</v>
          </cell>
          <cell r="F677">
            <v>61.541417680056867</v>
          </cell>
          <cell r="G677">
            <v>43.561768436834228</v>
          </cell>
          <cell r="H677">
            <v>8.8928168416287298E-3</v>
          </cell>
          <cell r="I677">
            <v>2.9324362498045855E-3</v>
          </cell>
        </row>
        <row r="678">
          <cell r="A678" t="str">
            <v>T-Plg-DSL-mix_S4</v>
          </cell>
          <cell r="B678" t="str">
            <v>VAR_fout</v>
          </cell>
          <cell r="C678" t="str">
            <v>T-PEVmix-ELC_DSL_S4</v>
          </cell>
          <cell r="D678">
            <v>3.2681539501968728E-3</v>
          </cell>
          <cell r="E678">
            <v>0.57150119642503983</v>
          </cell>
          <cell r="F678">
            <v>0.4424588423088433</v>
          </cell>
          <cell r="G678">
            <v>0.31319216160555924</v>
          </cell>
          <cell r="H678">
            <v>6.8449825673047912E-5</v>
          </cell>
          <cell r="I678">
            <v>2.5727852963000323E-5</v>
          </cell>
        </row>
        <row r="679">
          <cell r="A679" t="str">
            <v>T-Plg-DSL-mix_S4</v>
          </cell>
          <cell r="B679" t="str">
            <v>VAR_fin</v>
          </cell>
          <cell r="C679" t="str">
            <v>TDSL</v>
          </cell>
          <cell r="D679">
            <v>6.2014486148983927E-3</v>
          </cell>
          <cell r="E679">
            <v>1.0844456402579628</v>
          </cell>
          <cell r="F679">
            <v>0.83958277871837361</v>
          </cell>
          <cell r="G679">
            <v>0.59429424879719261</v>
          </cell>
          <cell r="H679">
            <v>1.2132083003586271E-4</v>
          </cell>
          <cell r="I679">
            <v>4.0005951566228964E-5</v>
          </cell>
        </row>
        <row r="680">
          <cell r="A680" t="str">
            <v>T_C-FC-H2O-S2</v>
          </cell>
          <cell r="B680" t="str">
            <v>VAR_fout</v>
          </cell>
          <cell r="C680" t="str">
            <v>TPCAR</v>
          </cell>
          <cell r="D680">
            <v>8.0096094394946558E-5</v>
          </cell>
          <cell r="E680">
            <v>8.3538109682586132E-5</v>
          </cell>
          <cell r="F680">
            <v>8.0025031027654926E-5</v>
          </cell>
          <cell r="G680">
            <v>7.0880033065113025E-5</v>
          </cell>
          <cell r="H680">
            <v>1.1171359866715878E-5</v>
          </cell>
          <cell r="I680">
            <v>5.2182082727584246E-6</v>
          </cell>
        </row>
        <row r="681">
          <cell r="A681" t="str">
            <v>T_C-FC-H2O-S2</v>
          </cell>
          <cell r="B681" t="str">
            <v>VAR_fin</v>
          </cell>
          <cell r="C681" t="str">
            <v>TH2O</v>
          </cell>
          <cell r="D681">
            <v>8.9844672825046656E-5</v>
          </cell>
          <cell r="E681">
            <v>9.3705619350752648E-5</v>
          </cell>
          <cell r="F681">
            <v>8.9764960261876162E-5</v>
          </cell>
          <cell r="G681">
            <v>7.950691514573226E-5</v>
          </cell>
          <cell r="H681">
            <v>1.1391634743962521E-5</v>
          </cell>
          <cell r="I681">
            <v>5.0291099026262263E-6</v>
          </cell>
        </row>
        <row r="682">
          <cell r="A682" t="str">
            <v>T_C-FC-H2O-S2</v>
          </cell>
          <cell r="B682" t="str">
            <v>VAR_ncap</v>
          </cell>
          <cell r="C682" t="str">
            <v>-</v>
          </cell>
          <cell r="E682">
            <v>7.0521122169505605E-8</v>
          </cell>
          <cell r="F682">
            <v>1.6987538787792099E-7</v>
          </cell>
          <cell r="G682">
            <v>1.7998907346260401E-7</v>
          </cell>
          <cell r="H682">
            <v>6.2783450474719398E-7</v>
          </cell>
          <cell r="I682">
            <v>2.9006709349052E-7</v>
          </cell>
        </row>
        <row r="683">
          <cell r="A683" t="str">
            <v>T_C-FC-H2O-S2</v>
          </cell>
          <cell r="B683" t="str">
            <v>VAR_cap</v>
          </cell>
          <cell r="C683" t="str">
            <v>-</v>
          </cell>
          <cell r="D683">
            <v>6.33333333333333E-6</v>
          </cell>
          <cell r="E683">
            <v>6.402915597160488E-6</v>
          </cell>
          <cell r="F683">
            <v>6.5665466112617242E-6</v>
          </cell>
          <cell r="G683">
            <v>5.7290649287665688E-6</v>
          </cell>
          <cell r="H683">
            <v>1.2206799833406601E-6</v>
          </cell>
          <cell r="I683">
            <v>7.2188865393566197E-7</v>
          </cell>
        </row>
        <row r="684">
          <cell r="A684" t="str">
            <v>T_B_c-ICEDSL-S2</v>
          </cell>
          <cell r="B684" t="str">
            <v>VAR_fout</v>
          </cell>
          <cell r="C684" t="str">
            <v>CO2_T</v>
          </cell>
          <cell r="D684">
            <v>38.096627480719199</v>
          </cell>
          <cell r="E684">
            <v>29.423203828491868</v>
          </cell>
          <cell r="F684">
            <v>35.812101391961193</v>
          </cell>
          <cell r="G684">
            <v>44.364032386524059</v>
          </cell>
          <cell r="H684">
            <v>3.0676188659436119</v>
          </cell>
          <cell r="I684">
            <v>2.0627745559310631E-4</v>
          </cell>
        </row>
        <row r="685">
          <cell r="A685" t="str">
            <v>T_B_c-ICEDSL-S2</v>
          </cell>
          <cell r="B685" t="str">
            <v>VAR_fout</v>
          </cell>
          <cell r="C685" t="str">
            <v>TPBSc</v>
          </cell>
          <cell r="D685">
            <v>4.5459124321345266E-2</v>
          </cell>
          <cell r="E685">
            <v>3.5247538430284012E-2</v>
          </cell>
          <cell r="F685">
            <v>4.3543737632089421E-2</v>
          </cell>
          <cell r="G685">
            <v>5.7369880283541126E-2</v>
          </cell>
          <cell r="H685">
            <v>4.3068739938358991E-3</v>
          </cell>
          <cell r="I685">
            <v>3.1108049979515256E-7</v>
          </cell>
        </row>
        <row r="686">
          <cell r="A686" t="str">
            <v>T_B_c-ICEDSL-S2</v>
          </cell>
          <cell r="B686" t="str">
            <v>VAR_fin</v>
          </cell>
          <cell r="C686" t="str">
            <v>TDSL</v>
          </cell>
          <cell r="D686">
            <v>0.51973570915033196</v>
          </cell>
          <cell r="E686">
            <v>0.40140796491803371</v>
          </cell>
          <cell r="F686">
            <v>0.48856891394217333</v>
          </cell>
          <cell r="G686">
            <v>0.60523918671929255</v>
          </cell>
          <cell r="H686">
            <v>4.1850189167034299E-2</v>
          </cell>
          <cell r="I686">
            <v>2.8141535551583412E-6</v>
          </cell>
        </row>
        <row r="687">
          <cell r="A687" t="str">
            <v>T_B_c-ICEDSL-S2</v>
          </cell>
          <cell r="B687" t="str">
            <v>VAR_ncap</v>
          </cell>
          <cell r="C687" t="str">
            <v>-</v>
          </cell>
          <cell r="E687">
            <v>3.2775867660215399E-8</v>
          </cell>
          <cell r="F687">
            <v>1.8026669461062E-4</v>
          </cell>
          <cell r="G687">
            <v>5.2729398150022904E-4</v>
          </cell>
          <cell r="H687">
            <v>3.0287212712171498E-8</v>
          </cell>
        </row>
        <row r="688">
          <cell r="A688" t="str">
            <v>T_B_c-ICEDSL-S2</v>
          </cell>
          <cell r="B688" t="str">
            <v>VAR_cap</v>
          </cell>
          <cell r="C688" t="str">
            <v>-</v>
          </cell>
          <cell r="D688">
            <v>9.8784375000000001E-4</v>
          </cell>
          <cell r="E688">
            <v>7.6597462847465599E-4</v>
          </cell>
          <cell r="F688">
            <v>9.4624271371431207E-4</v>
          </cell>
          <cell r="G688">
            <v>1.246670262191264E-3</v>
          </cell>
          <cell r="H688">
            <v>9.3612342280149899E-5</v>
          </cell>
          <cell r="I688">
            <v>3.2651224267447302E-8</v>
          </cell>
        </row>
        <row r="689">
          <cell r="A689" t="str">
            <v>T_TW-FCLH2O-S1</v>
          </cell>
          <cell r="B689" t="str">
            <v>VAR_fout</v>
          </cell>
          <cell r="C689" t="str">
            <v>TPTWL</v>
          </cell>
          <cell r="G689">
            <v>2.4389036895442566E-6</v>
          </cell>
          <cell r="H689">
            <v>1.1522856625363267E-5</v>
          </cell>
          <cell r="I689">
            <v>8.3974750866641442E-6</v>
          </cell>
        </row>
        <row r="690">
          <cell r="A690" t="str">
            <v>T_TW-FCLH2O-S1</v>
          </cell>
          <cell r="B690" t="str">
            <v>VAR_fin</v>
          </cell>
          <cell r="C690" t="str">
            <v>TH2O</v>
          </cell>
          <cell r="G690">
            <v>5.2572573420201743E-7</v>
          </cell>
          <cell r="H690">
            <v>2.426124595956752E-6</v>
          </cell>
          <cell r="I690">
            <v>1.7216739567695904E-6</v>
          </cell>
        </row>
        <row r="691">
          <cell r="A691" t="str">
            <v>T_TW-FCLH2O-S1</v>
          </cell>
          <cell r="B691" t="str">
            <v>VAR_ncap</v>
          </cell>
          <cell r="C691" t="str">
            <v>-</v>
          </cell>
          <cell r="G691">
            <v>1.063426881593E-6</v>
          </cell>
          <cell r="H691">
            <v>2.3278190864359699E-6</v>
          </cell>
          <cell r="I691">
            <v>2.2637830917997799E-6</v>
          </cell>
        </row>
        <row r="692">
          <cell r="A692" t="str">
            <v>T_TW-FCLH2O-S1</v>
          </cell>
          <cell r="B692" t="str">
            <v>VAR_cap</v>
          </cell>
          <cell r="C692" t="str">
            <v>-</v>
          </cell>
          <cell r="G692">
            <v>1.063426881593E-6</v>
          </cell>
          <cell r="H692">
            <v>4.7962173581166301E-6</v>
          </cell>
          <cell r="I692">
            <v>3.8313181491279796E-6</v>
          </cell>
        </row>
        <row r="693">
          <cell r="A693" t="str">
            <v>D-T-ELC-TW_Bat_S1</v>
          </cell>
          <cell r="B693" t="str">
            <v>VAR_fout</v>
          </cell>
          <cell r="C693" t="str">
            <v>T-ELC-TWSTGin_S1</v>
          </cell>
          <cell r="D693">
            <v>1.555190220248444E-3</v>
          </cell>
          <cell r="E693">
            <v>2.0661123117563423E-3</v>
          </cell>
          <cell r="F693">
            <v>2.0669092389160502E-3</v>
          </cell>
          <cell r="G693">
            <v>1.4433230498995704E-3</v>
          </cell>
          <cell r="H693">
            <v>8.7065177132802926E-5</v>
          </cell>
          <cell r="I693">
            <v>7.227703380534034E-2</v>
          </cell>
        </row>
        <row r="694">
          <cell r="A694" t="str">
            <v>D-T-ELC-TW_Bat_S1</v>
          </cell>
          <cell r="B694" t="str">
            <v>VAR_fin</v>
          </cell>
          <cell r="C694" t="str">
            <v>TELC</v>
          </cell>
          <cell r="D694">
            <v>1.555190220248444E-3</v>
          </cell>
          <cell r="E694">
            <v>2.0661123117563423E-3</v>
          </cell>
          <cell r="F694">
            <v>2.0669092389160502E-3</v>
          </cell>
          <cell r="G694">
            <v>1.4433230498995704E-3</v>
          </cell>
          <cell r="H694">
            <v>8.7065177132802926E-5</v>
          </cell>
          <cell r="I694">
            <v>7.227703380534034E-2</v>
          </cell>
        </row>
        <row r="695">
          <cell r="A695" t="str">
            <v>D-T-ELC-TW_Bat_S1</v>
          </cell>
          <cell r="B695" t="str">
            <v>VAR_ncap</v>
          </cell>
          <cell r="C695" t="str">
            <v>-</v>
          </cell>
          <cell r="D695">
            <v>1.6450965273931799E-4</v>
          </cell>
          <cell r="E695">
            <v>5.3867581597868001E-5</v>
          </cell>
          <cell r="F695">
            <v>6.5744460416293702E-8</v>
          </cell>
          <cell r="G695">
            <v>5.1290517503164295E-7</v>
          </cell>
          <cell r="H695">
            <v>2.0218654640622999E-7</v>
          </cell>
          <cell r="I695">
            <v>7.6379632784155703E-3</v>
          </cell>
        </row>
        <row r="696">
          <cell r="A696" t="str">
            <v>D-T-ELC-TW_Bat_S1</v>
          </cell>
          <cell r="B696" t="str">
            <v>VAR_cap</v>
          </cell>
          <cell r="C696" t="str">
            <v>-</v>
          </cell>
          <cell r="D696">
            <v>1.6450965273931799E-4</v>
          </cell>
          <cell r="E696">
            <v>2.1837723433718601E-4</v>
          </cell>
          <cell r="F696">
            <v>2.18442978797602E-4</v>
          </cell>
          <cell r="G696">
            <v>1.6768020215499399E-4</v>
          </cell>
          <cell r="H696">
            <v>9.1949284025487801E-6</v>
          </cell>
          <cell r="I696">
            <v>7.63962685747084E-3</v>
          </cell>
        </row>
        <row r="697">
          <cell r="A697" t="str">
            <v>T_C-FC-H2O-S3</v>
          </cell>
          <cell r="B697" t="str">
            <v>VAR_fout</v>
          </cell>
          <cell r="C697" t="str">
            <v>TPCAR</v>
          </cell>
          <cell r="D697">
            <v>7.3162197332019008E-4</v>
          </cell>
          <cell r="E697">
            <v>1.5608805750124419E-3</v>
          </cell>
          <cell r="F697">
            <v>1.4941247600840193E-3</v>
          </cell>
          <cell r="G697">
            <v>1.2195638303692568E-3</v>
          </cell>
          <cell r="H697">
            <v>8.8182868487656463E-6</v>
          </cell>
          <cell r="I697">
            <v>5.0538726211465923E-6</v>
          </cell>
        </row>
        <row r="698">
          <cell r="A698" t="str">
            <v>T_C-FC-H2O-S3</v>
          </cell>
          <cell r="B698" t="str">
            <v>VAR_fin</v>
          </cell>
          <cell r="C698" t="str">
            <v>TH2O</v>
          </cell>
          <cell r="D698">
            <v>8.8146686990636181E-4</v>
          </cell>
          <cell r="E698">
            <v>1.8805675129056271E-3</v>
          </cell>
          <cell r="F698">
            <v>1.8001393117596635E-3</v>
          </cell>
          <cell r="G698">
            <v>1.4693450325556766E-3</v>
          </cell>
          <cell r="H698">
            <v>9.6280122799513088E-6</v>
          </cell>
          <cell r="I698">
            <v>5.1058982132514086E-6</v>
          </cell>
        </row>
        <row r="699">
          <cell r="A699" t="str">
            <v>T_C-FC-H2O-S3</v>
          </cell>
          <cell r="B699" t="str">
            <v>VAR_ncap</v>
          </cell>
          <cell r="C699" t="str">
            <v>-</v>
          </cell>
          <cell r="E699">
            <v>5.6911887741981698E-8</v>
          </cell>
          <cell r="F699">
            <v>1.24015022450437E-7</v>
          </cell>
          <cell r="G699">
            <v>1.2842744220118899E-7</v>
          </cell>
          <cell r="H699">
            <v>4.3739443571785399E-7</v>
          </cell>
          <cell r="I699">
            <v>2.99375723723647E-7</v>
          </cell>
        </row>
        <row r="700">
          <cell r="A700" t="str">
            <v>T_C-FC-H2O-S3</v>
          </cell>
          <cell r="B700" t="str">
            <v>VAR_cap</v>
          </cell>
          <cell r="C700" t="str">
            <v>-</v>
          </cell>
          <cell r="D700">
            <v>5.3666666666666699E-5</v>
          </cell>
          <cell r="E700">
            <v>1.0811378531620145E-4</v>
          </cell>
          <cell r="F700">
            <v>1.0304562318410249E-4</v>
          </cell>
          <cell r="G700">
            <v>8.6348733725707152E-5</v>
          </cell>
          <cell r="H700">
            <v>8.2574323190159098E-7</v>
          </cell>
          <cell r="I700">
            <v>5.7824780103467901E-7</v>
          </cell>
        </row>
        <row r="701">
          <cell r="A701" t="str">
            <v>T_B_c-ICEDSL-S3</v>
          </cell>
          <cell r="B701" t="str">
            <v>VAR_fout</v>
          </cell>
          <cell r="C701" t="str">
            <v>CO2_T</v>
          </cell>
          <cell r="D701">
            <v>11.912529562120611</v>
          </cell>
          <cell r="E701">
            <v>9.4708828598364683</v>
          </cell>
          <cell r="F701">
            <v>11.500296953877539</v>
          </cell>
          <cell r="G701">
            <v>6.0194002762379775</v>
          </cell>
          <cell r="H701">
            <v>5.7547464742148247</v>
          </cell>
          <cell r="I701">
            <v>9.1655881530905295E-5</v>
          </cell>
        </row>
        <row r="702">
          <cell r="A702" t="str">
            <v>T_B_c-ICEDSL-S3</v>
          </cell>
          <cell r="B702" t="str">
            <v>VAR_fout</v>
          </cell>
          <cell r="C702" t="str">
            <v>TPBSc</v>
          </cell>
          <cell r="D702">
            <v>9.4178098942796218E-3</v>
          </cell>
          <cell r="E702">
            <v>7.517016395308317E-3</v>
          </cell>
          <cell r="F702">
            <v>9.2629910859104766E-3</v>
          </cell>
          <cell r="G702">
            <v>4.9193916531187669E-3</v>
          </cell>
          <cell r="H702">
            <v>5.6270615772017162E-3</v>
          </cell>
          <cell r="I702">
            <v>9.3994841278475298E-8</v>
          </cell>
        </row>
        <row r="703">
          <cell r="A703" t="str">
            <v>T_B_c-ICEDSL-S3</v>
          </cell>
          <cell r="B703" t="str">
            <v>VAR_fin</v>
          </cell>
          <cell r="C703" t="str">
            <v>TDSL</v>
          </cell>
          <cell r="D703">
            <v>0.16251745650914873</v>
          </cell>
          <cell r="E703">
            <v>0.12920713314920143</v>
          </cell>
          <cell r="F703">
            <v>0.15689354643762007</v>
          </cell>
          <cell r="G703">
            <v>8.2120058338853594E-2</v>
          </cell>
          <cell r="H703">
            <v>7.8509501694608741E-2</v>
          </cell>
          <cell r="I703">
            <v>1.250421303286568E-6</v>
          </cell>
        </row>
        <row r="704">
          <cell r="A704" t="str">
            <v>T_B_c-ICEDSL-S3</v>
          </cell>
          <cell r="B704" t="str">
            <v>VAR_ncap</v>
          </cell>
          <cell r="C704" t="str">
            <v>-</v>
          </cell>
          <cell r="E704">
            <v>1.5720945263969101E-8</v>
          </cell>
          <cell r="F704">
            <v>3.7944279169841203E-5</v>
          </cell>
          <cell r="G704">
            <v>2.2274330782036099E-7</v>
          </cell>
          <cell r="H704">
            <v>3.9053299779601202E-8</v>
          </cell>
        </row>
        <row r="705">
          <cell r="A705" t="str">
            <v>T_B_c-ICEDSL-S3</v>
          </cell>
          <cell r="B705" t="str">
            <v>VAR_cap</v>
          </cell>
          <cell r="C705" t="str">
            <v>-</v>
          </cell>
          <cell r="D705">
            <v>2.0468818961658046E-4</v>
          </cell>
          <cell r="E705">
            <v>1.6338442752792136E-4</v>
          </cell>
          <cell r="F705">
            <v>2.013293143856566E-4</v>
          </cell>
          <cell r="G705">
            <v>1.069259825474717E-4</v>
          </cell>
          <cell r="H705">
            <v>1.22290489434565E-4</v>
          </cell>
          <cell r="I705">
            <v>1.33765849299896E-8</v>
          </cell>
        </row>
        <row r="706">
          <cell r="A706" t="str">
            <v>T_TW-FCLH2O-S2</v>
          </cell>
          <cell r="B706" t="str">
            <v>VAR_fout</v>
          </cell>
          <cell r="C706" t="str">
            <v>TPTWL</v>
          </cell>
          <cell r="G706">
            <v>9.2764324623430994E-7</v>
          </cell>
          <cell r="H706">
            <v>3.7889396593295693E-6</v>
          </cell>
          <cell r="I706">
            <v>2.3418778849456295E-6</v>
          </cell>
        </row>
        <row r="707">
          <cell r="A707" t="str">
            <v>T_TW-FCLH2O-S2</v>
          </cell>
          <cell r="B707" t="str">
            <v>VAR_fin</v>
          </cell>
          <cell r="C707" t="str">
            <v>TH2O</v>
          </cell>
          <cell r="G707">
            <v>3.4345875907058863E-7</v>
          </cell>
          <cell r="H707">
            <v>1.3752961894140878E-6</v>
          </cell>
          <cell r="I707">
            <v>8.3201654558119623E-7</v>
          </cell>
        </row>
        <row r="708">
          <cell r="A708" t="str">
            <v>T_TW-FCLH2O-S2</v>
          </cell>
          <cell r="B708" t="str">
            <v>VAR_ncap</v>
          </cell>
          <cell r="C708" t="str">
            <v>-</v>
          </cell>
          <cell r="G708">
            <v>5.3543628898292002E-7</v>
          </cell>
          <cell r="H708">
            <v>8.0906044532802504E-7</v>
          </cell>
          <cell r="I708">
            <v>6.5653952139224898E-7</v>
          </cell>
        </row>
        <row r="709">
          <cell r="A709" t="str">
            <v>T_TW-FCLH2O-S2</v>
          </cell>
          <cell r="B709" t="str">
            <v>VAR_cap</v>
          </cell>
          <cell r="C709" t="str">
            <v>-</v>
          </cell>
          <cell r="G709">
            <v>5.3543628898292002E-7</v>
          </cell>
          <cell r="H709">
            <v>2.0138772240237498E-6</v>
          </cell>
          <cell r="I709">
            <v>1.50229861922747E-6</v>
          </cell>
        </row>
        <row r="710">
          <cell r="A710" t="str">
            <v>D-T-ELC-TW_Bat_S2</v>
          </cell>
          <cell r="B710" t="str">
            <v>VAR_fout</v>
          </cell>
          <cell r="C710" t="str">
            <v>T-ELC-TWSTGin_S2</v>
          </cell>
          <cell r="D710">
            <v>3.6263637787468472E-4</v>
          </cell>
          <cell r="E710">
            <v>4.1780511811012659E-4</v>
          </cell>
          <cell r="F710">
            <v>4.1789742160626729E-4</v>
          </cell>
          <cell r="G710">
            <v>4.3263259848509147E-4</v>
          </cell>
          <cell r="H710">
            <v>9.0291518028938966E-5</v>
          </cell>
          <cell r="I710">
            <v>5.6201518735305991E-5</v>
          </cell>
        </row>
        <row r="711">
          <cell r="A711" t="str">
            <v>D-T-ELC-TW_Bat_S2</v>
          </cell>
          <cell r="B711" t="str">
            <v>VAR_fin</v>
          </cell>
          <cell r="C711" t="str">
            <v>TELC</v>
          </cell>
          <cell r="D711">
            <v>3.6263637787468472E-4</v>
          </cell>
          <cell r="E711">
            <v>4.1780511811012659E-4</v>
          </cell>
          <cell r="F711">
            <v>4.1789742160626729E-4</v>
          </cell>
          <cell r="G711">
            <v>4.3263259848509147E-4</v>
          </cell>
          <cell r="H711">
            <v>9.0291518028938966E-5</v>
          </cell>
          <cell r="I711">
            <v>5.6201518735305991E-5</v>
          </cell>
        </row>
        <row r="712">
          <cell r="A712" t="str">
            <v>D-T-ELC-TW_Bat_S2</v>
          </cell>
          <cell r="B712" t="str">
            <v>VAR_ncap</v>
          </cell>
          <cell r="C712" t="str">
            <v>-</v>
          </cell>
          <cell r="D712">
            <v>3.8509593736963898E-5</v>
          </cell>
          <cell r="E712">
            <v>5.6506883850548501E-6</v>
          </cell>
          <cell r="G712">
            <v>1.57661499134832E-6</v>
          </cell>
          <cell r="H712">
            <v>4.0666871069265601E-8</v>
          </cell>
          <cell r="I712">
            <v>2.9302311903406599E-6</v>
          </cell>
        </row>
        <row r="713">
          <cell r="A713" t="str">
            <v>D-T-ELC-TW_Bat_S2</v>
          </cell>
          <cell r="B713" t="str">
            <v>VAR_cap</v>
          </cell>
          <cell r="C713" t="str">
            <v>-</v>
          </cell>
          <cell r="D713">
            <v>3.8509593736963898E-5</v>
          </cell>
          <cell r="E713">
            <v>4.4160282122018798E-5</v>
          </cell>
          <cell r="F713">
            <v>4.4160282122018798E-5</v>
          </cell>
          <cell r="G713">
            <v>4.5736897113367097E-5</v>
          </cell>
          <cell r="H713">
            <v>9.5329309772002207E-6</v>
          </cell>
          <cell r="I713">
            <v>5.9280733717216104E-6</v>
          </cell>
        </row>
        <row r="714">
          <cell r="A714" t="str">
            <v>T_C-FC-H2O-S4</v>
          </cell>
          <cell r="B714" t="str">
            <v>VAR_fout</v>
          </cell>
          <cell r="C714" t="str">
            <v>TPCAR</v>
          </cell>
          <cell r="E714">
            <v>5.9012477272634456E-7</v>
          </cell>
          <cell r="F714">
            <v>1.7393735283683064E-6</v>
          </cell>
          <cell r="G714">
            <v>2.7133251085587164E-6</v>
          </cell>
          <cell r="H714">
            <v>5.7130597038869119E-5</v>
          </cell>
          <cell r="I714">
            <v>0.87589970050361643</v>
          </cell>
        </row>
        <row r="715">
          <cell r="A715" t="str">
            <v>T_C-FC-H2O-S4</v>
          </cell>
          <cell r="B715" t="str">
            <v>VAR_fin</v>
          </cell>
          <cell r="C715" t="str">
            <v>TH2O</v>
          </cell>
          <cell r="E715">
            <v>7.0525579112441515E-7</v>
          </cell>
          <cell r="F715">
            <v>2.0787184515961797E-6</v>
          </cell>
          <cell r="G715">
            <v>3.2426841482584132E-6</v>
          </cell>
          <cell r="H715">
            <v>6.1286336059223847E-5</v>
          </cell>
          <cell r="I715">
            <v>0.82575279407448599</v>
          </cell>
        </row>
        <row r="716">
          <cell r="A716" t="str">
            <v>T_C-FC-H2O-S4</v>
          </cell>
          <cell r="B716" t="str">
            <v>VAR_ncap</v>
          </cell>
          <cell r="C716" t="str">
            <v>-</v>
          </cell>
          <cell r="E716">
            <v>9.4165269096343903E-8</v>
          </cell>
          <cell r="F716">
            <v>1.8650611752342199E-7</v>
          </cell>
          <cell r="G716">
            <v>1.9791265073280299E-7</v>
          </cell>
          <cell r="H716">
            <v>5.2427840173143703E-6</v>
          </cell>
          <cell r="I716">
            <v>0.11472329520815</v>
          </cell>
        </row>
        <row r="717">
          <cell r="A717" t="str">
            <v>T_C-FC-H2O-S4</v>
          </cell>
          <cell r="B717" t="str">
            <v>VAR_cap</v>
          </cell>
          <cell r="C717" t="str">
            <v>-</v>
          </cell>
          <cell r="E717">
            <v>9.2911632657632298E-8</v>
          </cell>
          <cell r="F717">
            <v>2.71616626657393E-7</v>
          </cell>
          <cell r="G717">
            <v>4.19754846800678E-7</v>
          </cell>
          <cell r="H717">
            <v>6.1451966948346096E-6</v>
          </cell>
          <cell r="I717">
            <v>9.79155602769686E-2</v>
          </cell>
        </row>
        <row r="718">
          <cell r="A718" t="str">
            <v>T_B_c-ICEDSL-S4</v>
          </cell>
          <cell r="B718" t="str">
            <v>VAR_fout</v>
          </cell>
          <cell r="C718" t="str">
            <v>CO2_T</v>
          </cell>
          <cell r="D718">
            <v>0.85084594391083079</v>
          </cell>
        </row>
        <row r="719">
          <cell r="A719" t="str">
            <v>T_B_c-ICEDSL-S4</v>
          </cell>
          <cell r="B719" t="str">
            <v>VAR_fout</v>
          </cell>
          <cell r="C719" t="str">
            <v>TPBSc</v>
          </cell>
          <cell r="D719">
            <v>4.4859757074161707E-4</v>
          </cell>
        </row>
        <row r="720">
          <cell r="A720" t="str">
            <v>T_B_c-ICEDSL-S4</v>
          </cell>
          <cell r="B720" t="str">
            <v>VAR_fin</v>
          </cell>
          <cell r="C720" t="str">
            <v>TDSL</v>
          </cell>
          <cell r="D720">
            <v>1.1607720926477914E-2</v>
          </cell>
        </row>
        <row r="721">
          <cell r="A721" t="str">
            <v>T_B_c-ICEDSL-S4</v>
          </cell>
          <cell r="B721" t="str">
            <v>VAR_cap</v>
          </cell>
          <cell r="C721" t="str">
            <v>-</v>
          </cell>
          <cell r="D721">
            <v>1.0206690948667402E-5</v>
          </cell>
          <cell r="E721">
            <v>3.7556660309901596E-10</v>
          </cell>
          <cell r="F721">
            <v>7.4970226850005518E-10</v>
          </cell>
          <cell r="G721">
            <v>1.6716739372974054E-10</v>
          </cell>
        </row>
        <row r="722">
          <cell r="A722" t="str">
            <v>D-T-ELC-HGV</v>
          </cell>
          <cell r="B722" t="str">
            <v>VAR_fout</v>
          </cell>
          <cell r="C722" t="str">
            <v>T-ELC-HGV_BatSTGin</v>
          </cell>
          <cell r="D722">
            <v>1.0249455277817652E-2</v>
          </cell>
          <cell r="E722">
            <v>2.0748518684688019E-2</v>
          </cell>
          <cell r="F722">
            <v>8.1837148604826521E-2</v>
          </cell>
          <cell r="G722">
            <v>0.2836791007489381</v>
          </cell>
          <cell r="H722">
            <v>1.1711585780299154</v>
          </cell>
          <cell r="I722">
            <v>4.0512014132879086</v>
          </cell>
        </row>
        <row r="723">
          <cell r="A723" t="str">
            <v>D-T-ELC-HGV</v>
          </cell>
          <cell r="B723" t="str">
            <v>VAR_fin</v>
          </cell>
          <cell r="C723" t="str">
            <v>TELC</v>
          </cell>
          <cell r="D723">
            <v>1.0249455277817652E-2</v>
          </cell>
          <cell r="E723">
            <v>2.0748518684688019E-2</v>
          </cell>
          <cell r="F723">
            <v>8.1837148604826521E-2</v>
          </cell>
          <cell r="G723">
            <v>0.2836791007489381</v>
          </cell>
          <cell r="H723">
            <v>1.1711585780299154</v>
          </cell>
          <cell r="I723">
            <v>4.0512014132879086</v>
          </cell>
        </row>
        <row r="724">
          <cell r="A724" t="str">
            <v>D-T-ELC-HGV</v>
          </cell>
          <cell r="B724" t="str">
            <v>VAR_ncap</v>
          </cell>
          <cell r="C724" t="str">
            <v>-</v>
          </cell>
          <cell r="D724">
            <v>1.3900121183811E-3</v>
          </cell>
          <cell r="E724">
            <v>1.23693363694925E-3</v>
          </cell>
          <cell r="F724">
            <v>7.7328119915377903E-3</v>
          </cell>
          <cell r="G724">
            <v>2.9647758899531602E-2</v>
          </cell>
          <cell r="H724">
            <v>0.102638975428875</v>
          </cell>
          <cell r="I724">
            <v>0.49465452435896201</v>
          </cell>
        </row>
        <row r="725">
          <cell r="A725" t="str">
            <v>D-T-ELC-HGV</v>
          </cell>
          <cell r="B725" t="str">
            <v>VAR_cap</v>
          </cell>
          <cell r="C725" t="str">
            <v>-</v>
          </cell>
          <cell r="D725">
            <v>1.3900121183811E-3</v>
          </cell>
          <cell r="E725">
            <v>2.6269457553303398E-3</v>
          </cell>
          <cell r="F725">
            <v>1.0359757746868099E-2</v>
          </cell>
          <cell r="G725">
            <v>3.5894897565835998E-2</v>
          </cell>
          <cell r="H725">
            <v>0.148060867973133</v>
          </cell>
          <cell r="I725">
            <v>0.51266649819061105</v>
          </cell>
        </row>
        <row r="726">
          <cell r="A726" t="str">
            <v>T_TW-FCLH2O-S3</v>
          </cell>
          <cell r="B726" t="str">
            <v>VAR_fout</v>
          </cell>
          <cell r="C726" t="str">
            <v>TPTWL</v>
          </cell>
          <cell r="G726">
            <v>2.7357999138901265E-7</v>
          </cell>
          <cell r="H726">
            <v>1.2054702988041673E-6</v>
          </cell>
          <cell r="I726">
            <v>9.6900121414344452E-7</v>
          </cell>
        </row>
        <row r="727">
          <cell r="A727" t="str">
            <v>T_TW-FCLH2O-S3</v>
          </cell>
          <cell r="B727" t="str">
            <v>VAR_fin</v>
          </cell>
          <cell r="C727" t="str">
            <v>TH2O</v>
          </cell>
          <cell r="G727">
            <v>1.5538591940621075E-7</v>
          </cell>
          <cell r="H727">
            <v>6.7388403907064131E-7</v>
          </cell>
          <cell r="I727">
            <v>5.2991620482118459E-7</v>
          </cell>
        </row>
        <row r="728">
          <cell r="A728" t="str">
            <v>T_TW-FCLH2O-S3</v>
          </cell>
          <cell r="B728" t="str">
            <v>VAR_ncap</v>
          </cell>
          <cell r="C728" t="str">
            <v>-</v>
          </cell>
          <cell r="G728">
            <v>2.7118809337908202E-7</v>
          </cell>
          <cell r="H728">
            <v>3.1070155100460401E-7</v>
          </cell>
          <cell r="I728">
            <v>2.96014560992691E-7</v>
          </cell>
        </row>
        <row r="729">
          <cell r="A729" t="str">
            <v>T_TW-FCLH2O-S3</v>
          </cell>
          <cell r="B729" t="str">
            <v>VAR_cap</v>
          </cell>
          <cell r="C729" t="str">
            <v>-</v>
          </cell>
          <cell r="G729">
            <v>2.7118809337908202E-7</v>
          </cell>
          <cell r="H729">
            <v>9.4214575020505195E-7</v>
          </cell>
          <cell r="I729">
            <v>9.6430856503710795E-7</v>
          </cell>
        </row>
        <row r="730">
          <cell r="A730" t="str">
            <v>D-T-ELC-TW_Bat_S3</v>
          </cell>
          <cell r="B730" t="str">
            <v>VAR_fout</v>
          </cell>
          <cell r="C730" t="str">
            <v>T-ELC-TWSTGin_S3</v>
          </cell>
          <cell r="D730">
            <v>7.5550488208487275E-5</v>
          </cell>
          <cell r="E730">
            <v>8.3224713262690421E-5</v>
          </cell>
          <cell r="F730">
            <v>1.1520017732045046E-4</v>
          </cell>
          <cell r="G730">
            <v>1.5456016819155073E-4</v>
          </cell>
          <cell r="H730">
            <v>1.8290351211987341E-4</v>
          </cell>
          <cell r="I730">
            <v>8.987612608807686E-5</v>
          </cell>
        </row>
        <row r="731">
          <cell r="A731" t="str">
            <v>D-T-ELC-TW_Bat_S3</v>
          </cell>
          <cell r="B731" t="str">
            <v>VAR_fin</v>
          </cell>
          <cell r="C731" t="str">
            <v>TELC</v>
          </cell>
          <cell r="D731">
            <v>7.5550488208487275E-5</v>
          </cell>
          <cell r="E731">
            <v>8.3224713262690421E-5</v>
          </cell>
          <cell r="F731">
            <v>1.1520017732045046E-4</v>
          </cell>
          <cell r="G731">
            <v>1.5456016819155073E-4</v>
          </cell>
          <cell r="H731">
            <v>1.8290351211987341E-4</v>
          </cell>
          <cell r="I731">
            <v>8.987612608807686E-5</v>
          </cell>
        </row>
        <row r="732">
          <cell r="A732" t="str">
            <v>D-T-ELC-TW_Bat_S3</v>
          </cell>
          <cell r="B732" t="str">
            <v>VAR_ncap</v>
          </cell>
          <cell r="C732" t="str">
            <v>-</v>
          </cell>
          <cell r="D732">
            <v>8.4331008505286393E-6</v>
          </cell>
          <cell r="E732">
            <v>6.9919997155276302E-7</v>
          </cell>
          <cell r="F732">
            <v>3.1868851412479699E-6</v>
          </cell>
          <cell r="G732">
            <v>3.9793090825136296E-6</v>
          </cell>
          <cell r="H732">
            <v>8.3098726855951497E-7</v>
          </cell>
          <cell r="I732">
            <v>1.22497857847025E-6</v>
          </cell>
        </row>
        <row r="733">
          <cell r="A733" t="str">
            <v>D-T-ELC-TW_Bat_S3</v>
          </cell>
          <cell r="B733" t="str">
            <v>VAR_cap</v>
          </cell>
          <cell r="C733" t="str">
            <v>-</v>
          </cell>
          <cell r="D733">
            <v>8.4331008505286393E-6</v>
          </cell>
          <cell r="E733">
            <v>9.1323008220814105E-6</v>
          </cell>
          <cell r="F733">
            <v>1.23191859633294E-5</v>
          </cell>
          <cell r="G733">
            <v>1.6298495045843002E-5</v>
          </cell>
          <cell r="H733">
            <v>1.9335153312707399E-5</v>
          </cell>
          <cell r="I733">
            <v>9.4851239159859807E-6</v>
          </cell>
        </row>
        <row r="734">
          <cell r="A734" t="str">
            <v>T_TW-FCLH2O-S4</v>
          </cell>
          <cell r="B734" t="str">
            <v>VAR_fout</v>
          </cell>
          <cell r="C734" t="str">
            <v>TPTWL</v>
          </cell>
          <cell r="H734">
            <v>2.5687307394818231E-7</v>
          </cell>
          <cell r="I734">
            <v>1.4811008409767741E-7</v>
          </cell>
        </row>
        <row r="735">
          <cell r="A735" t="str">
            <v>T_TW-FCLH2O-S4</v>
          </cell>
          <cell r="B735" t="str">
            <v>VAR_fin</v>
          </cell>
          <cell r="C735" t="str">
            <v>TH2O</v>
          </cell>
          <cell r="H735">
            <v>1.6130230261934542E-7</v>
          </cell>
          <cell r="I735">
            <v>9.1396198701066628E-8</v>
          </cell>
        </row>
        <row r="736">
          <cell r="A736" t="str">
            <v>T_TW-FCLH2O-S4</v>
          </cell>
          <cell r="B736" t="str">
            <v>VAR_ncap</v>
          </cell>
          <cell r="C736" t="str">
            <v>-</v>
          </cell>
          <cell r="G736">
            <v>1.1299151743453E-7</v>
          </cell>
          <cell r="H736">
            <v>1.5374087200915101E-7</v>
          </cell>
          <cell r="I736">
            <v>1.36809452044631E-7</v>
          </cell>
        </row>
        <row r="737">
          <cell r="A737" t="str">
            <v>T_TW-FCLH2O-S4</v>
          </cell>
          <cell r="B737" t="str">
            <v>VAR_cap</v>
          </cell>
          <cell r="C737" t="str">
            <v>-</v>
          </cell>
          <cell r="G737">
            <v>1.1299151743453E-7</v>
          </cell>
          <cell r="H737">
            <v>4.2697569861294702E-7</v>
          </cell>
          <cell r="I737">
            <v>5.2455772635495296E-7</v>
          </cell>
        </row>
        <row r="738">
          <cell r="A738" t="str">
            <v>D-T-ELC-TW_Bat_S4</v>
          </cell>
          <cell r="B738" t="str">
            <v>VAR_fout</v>
          </cell>
          <cell r="C738" t="str">
            <v>T-ELC-TWSTGin_S4</v>
          </cell>
          <cell r="D738">
            <v>9.2810755774633463E-6</v>
          </cell>
          <cell r="E738">
            <v>1.5644440345013106E-5</v>
          </cell>
          <cell r="F738">
            <v>2.1078979066520193E-5</v>
          </cell>
          <cell r="G738">
            <v>7.3765955137087975E-5</v>
          </cell>
          <cell r="H738">
            <v>1.9458221421109868E-4</v>
          </cell>
          <cell r="I738">
            <v>1.5700754666718233E-4</v>
          </cell>
        </row>
        <row r="739">
          <cell r="A739" t="str">
            <v>D-T-ELC-TW_Bat_S4</v>
          </cell>
          <cell r="B739" t="str">
            <v>VAR_fin</v>
          </cell>
          <cell r="C739" t="str">
            <v>TELC</v>
          </cell>
          <cell r="D739">
            <v>9.2810755774633463E-6</v>
          </cell>
          <cell r="E739">
            <v>1.5644440345013106E-5</v>
          </cell>
          <cell r="F739">
            <v>2.1078979066520193E-5</v>
          </cell>
          <cell r="G739">
            <v>7.3765955137087975E-5</v>
          </cell>
          <cell r="H739">
            <v>1.9458221421109868E-4</v>
          </cell>
          <cell r="I739">
            <v>1.5700754666718233E-4</v>
          </cell>
        </row>
        <row r="740">
          <cell r="A740" t="str">
            <v>D-T-ELC-TW_Bat_S4</v>
          </cell>
          <cell r="B740" t="str">
            <v>VAR_ncap</v>
          </cell>
          <cell r="C740" t="str">
            <v>-</v>
          </cell>
          <cell r="D740">
            <v>2.8806790800325101E-6</v>
          </cell>
          <cell r="E740">
            <v>1.85434943298894E-8</v>
          </cell>
          <cell r="F740">
            <v>1.04503151725101E-7</v>
          </cell>
          <cell r="G740">
            <v>4.7564742796709497E-6</v>
          </cell>
          <cell r="H740">
            <v>1.9631139370937601E-6</v>
          </cell>
          <cell r="I740">
            <v>3.88260879618773E-7</v>
          </cell>
        </row>
        <row r="741">
          <cell r="A741" t="str">
            <v>D-T-ELC-TW_Bat_S4</v>
          </cell>
          <cell r="B741" t="str">
            <v>VAR_cap</v>
          </cell>
          <cell r="C741" t="str">
            <v>-</v>
          </cell>
          <cell r="D741">
            <v>2.8806790800325101E-6</v>
          </cell>
          <cell r="E741">
            <v>2.8992225743624001E-6</v>
          </cell>
          <cell r="F741">
            <v>3.0037257260874999E-6</v>
          </cell>
          <cell r="G741">
            <v>7.7602000057584508E-6</v>
          </cell>
          <cell r="H741">
            <v>2.0564541423794698E-5</v>
          </cell>
          <cell r="I741">
            <v>1.6601106902291001E-5</v>
          </cell>
        </row>
        <row r="742">
          <cell r="A742" t="str">
            <v>T_B_u-ICENGA-S1</v>
          </cell>
          <cell r="B742" t="str">
            <v>VAR_fout</v>
          </cell>
          <cell r="C742" t="str">
            <v>CO2_T</v>
          </cell>
          <cell r="F742">
            <v>2.65667982010374</v>
          </cell>
          <cell r="G742">
            <v>7.2344531191301091E-4</v>
          </cell>
          <cell r="H742">
            <v>1.871450451195608E-3</v>
          </cell>
          <cell r="I742">
            <v>7.2142802491371397E-4</v>
          </cell>
        </row>
        <row r="743">
          <cell r="A743" t="str">
            <v>T_B_u-ICENGA-S1</v>
          </cell>
          <cell r="B743" t="str">
            <v>VAR_fout</v>
          </cell>
          <cell r="C743" t="str">
            <v>TPBSu</v>
          </cell>
          <cell r="F743">
            <v>5.9728486676145229E-3</v>
          </cell>
          <cell r="G743">
            <v>1.714355542513393E-6</v>
          </cell>
          <cell r="H743">
            <v>4.9894110678682516E-6</v>
          </cell>
          <cell r="I743">
            <v>2.0407291571744617E-6</v>
          </cell>
        </row>
        <row r="744">
          <cell r="A744" t="str">
            <v>T_B_u-ICENGA-S1</v>
          </cell>
          <cell r="B744" t="str">
            <v>VAR_fin</v>
          </cell>
          <cell r="C744" t="str">
            <v>TNGA</v>
          </cell>
          <cell r="F744">
            <v>4.7104252129498959E-2</v>
          </cell>
          <cell r="G744">
            <v>1.2827044537464743E-5</v>
          </cell>
          <cell r="H744">
            <v>3.3181745588574705E-5</v>
          </cell>
          <cell r="I744">
            <v>1.2791277037477208E-5</v>
          </cell>
        </row>
        <row r="745">
          <cell r="A745" t="str">
            <v>T_B_u-ICENGA-S1</v>
          </cell>
          <cell r="B745" t="str">
            <v>VAR_ncap</v>
          </cell>
          <cell r="C745" t="str">
            <v>-</v>
          </cell>
          <cell r="F745">
            <v>1.1263706688686899E-4</v>
          </cell>
          <cell r="G745">
            <v>3.4522347284626997E-8</v>
          </cell>
          <cell r="H745">
            <v>7.90923895819171E-8</v>
          </cell>
          <cell r="I745">
            <v>3.3221574756614603E-8</v>
          </cell>
        </row>
        <row r="746">
          <cell r="A746" t="str">
            <v>T_B_u-ICENGA-S1</v>
          </cell>
          <cell r="B746" t="str">
            <v>VAR_cap</v>
          </cell>
          <cell r="C746" t="str">
            <v>-</v>
          </cell>
          <cell r="F746">
            <v>1.1263706688686899E-4</v>
          </cell>
          <cell r="G746">
            <v>5.9881262161004078E-8</v>
          </cell>
          <cell r="H746">
            <v>1.3519147663882599E-7</v>
          </cell>
          <cell r="I746">
            <v>8.1658524672596303E-8</v>
          </cell>
        </row>
        <row r="747">
          <cell r="A747" t="str">
            <v>T_B_u-ICENGA-S2</v>
          </cell>
          <cell r="B747" t="str">
            <v>VAR_fout</v>
          </cell>
          <cell r="C747" t="str">
            <v>CO2_T</v>
          </cell>
          <cell r="F747">
            <v>1.2680680613956299E-3</v>
          </cell>
          <cell r="G747">
            <v>2.1377402447413851E-3</v>
          </cell>
          <cell r="H747">
            <v>1.290924323767351E-3</v>
          </cell>
          <cell r="I747">
            <v>2.96094158872364E-4</v>
          </cell>
        </row>
        <row r="748">
          <cell r="A748" t="str">
            <v>T_B_u-ICENGA-S2</v>
          </cell>
          <cell r="B748" t="str">
            <v>VAR_fout</v>
          </cell>
          <cell r="C748" t="str">
            <v>TPBSu</v>
          </cell>
          <cell r="F748">
            <v>2.0105480292780044E-6</v>
          </cell>
          <cell r="G748">
            <v>3.5012475315836931E-6</v>
          </cell>
          <cell r="H748">
            <v>2.4003528735313768E-6</v>
          </cell>
          <cell r="I748">
            <v>5.6124437843179449E-7</v>
          </cell>
        </row>
        <row r="749">
          <cell r="A749" t="str">
            <v>T_B_u-ICENGA-S2</v>
          </cell>
          <cell r="B749" t="str">
            <v>VAR_fin</v>
          </cell>
          <cell r="C749" t="str">
            <v>TNGA</v>
          </cell>
          <cell r="F749">
            <v>2.2483476265879966E-5</v>
          </cell>
          <cell r="G749">
            <v>3.7903195828747965E-5</v>
          </cell>
          <cell r="H749">
            <v>2.2888729144811195E-5</v>
          </cell>
          <cell r="I749">
            <v>5.2498964339071651E-6</v>
          </cell>
        </row>
        <row r="750">
          <cell r="A750" t="str">
            <v>T_B_u-ICENGA-S2</v>
          </cell>
          <cell r="B750" t="str">
            <v>VAR_ncap</v>
          </cell>
          <cell r="C750" t="str">
            <v>-</v>
          </cell>
          <cell r="F750">
            <v>5.3470708845144503E-8</v>
          </cell>
          <cell r="G750">
            <v>4.3280770725494699E-8</v>
          </cell>
          <cell r="H750">
            <v>4.3533492996785098E-8</v>
          </cell>
        </row>
        <row r="751">
          <cell r="A751" t="str">
            <v>T_B_u-ICENGA-S2</v>
          </cell>
          <cell r="B751" t="str">
            <v>VAR_cap</v>
          </cell>
          <cell r="C751" t="str">
            <v>-</v>
          </cell>
          <cell r="F751">
            <v>5.3470708845144503E-8</v>
          </cell>
          <cell r="G751">
            <v>9.6751479570639196E-8</v>
          </cell>
          <cell r="H751">
            <v>8.0331065234865405E-8</v>
          </cell>
          <cell r="I751">
            <v>2.69445415916413E-8</v>
          </cell>
        </row>
        <row r="752">
          <cell r="A752" t="str">
            <v>T_B_c-ICEDSLEXT</v>
          </cell>
          <cell r="B752" t="str">
            <v>VAR_fout</v>
          </cell>
          <cell r="C752" t="str">
            <v>CO2_T</v>
          </cell>
          <cell r="D752">
            <v>0.44184433860192401</v>
          </cell>
          <cell r="E752">
            <v>0.44076113821731899</v>
          </cell>
          <cell r="F752">
            <v>0.43754906970144902</v>
          </cell>
        </row>
        <row r="753">
          <cell r="A753" t="str">
            <v>T_B_c-ICEDSLEXT</v>
          </cell>
          <cell r="B753" t="str">
            <v>VAR_fout</v>
          </cell>
          <cell r="C753" t="str">
            <v>TPBSc</v>
          </cell>
          <cell r="D753">
            <v>5.9979010243812345E-2</v>
          </cell>
          <cell r="E753">
            <v>4.7982993198446476E-2</v>
          </cell>
          <cell r="F753">
            <v>2.9989375878650613E-2</v>
          </cell>
        </row>
        <row r="754">
          <cell r="A754" t="str">
            <v>T_B_c-ICEDSLEXT</v>
          </cell>
          <cell r="B754" t="str">
            <v>VAR_fin</v>
          </cell>
          <cell r="C754" t="str">
            <v>TDSL</v>
          </cell>
          <cell r="D754">
            <v>6.0278900218543501E-3</v>
          </cell>
          <cell r="E754">
            <v>6.0131123904136304E-3</v>
          </cell>
          <cell r="F754">
            <v>5.9692915375368187E-3</v>
          </cell>
        </row>
        <row r="755">
          <cell r="A755" t="str">
            <v>T_B_c-ICEDSLEXT</v>
          </cell>
          <cell r="B755" t="str">
            <v>VAR_cap</v>
          </cell>
          <cell r="C755" t="str">
            <v>-</v>
          </cell>
          <cell r="D755">
            <v>1.30332047521267E-3</v>
          </cell>
          <cell r="E755">
            <v>1.04265638017014E-3</v>
          </cell>
          <cell r="F755">
            <v>6.5166023760633498E-4</v>
          </cell>
        </row>
        <row r="756">
          <cell r="A756" t="str">
            <v>T_B_u-ICENGA-S3</v>
          </cell>
          <cell r="B756" t="str">
            <v>VAR_fout</v>
          </cell>
          <cell r="C756" t="str">
            <v>CO2_T</v>
          </cell>
          <cell r="F756">
            <v>2.4216292181849801</v>
          </cell>
          <cell r="G756">
            <v>2.4304636700432436</v>
          </cell>
          <cell r="H756">
            <v>6.4525263115622096</v>
          </cell>
          <cell r="I756">
            <v>0.86024810354009296</v>
          </cell>
        </row>
        <row r="757">
          <cell r="A757" t="str">
            <v>T_B_u-ICENGA-S3</v>
          </cell>
          <cell r="B757" t="str">
            <v>VAR_fout</v>
          </cell>
          <cell r="C757" t="str">
            <v>TPBSu</v>
          </cell>
          <cell r="F757">
            <v>2.5485769762861915E-3</v>
          </cell>
          <cell r="G757">
            <v>2.5586374661953921E-3</v>
          </cell>
          <cell r="H757">
            <v>7.8836183215819835E-3</v>
          </cell>
          <cell r="I757">
            <v>1.0822968063042249E-3</v>
          </cell>
        </row>
        <row r="758">
          <cell r="A758" t="str">
            <v>T_B_u-ICENGA-S3</v>
          </cell>
          <cell r="B758" t="str">
            <v>VAR_fin</v>
          </cell>
          <cell r="C758" t="str">
            <v>TNGA</v>
          </cell>
          <cell r="F758">
            <v>4.2936688265691136E-2</v>
          </cell>
          <cell r="G758">
            <v>4.3093327483036285E-2</v>
          </cell>
          <cell r="H758">
            <v>0.11440649488585461</v>
          </cell>
          <cell r="I758">
            <v>1.5252625949292423E-2</v>
          </cell>
        </row>
        <row r="759">
          <cell r="A759" t="str">
            <v>T_B_u-ICENGA-S3</v>
          </cell>
          <cell r="B759" t="str">
            <v>VAR_ncap</v>
          </cell>
          <cell r="C759" t="str">
            <v>-</v>
          </cell>
          <cell r="F759">
            <v>4.80603308421101E-5</v>
          </cell>
          <cell r="G759">
            <v>1.91161282345257E-7</v>
          </cell>
          <cell r="H759">
            <v>5.9590101360193598E-5</v>
          </cell>
        </row>
        <row r="760">
          <cell r="A760" t="str">
            <v>T_B_u-ICENGA-S3</v>
          </cell>
          <cell r="B760" t="str">
            <v>VAR_cap</v>
          </cell>
          <cell r="C760" t="str">
            <v>-</v>
          </cell>
          <cell r="F760">
            <v>4.80603308421101E-5</v>
          </cell>
          <cell r="G760">
            <v>4.82514921244554E-5</v>
          </cell>
          <cell r="H760">
            <v>1.48665902160123E-4</v>
          </cell>
          <cell r="I760">
            <v>2.04108758115153E-5</v>
          </cell>
        </row>
      </sheetData>
      <sheetData sheetId="29">
        <row r="9">
          <cell r="B9">
            <v>18.87300686293344</v>
          </cell>
          <cell r="C9">
            <v>21.779078387598041</v>
          </cell>
          <cell r="D9">
            <v>24.813105967677714</v>
          </cell>
          <cell r="E9">
            <v>34.924300403870177</v>
          </cell>
          <cell r="F9">
            <v>45.690196312092205</v>
          </cell>
          <cell r="G9">
            <v>94.0120055990499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3.8946880473451776E-3</v>
          </cell>
          <cell r="G28">
            <v>21.361180689397536</v>
          </cell>
        </row>
      </sheetData>
      <sheetData sheetId="30"/>
      <sheetData sheetId="31"/>
      <sheetData sheetId="32">
        <row r="14">
          <cell r="B14">
            <v>82.760000015833299</v>
          </cell>
          <cell r="C14">
            <v>82.759999289170679</v>
          </cell>
          <cell r="D14">
            <v>68.99231168534439</v>
          </cell>
          <cell r="E14">
            <v>69.934410155206677</v>
          </cell>
          <cell r="F14">
            <v>32.820800026390955</v>
          </cell>
          <cell r="G14">
            <v>0</v>
          </cell>
        </row>
        <row r="15">
          <cell r="B15">
            <v>66.745680000968164</v>
          </cell>
          <cell r="C15">
            <v>49.182940005258239</v>
          </cell>
          <cell r="D15">
            <v>68.537787966700805</v>
          </cell>
          <cell r="E15">
            <v>70.236607180315332</v>
          </cell>
          <cell r="F15">
            <v>73.020285337032291</v>
          </cell>
          <cell r="G15">
            <v>69.178229752170594</v>
          </cell>
        </row>
        <row r="16">
          <cell r="B16">
            <v>66.632400083472731</v>
          </cell>
          <cell r="C16">
            <v>55.764000065769004</v>
          </cell>
          <cell r="D16">
            <v>65.547550949863876</v>
          </cell>
          <cell r="E16">
            <v>64.46266238111555</v>
          </cell>
          <cell r="F16">
            <v>62.292915065927907</v>
          </cell>
          <cell r="G16">
            <v>66.134970443047848</v>
          </cell>
        </row>
        <row r="17">
          <cell r="B17">
            <v>12.841920049738343</v>
          </cell>
          <cell r="C17">
            <v>16.033005650217238</v>
          </cell>
          <cell r="D17">
            <v>2.6698049783343367</v>
          </cell>
          <cell r="E17">
            <v>12.550631439260783</v>
          </cell>
          <cell r="F17">
            <v>12.937638387192727</v>
          </cell>
          <cell r="G17">
            <v>13.42863515351848</v>
          </cell>
        </row>
        <row r="18">
          <cell r="B18">
            <v>3.9600053344282612E-2</v>
          </cell>
          <cell r="C18">
            <v>0</v>
          </cell>
          <cell r="D18">
            <v>1.3219179757544588E-4</v>
          </cell>
          <cell r="E18">
            <v>1.3325238889307701E-5</v>
          </cell>
          <cell r="F18">
            <v>5.7261640184793495E-5</v>
          </cell>
          <cell r="G18">
            <v>7.0679488442114688E-6</v>
          </cell>
        </row>
        <row r="19">
          <cell r="B19">
            <v>6.5070000228152001</v>
          </cell>
          <cell r="C19">
            <v>7.4134107447426167</v>
          </cell>
          <cell r="D19">
            <v>8.0540336396326442</v>
          </cell>
          <cell r="E19">
            <v>7.3981380608716156</v>
          </cell>
          <cell r="F19">
            <v>6.0609874217635769</v>
          </cell>
          <cell r="G19">
            <v>4.6534301377627454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1.5858419656105578</v>
          </cell>
          <cell r="G20">
            <v>4.4441154615835252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5.388477855123912E-4</v>
          </cell>
          <cell r="G21">
            <v>2.2641676311486105E-5</v>
          </cell>
        </row>
        <row r="22">
          <cell r="B22">
            <v>0</v>
          </cell>
          <cell r="C22">
            <v>0</v>
          </cell>
          <cell r="D22">
            <v>1.2634278352735299E-4</v>
          </cell>
          <cell r="E22">
            <v>5.9082339857390543E-5</v>
          </cell>
          <cell r="F22">
            <v>5.0219256293361339E-2</v>
          </cell>
          <cell r="G22">
            <v>1.602491981564249E-2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1.9609300544002302E-4</v>
          </cell>
          <cell r="G23">
            <v>1.7696309616671606E-4</v>
          </cell>
        </row>
        <row r="24">
          <cell r="B24">
            <v>0.96588003501536424</v>
          </cell>
          <cell r="C24">
            <v>0</v>
          </cell>
          <cell r="D24">
            <v>2.5187597798482647E-2</v>
          </cell>
          <cell r="E24">
            <v>3.3697122694864669E-2</v>
          </cell>
          <cell r="F24">
            <v>2.2728398051157186E-2</v>
          </cell>
          <cell r="G24">
            <v>5.2304589041500021E-6</v>
          </cell>
        </row>
        <row r="25">
          <cell r="B25">
            <v>0.4120288480451112</v>
          </cell>
          <cell r="C25">
            <v>1.6544772360841875E-5</v>
          </cell>
          <cell r="D25">
            <v>8.5581149014901073E-4</v>
          </cell>
          <cell r="E25">
            <v>2.8428885477258919E-4</v>
          </cell>
          <cell r="F25">
            <v>0.12571994639223508</v>
          </cell>
          <cell r="G25">
            <v>0.73594497259483516</v>
          </cell>
        </row>
        <row r="26">
          <cell r="B26">
            <v>1.5176404908630983</v>
          </cell>
          <cell r="C26">
            <v>1.4277224244374336</v>
          </cell>
          <cell r="D26">
            <v>1.343353353704039</v>
          </cell>
          <cell r="E26">
            <v>1.4025300965126173</v>
          </cell>
          <cell r="F26">
            <v>1.1226826474516338</v>
          </cell>
          <cell r="G26">
            <v>0.69933005722882213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0.26527008964361987</v>
          </cell>
          <cell r="G27">
            <v>0.71175150306500123</v>
          </cell>
        </row>
        <row r="28">
          <cell r="B28">
            <v>1.8000533663101483E-3</v>
          </cell>
          <cell r="C28">
            <v>0</v>
          </cell>
          <cell r="D28">
            <v>5.374850071596484E-5</v>
          </cell>
          <cell r="E28">
            <v>8.339164609199021E-6</v>
          </cell>
          <cell r="F28">
            <v>1.4893998187853581E-5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0.11169209867542626</v>
          </cell>
          <cell r="G29">
            <v>1.9662543904164352E-5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1.5083355571333905E-5</v>
          </cell>
          <cell r="G30">
            <v>4.7829162454984531E-2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1.3917579925816123E-5</v>
          </cell>
          <cell r="G31">
            <v>0.18398442291238482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5.8409003546072507E-4</v>
          </cell>
          <cell r="G32">
            <v>3.2041770316103531</v>
          </cell>
        </row>
        <row r="33">
          <cell r="B33">
            <v>0.52400000000000047</v>
          </cell>
          <cell r="C33">
            <v>0.55079999487740994</v>
          </cell>
          <cell r="D33">
            <v>1.9353729882399184</v>
          </cell>
          <cell r="E33">
            <v>6.3940299883357739</v>
          </cell>
          <cell r="F33">
            <v>17.980165940397701</v>
          </cell>
          <cell r="G33">
            <v>35.960145584703454</v>
          </cell>
        </row>
        <row r="34">
          <cell r="B34">
            <v>0</v>
          </cell>
          <cell r="C34">
            <v>0</v>
          </cell>
          <cell r="D34">
            <v>0.14856511313790149</v>
          </cell>
          <cell r="E34">
            <v>0.23805623020223662</v>
          </cell>
          <cell r="F34">
            <v>1.4214467923366068</v>
          </cell>
          <cell r="G34">
            <v>5.8672630348119483</v>
          </cell>
        </row>
        <row r="35">
          <cell r="B35">
            <v>3.517953999707534</v>
          </cell>
          <cell r="C35">
            <v>5.2836844775526357</v>
          </cell>
          <cell r="D35">
            <v>6.9760031413777854</v>
          </cell>
          <cell r="E35">
            <v>17.321232970106955</v>
          </cell>
          <cell r="F35">
            <v>35.524595502046708</v>
          </cell>
          <cell r="G35">
            <v>52.112117460693973</v>
          </cell>
        </row>
        <row r="36">
          <cell r="B36">
            <v>2.1349390887346629</v>
          </cell>
          <cell r="C36">
            <v>2.8857414319269008</v>
          </cell>
          <cell r="D36">
            <v>3.4417841859344631</v>
          </cell>
          <cell r="E36">
            <v>4.1854666701866581</v>
          </cell>
          <cell r="F36">
            <v>5.6249100911044811</v>
          </cell>
          <cell r="G36">
            <v>7.5594113678802097</v>
          </cell>
        </row>
        <row r="37">
          <cell r="B37">
            <v>0.86248322578584768</v>
          </cell>
          <cell r="C37">
            <v>1.4310617999735702</v>
          </cell>
          <cell r="D37">
            <v>1.6425689397440268</v>
          </cell>
          <cell r="E37">
            <v>1.9974865246625577</v>
          </cell>
          <cell r="F37">
            <v>2.6844548398037285</v>
          </cell>
          <cell r="G37">
            <v>3.60768296835061</v>
          </cell>
        </row>
        <row r="38">
          <cell r="B38">
            <v>2.8396236857719668</v>
          </cell>
          <cell r="C38">
            <v>3.760595499530115</v>
          </cell>
          <cell r="D38">
            <v>3.8744981301561947</v>
          </cell>
          <cell r="E38">
            <v>4.7116758894640949</v>
          </cell>
          <cell r="F38">
            <v>6.3320894779210102</v>
          </cell>
          <cell r="G38">
            <v>8.5097998701767015</v>
          </cell>
        </row>
        <row r="39">
          <cell r="B39">
            <v>0.66996026644738682</v>
          </cell>
          <cell r="C39">
            <v>7.7717200975104664E-2</v>
          </cell>
          <cell r="D39">
            <v>4.9432759402300894E-2</v>
          </cell>
          <cell r="E39">
            <v>0.11041803947898006</v>
          </cell>
          <cell r="F39">
            <v>1.3664430018864859E-2</v>
          </cell>
          <cell r="G39">
            <v>0.16419328724621396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2.2595170336053808E-5</v>
          </cell>
          <cell r="G40">
            <v>9.4935765341038383E-2</v>
          </cell>
        </row>
        <row r="41">
          <cell r="B41">
            <v>7.0500054520267086E-2</v>
          </cell>
          <cell r="C41">
            <v>0.17152756761400367</v>
          </cell>
          <cell r="D41">
            <v>2.9355451539644114E-3</v>
          </cell>
          <cell r="E41">
            <v>0.17150614835132336</v>
          </cell>
          <cell r="F41">
            <v>6.6262915770496028E-3</v>
          </cell>
          <cell r="G41">
            <v>1.5100444926624385E-3</v>
          </cell>
        </row>
        <row r="42">
          <cell r="B42">
            <v>0.17245257776911257</v>
          </cell>
          <cell r="C42">
            <v>0.58446615159499904</v>
          </cell>
          <cell r="D42">
            <v>1.1367839519060579</v>
          </cell>
          <cell r="E42">
            <v>1.8381945256006382</v>
          </cell>
          <cell r="F42">
            <v>1.7126645984951328</v>
          </cell>
          <cell r="G42">
            <v>0.91852939080639817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2.7037077381314512</v>
          </cell>
          <cell r="G43">
            <v>4.2321582705998138</v>
          </cell>
        </row>
        <row r="44">
          <cell r="B44">
            <v>0.23004007986946667</v>
          </cell>
          <cell r="C44">
            <v>0.2075395998481632</v>
          </cell>
          <cell r="D44">
            <v>0.33670547578737114</v>
          </cell>
          <cell r="E44">
            <v>0.33294516750130332</v>
          </cell>
          <cell r="F44">
            <v>0.1899751635941746</v>
          </cell>
          <cell r="G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0.12379361782821342</v>
          </cell>
          <cell r="G45">
            <v>0.59296383828231358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1.0181042810408226E-4</v>
          </cell>
          <cell r="F46">
            <v>4.8333280924813882E-4</v>
          </cell>
          <cell r="G46">
            <v>0.46843226986173725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1.144808954257194E-5</v>
          </cell>
          <cell r="F47">
            <v>3.9447583084998664E-5</v>
          </cell>
          <cell r="G47">
            <v>1.688498475659516E-5</v>
          </cell>
        </row>
        <row r="48">
          <cell r="B48">
            <v>1.2587273303933739E-2</v>
          </cell>
          <cell r="C48">
            <v>3.6977358771239161E-4</v>
          </cell>
          <cell r="D48">
            <v>4.2116817568065544E-4</v>
          </cell>
          <cell r="E48">
            <v>4.2108762879084215E-4</v>
          </cell>
          <cell r="F48">
            <v>8.4162745339604961E-4</v>
          </cell>
          <cell r="G48">
            <v>6.2102249615307559E-4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2.4540608592984893E-6</v>
          </cell>
          <cell r="F49">
            <v>1.1399403704084644E-5</v>
          </cell>
          <cell r="G49">
            <v>6.77075210431618E-6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2.6262298043956618E-5</v>
          </cell>
          <cell r="F50">
            <v>5.8241890452094316E-5</v>
          </cell>
          <cell r="G50">
            <v>4.4928067680485891E-5</v>
          </cell>
        </row>
        <row r="51">
          <cell r="B51">
            <v>2.7621812261934216E-2</v>
          </cell>
          <cell r="C51">
            <v>1.2031196999418591E-3</v>
          </cell>
          <cell r="D51">
            <v>1.7040707929786205E-3</v>
          </cell>
          <cell r="E51">
            <v>0.24779058321931752</v>
          </cell>
          <cell r="F51">
            <v>0.38637880194351271</v>
          </cell>
          <cell r="G51">
            <v>0.39609235280094851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2.0485582875753981E-5</v>
          </cell>
          <cell r="F52">
            <v>7.0960038711436073E-5</v>
          </cell>
          <cell r="G52">
            <v>6.9057001242471441E-4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0.95936405744582232</v>
          </cell>
          <cell r="C54">
            <v>1.1059335749311869</v>
          </cell>
          <cell r="D54">
            <v>1.1733412946902979</v>
          </cell>
          <cell r="E54">
            <v>1.1733413942848772</v>
          </cell>
          <cell r="F54">
            <v>1.5101147532576003</v>
          </cell>
          <cell r="G54">
            <v>2.1417540155143486</v>
          </cell>
        </row>
        <row r="55">
          <cell r="B55">
            <v>0.59439626630979303</v>
          </cell>
          <cell r="C55">
            <v>0.62585982152611519</v>
          </cell>
          <cell r="D55">
            <v>0.52379928583919666</v>
          </cell>
          <cell r="E55">
            <v>0.50045958489711029</v>
          </cell>
          <cell r="F55">
            <v>0.18486777809046459</v>
          </cell>
          <cell r="G55">
            <v>7.0434101981649237E-5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4.0641142659442411E-5</v>
          </cell>
          <cell r="F56">
            <v>8.9744806506716188E-5</v>
          </cell>
          <cell r="G56">
            <v>4.2025942258536006E-5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2.7829962450029068E-5</v>
          </cell>
          <cell r="F57">
            <v>4.4390313043686256E-5</v>
          </cell>
          <cell r="G57">
            <v>5.929611022743657E-5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1.3517305316692983E-5</v>
          </cell>
          <cell r="F58">
            <v>3.2113342260710986E-5</v>
          </cell>
          <cell r="G58">
            <v>1.5113844782138129E-5</v>
          </cell>
        </row>
        <row r="70">
          <cell r="B70">
            <v>9.4500252975572588E-2</v>
          </cell>
          <cell r="C70">
            <v>6.0720923649635649E-3</v>
          </cell>
          <cell r="D70">
            <v>3.8206563196244291E-2</v>
          </cell>
          <cell r="E70">
            <v>1.9269994355891474E-5</v>
          </cell>
          <cell r="F70">
            <v>7.5119992426337745E-4</v>
          </cell>
          <cell r="G70">
            <v>4.3483732757662104E-2</v>
          </cell>
        </row>
        <row r="71">
          <cell r="B71">
            <v>7.0665640978477844E-5</v>
          </cell>
          <cell r="C71">
            <v>5.5016466614366113E-5</v>
          </cell>
          <cell r="D71">
            <v>7.1087989728701249E-5</v>
          </cell>
          <cell r="E71">
            <v>0</v>
          </cell>
          <cell r="F71">
            <v>0</v>
          </cell>
          <cell r="G71">
            <v>0</v>
          </cell>
        </row>
        <row r="72">
          <cell r="B72">
            <v>6.4438962310693163E-5</v>
          </cell>
          <cell r="C72">
            <v>5.0479184474412595E-5</v>
          </cell>
          <cell r="D72">
            <v>6.4887300704795717E-5</v>
          </cell>
          <cell r="E72">
            <v>0</v>
          </cell>
          <cell r="F72">
            <v>0</v>
          </cell>
          <cell r="G72">
            <v>0</v>
          </cell>
        </row>
        <row r="73">
          <cell r="B73">
            <v>2.2358256730935395E-5</v>
          </cell>
          <cell r="C73">
            <v>2.2260367481351982E-5</v>
          </cell>
          <cell r="D73">
            <v>3.3290310380604866E-5</v>
          </cell>
          <cell r="E73">
            <v>8.1290350532223286E-5</v>
          </cell>
          <cell r="F73">
            <v>1.4990380814111225E-4</v>
          </cell>
          <cell r="G73">
            <v>1.0949446805113599E-4</v>
          </cell>
        </row>
        <row r="74">
          <cell r="B74">
            <v>5.2850176234752415E-5</v>
          </cell>
          <cell r="C74">
            <v>5.2655454084406527E-5</v>
          </cell>
          <cell r="D74">
            <v>5.9065186690420099E-5</v>
          </cell>
          <cell r="E74">
            <v>2.1329110661248265E-3</v>
          </cell>
          <cell r="F74">
            <v>1.2999833447724521E-2</v>
          </cell>
          <cell r="G74">
            <v>0.10043219703473966</v>
          </cell>
        </row>
        <row r="75">
          <cell r="B75">
            <v>4.7368539022613963E-5</v>
          </cell>
          <cell r="C75">
            <v>4.7166681654830389E-5</v>
          </cell>
          <cell r="D75">
            <v>4.746454104281769E-5</v>
          </cell>
          <cell r="E75">
            <v>1.9546020000808391E-3</v>
          </cell>
          <cell r="F75">
            <v>0.148673743541721</v>
          </cell>
          <cell r="G75">
            <v>0.37702504788378371</v>
          </cell>
        </row>
        <row r="76">
          <cell r="B76">
            <v>2.2448451377422343E-5</v>
          </cell>
          <cell r="C76">
            <v>2.2351283701111696E-5</v>
          </cell>
          <cell r="D76">
            <v>3.3403499248833347E-5</v>
          </cell>
          <cell r="E76">
            <v>8.1210228529483142E-5</v>
          </cell>
          <cell r="F76">
            <v>1.3156082097517493E-4</v>
          </cell>
          <cell r="G76">
            <v>8.5950964252699024E-5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6.4130596595807785E-7</v>
          </cell>
          <cell r="G90">
            <v>4.0686259470128893E-7</v>
          </cell>
        </row>
        <row r="91">
          <cell r="B91">
            <v>1.8035498856199199</v>
          </cell>
          <cell r="C91">
            <v>0</v>
          </cell>
          <cell r="D91">
            <v>5.0450664626321702E-2</v>
          </cell>
          <cell r="E91">
            <v>7.2069107790757467E-2</v>
          </cell>
          <cell r="F91">
            <v>4.8087260008775563E-2</v>
          </cell>
          <cell r="G91">
            <v>1.1316567024432854E-5</v>
          </cell>
        </row>
        <row r="92">
          <cell r="B92">
            <v>1.2335942029956095</v>
          </cell>
          <cell r="C92">
            <v>4.3784386157888705E-5</v>
          </cell>
          <cell r="D92">
            <v>0.17476148410023515</v>
          </cell>
          <cell r="E92">
            <v>7.4346787346790504E-4</v>
          </cell>
          <cell r="F92">
            <v>0.32878395618299078</v>
          </cell>
          <cell r="G92">
            <v>3.3178519106437596</v>
          </cell>
        </row>
        <row r="93">
          <cell r="B93">
            <v>14.159860289110192</v>
          </cell>
          <cell r="C93">
            <v>13.249389018502455</v>
          </cell>
          <cell r="D93">
            <v>12.337536423170322</v>
          </cell>
          <cell r="E93">
            <v>12.779633570395882</v>
          </cell>
          <cell r="F93">
            <v>12.000969040352778</v>
          </cell>
          <cell r="G93">
            <v>10.757708551736368</v>
          </cell>
        </row>
        <row r="94">
          <cell r="B94">
            <v>9.2574173124521826E-3</v>
          </cell>
          <cell r="C94">
            <v>0</v>
          </cell>
          <cell r="D94">
            <v>2.7642086082496197E-4</v>
          </cell>
          <cell r="E94">
            <v>4.2887132275880609E-5</v>
          </cell>
          <cell r="F94">
            <v>7.6597704966104114E-5</v>
          </cell>
          <cell r="G94">
            <v>8.3495556831800029E-6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0.14240742581116847</v>
          </cell>
          <cell r="G95">
            <v>2.6251378655627022E-5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1.8315503193762547E-5</v>
          </cell>
          <cell r="G96">
            <v>6.035584785986129E-2</v>
          </cell>
        </row>
        <row r="97">
          <cell r="B97">
            <v>1.732897689002755</v>
          </cell>
          <cell r="C97">
            <v>0</v>
          </cell>
          <cell r="D97">
            <v>3.4307711038139725E-5</v>
          </cell>
          <cell r="E97">
            <v>0.38544788010574027</v>
          </cell>
          <cell r="F97">
            <v>3.9711475910534998E-4</v>
          </cell>
          <cell r="G97">
            <v>0</v>
          </cell>
        </row>
        <row r="98">
          <cell r="B98">
            <v>0.90177365284241062</v>
          </cell>
          <cell r="C98">
            <v>0</v>
          </cell>
          <cell r="D98">
            <v>1.1810183230515152E-5</v>
          </cell>
          <cell r="E98">
            <v>5.3264082368551926E-6</v>
          </cell>
          <cell r="F98">
            <v>5.9102201040029272E-6</v>
          </cell>
          <cell r="G98">
            <v>2.5283431351154088E-7</v>
          </cell>
        </row>
        <row r="99">
          <cell r="B99">
            <v>1.4500001058889773</v>
          </cell>
          <cell r="C99">
            <v>3.801939893519914</v>
          </cell>
          <cell r="D99">
            <v>3.8019218733786198</v>
          </cell>
          <cell r="E99">
            <v>1.0696875536632149</v>
          </cell>
          <cell r="F99">
            <v>0</v>
          </cell>
          <cell r="G99">
            <v>0</v>
          </cell>
        </row>
        <row r="100">
          <cell r="B100">
            <v>0.18406364536559505</v>
          </cell>
          <cell r="C100">
            <v>0</v>
          </cell>
          <cell r="D100">
            <v>2.5641584669635386E-5</v>
          </cell>
          <cell r="E100">
            <v>1.2075287667758592E-5</v>
          </cell>
          <cell r="F100">
            <v>6.4174120074509576E-6</v>
          </cell>
          <cell r="G100">
            <v>0</v>
          </cell>
        </row>
        <row r="101">
          <cell r="B101">
            <v>1.5828446442514124</v>
          </cell>
          <cell r="C101">
            <v>1.4285172449586985</v>
          </cell>
          <cell r="D101">
            <v>1.2247749912392329</v>
          </cell>
          <cell r="E101">
            <v>0.94770755688350861</v>
          </cell>
          <cell r="F101">
            <v>0.56742755369270081</v>
          </cell>
          <cell r="G101">
            <v>0.33973958688319567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B103">
            <v>2.085011001407342</v>
          </cell>
          <cell r="C103">
            <v>0.22648253152292336</v>
          </cell>
          <cell r="D103">
            <v>0.12937828424155898</v>
          </cell>
          <cell r="E103">
            <v>0.23434845216027739</v>
          </cell>
          <cell r="F103">
            <v>1.550203555233778E-2</v>
          </cell>
          <cell r="G103">
            <v>0.28640579496485863</v>
          </cell>
        </row>
        <row r="104">
          <cell r="B104">
            <v>0.92931890049443122</v>
          </cell>
          <cell r="C104">
            <v>2.0729635468487739</v>
          </cell>
          <cell r="D104">
            <v>3.0648687249485964E-2</v>
          </cell>
          <cell r="E104">
            <v>1.3204719837478649</v>
          </cell>
          <cell r="F104">
            <v>1.4688632820935419E-2</v>
          </cell>
          <cell r="G104">
            <v>3.347383055513178E-3</v>
          </cell>
        </row>
        <row r="105">
          <cell r="B105">
            <v>0.65953251346108632</v>
          </cell>
          <cell r="C105">
            <v>2.0354732389492485</v>
          </cell>
          <cell r="D105">
            <v>3.3761419820773262</v>
          </cell>
          <cell r="E105">
            <v>3.8884884195398186</v>
          </cell>
          <cell r="F105">
            <v>9.3423261067231067</v>
          </cell>
          <cell r="G105">
            <v>10.895685524515168</v>
          </cell>
        </row>
        <row r="106">
          <cell r="B106">
            <v>1.9347802049834564</v>
          </cell>
          <cell r="C106">
            <v>1.6761030665119234</v>
          </cell>
          <cell r="D106">
            <v>2.5502835006504729</v>
          </cell>
          <cell r="E106">
            <v>2.2433281282237751</v>
          </cell>
          <cell r="F106">
            <v>1.5892511039071953</v>
          </cell>
          <cell r="G106">
            <v>2.0114835772920605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5.7240447712859715E-6</v>
          </cell>
          <cell r="F107">
            <v>1.773331716665078E-5</v>
          </cell>
          <cell r="G107">
            <v>6.4574781708892726E-6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7.6100724037394838E-5</v>
          </cell>
          <cell r="F108">
            <v>2.8999968554888311E-4</v>
          </cell>
          <cell r="G108">
            <v>0.23421613493086862</v>
          </cell>
        </row>
        <row r="109">
          <cell r="B109">
            <v>3.0396918636573206E-2</v>
          </cell>
          <cell r="C109">
            <v>8.8437119179602763E-4</v>
          </cell>
          <cell r="D109">
            <v>1.0724315105740368E-3</v>
          </cell>
          <cell r="E109">
            <v>1.055283509810833E-3</v>
          </cell>
          <cell r="F109">
            <v>2.0377593760857876E-3</v>
          </cell>
          <cell r="G109">
            <v>1.479695683039557E-3</v>
          </cell>
        </row>
        <row r="110">
          <cell r="B110">
            <v>6.0585036649286609E-6</v>
          </cell>
          <cell r="C110">
            <v>3.1807834133619496E-8</v>
          </cell>
          <cell r="D110">
            <v>5.9954688529161971E-6</v>
          </cell>
          <cell r="E110">
            <v>9.9222906715774084E-5</v>
          </cell>
          <cell r="F110">
            <v>2.0415018156710844E-4</v>
          </cell>
          <cell r="G110">
            <v>1.4413271151502601E-4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0.10587416375017747</v>
          </cell>
          <cell r="C112">
            <v>2.5976093187042816E-3</v>
          </cell>
          <cell r="D112">
            <v>3.8896247858571458E-3</v>
          </cell>
          <cell r="E112">
            <v>0.52799983590683797</v>
          </cell>
          <cell r="F112">
            <v>0.80891890776995234</v>
          </cell>
          <cell r="G112">
            <v>0.8360520197964979</v>
          </cell>
        </row>
        <row r="113">
          <cell r="B113">
            <v>7.4659653532743372E-6</v>
          </cell>
          <cell r="C113">
            <v>3.1795113412387626E-8</v>
          </cell>
          <cell r="D113">
            <v>7.5705970099237458E-6</v>
          </cell>
          <cell r="E113">
            <v>0</v>
          </cell>
          <cell r="F113">
            <v>1.6608537584490224E-7</v>
          </cell>
          <cell r="G113">
            <v>3.1404135506559964E-6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1.4243075484212893</v>
          </cell>
          <cell r="C115">
            <v>1.5783093694596859</v>
          </cell>
          <cell r="D115">
            <v>1.573292959941242</v>
          </cell>
          <cell r="E115">
            <v>1.404599928691767</v>
          </cell>
          <cell r="F115">
            <v>1.3735260758193411</v>
          </cell>
          <cell r="G115">
            <v>1.9480340695657885</v>
          </cell>
        </row>
        <row r="116">
          <cell r="B116">
            <v>0.69257438477950906</v>
          </cell>
          <cell r="C116">
            <v>0.75019035147565793</v>
          </cell>
          <cell r="D116">
            <v>0.65416225768370639</v>
          </cell>
          <cell r="E116">
            <v>0.66690564620455528</v>
          </cell>
          <cell r="F116">
            <v>0.27730166713569726</v>
          </cell>
          <cell r="G116">
            <v>1.0565115297247381E-4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6.4951390602704934E-5</v>
          </cell>
          <cell r="F117">
            <v>1.3724510342452738E-4</v>
          </cell>
          <cell r="G117">
            <v>6.1719133181408999E-5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2.7088105804188176E-6</v>
          </cell>
          <cell r="F118">
            <v>9.4760682080786678E-6</v>
          </cell>
          <cell r="G118">
            <v>3.7239254504994968E-6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2.0842060016400681E-5</v>
          </cell>
          <cell r="F119">
            <v>2.7805872634593368E-5</v>
          </cell>
          <cell r="G119">
            <v>3.351519273724679E-5</v>
          </cell>
        </row>
        <row r="123">
          <cell r="B123">
            <v>0</v>
          </cell>
          <cell r="C123">
            <v>6.9882490863622388</v>
          </cell>
          <cell r="D123">
            <v>7.2000000228913263</v>
          </cell>
          <cell r="E123">
            <v>13.46399981102498</v>
          </cell>
          <cell r="F123">
            <v>16.018217065657478</v>
          </cell>
          <cell r="G123">
            <v>17.697465043531761</v>
          </cell>
        </row>
      </sheetData>
      <sheetData sheetId="33">
        <row r="13">
          <cell r="B13">
            <v>16.052400097380474</v>
          </cell>
          <cell r="C13">
            <v>20.04125712666357</v>
          </cell>
          <cell r="D13">
            <v>3.3372562808725541</v>
          </cell>
          <cell r="E13">
            <v>15.688289256863193</v>
          </cell>
          <cell r="F13">
            <v>16.172047906055575</v>
          </cell>
          <cell r="G13">
            <v>16.785793874933027</v>
          </cell>
        </row>
        <row r="14">
          <cell r="B14">
            <v>250.94816993910663</v>
          </cell>
          <cell r="C14">
            <v>253.30010753605379</v>
          </cell>
          <cell r="D14">
            <v>211.79437589419959</v>
          </cell>
          <cell r="E14">
            <v>211.90230401996928</v>
          </cell>
          <cell r="F14">
            <v>98.945499486224335</v>
          </cell>
          <cell r="G14">
            <v>0</v>
          </cell>
        </row>
        <row r="15">
          <cell r="B15">
            <v>66.745680000968164</v>
          </cell>
          <cell r="C15">
            <v>49.182940005258239</v>
          </cell>
          <cell r="D15">
            <v>68.537787966700805</v>
          </cell>
          <cell r="E15">
            <v>70.236607180315332</v>
          </cell>
          <cell r="F15">
            <v>73.020285337032291</v>
          </cell>
          <cell r="G15">
            <v>69.178229752170594</v>
          </cell>
        </row>
        <row r="16">
          <cell r="B16">
            <v>66.632400083472731</v>
          </cell>
          <cell r="C16">
            <v>55.764000065769004</v>
          </cell>
          <cell r="D16">
            <v>65.547550949863876</v>
          </cell>
          <cell r="E16">
            <v>64.46266238111555</v>
          </cell>
          <cell r="F16">
            <v>62.292915065927907</v>
          </cell>
          <cell r="G16">
            <v>66.134970443047848</v>
          </cell>
        </row>
        <row r="18">
          <cell r="B18">
            <v>0.1131784745791958</v>
          </cell>
          <cell r="C18">
            <v>0</v>
          </cell>
          <cell r="D18">
            <v>4.1725523218078176E-4</v>
          </cell>
          <cell r="E18">
            <v>4.6407347237466114E-5</v>
          </cell>
          <cell r="F18">
            <v>1.7696879841647966E-4</v>
          </cell>
          <cell r="G18">
            <v>2.2991050677187802E-5</v>
          </cell>
        </row>
        <row r="19">
          <cell r="B19">
            <v>18.203590542488215</v>
          </cell>
          <cell r="C19">
            <v>20.739310472937728</v>
          </cell>
          <cell r="D19">
            <v>22.531478419738487</v>
          </cell>
          <cell r="E19">
            <v>20.696584534302726</v>
          </cell>
          <cell r="F19">
            <v>16.955852608284026</v>
          </cell>
          <cell r="G19">
            <v>13.018155301812778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4.7379808744581071</v>
          </cell>
          <cell r="G20">
            <v>13.017229418049924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8.7430220498967994E-4</v>
          </cell>
          <cell r="G21">
            <v>4.1474305032746088E-5</v>
          </cell>
        </row>
        <row r="22">
          <cell r="B22">
            <v>0</v>
          </cell>
          <cell r="C22">
            <v>0</v>
          </cell>
          <cell r="D22">
            <v>3.4535876477715809E-4</v>
          </cell>
          <cell r="E22">
            <v>1.5027097386649977E-4</v>
          </cell>
          <cell r="F22">
            <v>0.12897656580046971</v>
          </cell>
          <cell r="G22">
            <v>3.9108850275921155E-2</v>
          </cell>
          <cell r="L22">
            <v>2.5469740315334159</v>
          </cell>
          <cell r="M22">
            <v>0.46437498894429929</v>
          </cell>
          <cell r="N22">
            <v>0.45605606041737912</v>
          </cell>
          <cell r="O22">
            <v>0.85006520605734304</v>
          </cell>
          <cell r="P22">
            <v>0.64135110175372789</v>
          </cell>
          <cell r="Q22">
            <v>0.45422144962209099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3.7263881327873489E-4</v>
          </cell>
          <cell r="G23">
            <v>3.2610196059620038E-4</v>
          </cell>
          <cell r="L23">
            <v>6.4955989836019773E-2</v>
          </cell>
          <cell r="M23">
            <v>8.1396115128563776E-2</v>
          </cell>
          <cell r="N23">
            <v>1.6731277868878545E-2</v>
          </cell>
          <cell r="O23">
            <v>1.4730285762397287E-2</v>
          </cell>
          <cell r="P23">
            <v>4.8900615297900445E-3</v>
          </cell>
          <cell r="Q23">
            <v>0.19196940859990361</v>
          </cell>
        </row>
        <row r="24">
          <cell r="B24">
            <v>3.6656609809723784</v>
          </cell>
          <cell r="C24">
            <v>0</v>
          </cell>
          <cell r="D24">
            <v>9.8781464827751811E-2</v>
          </cell>
          <cell r="E24">
            <v>0.13664867356331883</v>
          </cell>
          <cell r="F24">
            <v>9.1205554726500992E-2</v>
          </cell>
          <cell r="G24">
            <v>2.509455812310763E-5</v>
          </cell>
        </row>
        <row r="25">
          <cell r="B25">
            <v>1.6891401167523541</v>
          </cell>
          <cell r="C25">
            <v>6.0893811771259914E-5</v>
          </cell>
          <cell r="D25">
            <v>3.3129398801954343E-3</v>
          </cell>
          <cell r="E25">
            <v>1.0371935131964563E-3</v>
          </cell>
          <cell r="F25">
            <v>0.41070606520641539</v>
          </cell>
          <cell r="G25">
            <v>2.4077115061997736</v>
          </cell>
        </row>
        <row r="26">
          <cell r="B26">
            <v>39.679287965280224</v>
          </cell>
          <cell r="C26">
            <v>37.495143691599353</v>
          </cell>
          <cell r="D26">
            <v>35.697702440421395</v>
          </cell>
          <cell r="E26">
            <v>37.206398595316365</v>
          </cell>
          <cell r="F26">
            <v>31.007779756922623</v>
          </cell>
          <cell r="G26">
            <v>27.654994534726427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5.4986405298540477</v>
          </cell>
          <cell r="G27">
            <v>13.180583390092613</v>
          </cell>
        </row>
        <row r="28">
          <cell r="B28">
            <v>1.5596405460123412E-2</v>
          </cell>
          <cell r="C28">
            <v>0</v>
          </cell>
          <cell r="D28">
            <v>4.9610377295973508E-4</v>
          </cell>
          <cell r="E28">
            <v>8.245531830367569E-5</v>
          </cell>
          <cell r="F28">
            <v>1.400819240407356E-4</v>
          </cell>
          <cell r="G28">
            <v>1.6175872906088456E-5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0.27923024668856566</v>
          </cell>
          <cell r="G29">
            <v>4.9896852395138649E-5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3.5912751360318822E-5</v>
          </cell>
          <cell r="G30">
            <v>0.11387895822615367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8.0909997045938915E-5</v>
          </cell>
          <cell r="G31">
            <v>0.69680530517913652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3.8939335697381681E-3</v>
          </cell>
          <cell r="G32">
            <v>21.361180210735661</v>
          </cell>
        </row>
        <row r="33">
          <cell r="B33">
            <v>0.52400000000000047</v>
          </cell>
          <cell r="C33">
            <v>0.55079999487740994</v>
          </cell>
          <cell r="D33">
            <v>1.9353729882399184</v>
          </cell>
          <cell r="E33">
            <v>6.3940299883357739</v>
          </cell>
          <cell r="F33">
            <v>17.980165940397701</v>
          </cell>
          <cell r="G33">
            <v>35.960145584703454</v>
          </cell>
        </row>
        <row r="34">
          <cell r="B34">
            <v>0</v>
          </cell>
          <cell r="C34">
            <v>0</v>
          </cell>
          <cell r="D34">
            <v>0.14856511313790149</v>
          </cell>
          <cell r="E34">
            <v>0.23805623020223662</v>
          </cell>
          <cell r="F34">
            <v>1.4214467923366068</v>
          </cell>
          <cell r="G34">
            <v>5.8672630348119483</v>
          </cell>
        </row>
        <row r="35">
          <cell r="B35">
            <v>3.517953999707534</v>
          </cell>
          <cell r="C35">
            <v>5.2836844775526357</v>
          </cell>
          <cell r="D35">
            <v>6.9760031413777854</v>
          </cell>
          <cell r="E35">
            <v>17.321232970106955</v>
          </cell>
          <cell r="F35">
            <v>35.524595502046708</v>
          </cell>
          <cell r="G35">
            <v>52.112117460693973</v>
          </cell>
        </row>
        <row r="36">
          <cell r="B36">
            <v>2.1349390887346629</v>
          </cell>
          <cell r="C36">
            <v>2.8857414319269008</v>
          </cell>
          <cell r="D36">
            <v>3.4417841859344631</v>
          </cell>
          <cell r="E36">
            <v>4.1854666701866581</v>
          </cell>
          <cell r="F36">
            <v>5.6249100911044811</v>
          </cell>
          <cell r="G36">
            <v>7.5594113678802097</v>
          </cell>
        </row>
        <row r="37">
          <cell r="B37">
            <v>0.86248322578584768</v>
          </cell>
          <cell r="C37">
            <v>1.4310617999735702</v>
          </cell>
          <cell r="D37">
            <v>1.6425689397440268</v>
          </cell>
          <cell r="E37">
            <v>1.9974865246625577</v>
          </cell>
          <cell r="F37">
            <v>2.6844548398037285</v>
          </cell>
          <cell r="G37">
            <v>3.60768296835061</v>
          </cell>
        </row>
        <row r="38">
          <cell r="B38">
            <v>2.8396236857719668</v>
          </cell>
          <cell r="C38">
            <v>3.760595499530115</v>
          </cell>
          <cell r="D38">
            <v>3.8744981301561947</v>
          </cell>
          <cell r="E38">
            <v>4.7116758894640949</v>
          </cell>
          <cell r="F38">
            <v>6.3320894779210102</v>
          </cell>
          <cell r="G38">
            <v>8.5097998701767015</v>
          </cell>
        </row>
        <row r="39">
          <cell r="B39">
            <v>1.9142836457888599</v>
          </cell>
          <cell r="C39">
            <v>0.22078749842861367</v>
          </cell>
          <cell r="D39">
            <v>0.14055481581689364</v>
          </cell>
          <cell r="E39">
            <v>0.30671911585970041</v>
          </cell>
          <cell r="F39">
            <v>3.8666238237559013E-2</v>
          </cell>
          <cell r="G39">
            <v>0.75064400874632398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7.8600397014027813E-5</v>
          </cell>
          <cell r="G40">
            <v>0.29325075135074502</v>
          </cell>
        </row>
        <row r="41">
          <cell r="B41">
            <v>0.29101775011146758</v>
          </cell>
          <cell r="C41">
            <v>0.69533141687925504</v>
          </cell>
          <cell r="D41">
            <v>1.1634760251574179E-2</v>
          </cell>
          <cell r="E41">
            <v>0.65110402113351429</v>
          </cell>
          <cell r="F41">
            <v>2.5163199851030046E-2</v>
          </cell>
          <cell r="G41">
            <v>5.7356655620025079E-3</v>
          </cell>
        </row>
        <row r="42">
          <cell r="B42">
            <v>0.87254264193433051</v>
          </cell>
          <cell r="C42">
            <v>2.5882079790227039</v>
          </cell>
          <cell r="D42">
            <v>4.7756672229067378</v>
          </cell>
          <cell r="E42">
            <v>5.4301643016081069</v>
          </cell>
          <cell r="F42">
            <v>4.8551938467632327</v>
          </cell>
          <cell r="G42">
            <v>2.5012691838836707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8.0599139033932445</v>
          </cell>
          <cell r="G43">
            <v>12.128465003355585</v>
          </cell>
        </row>
        <row r="44">
          <cell r="B44">
            <v>3.7119600509034982</v>
          </cell>
          <cell r="C44">
            <v>3.3488897681168597</v>
          </cell>
          <cell r="D44">
            <v>5.43313014216523</v>
          </cell>
          <cell r="E44">
            <v>5.3724532427322984</v>
          </cell>
          <cell r="F44">
            <v>3.0654678128052621</v>
          </cell>
          <cell r="G44">
            <v>1.760621405761003E-5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2.2195026837536265</v>
          </cell>
          <cell r="G45">
            <v>10.631281753658376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2.0567763253349951E-4</v>
          </cell>
          <cell r="F46">
            <v>8.787869259057067E-4</v>
          </cell>
          <cell r="G46">
            <v>0.78072044976956223</v>
          </cell>
        </row>
        <row r="47">
          <cell r="B47">
            <v>0</v>
          </cell>
        </row>
        <row r="48">
          <cell r="B48">
            <v>4.7488523779489783E-2</v>
          </cell>
          <cell r="C48">
            <v>1.3604829945996078E-3</v>
          </cell>
          <cell r="D48">
            <v>1.5948011994841248E-3</v>
          </cell>
          <cell r="E48">
            <v>1.5207463867790687E-3</v>
          </cell>
          <cell r="F48">
            <v>2.974967738569716E-3</v>
          </cell>
          <cell r="G48">
            <v>2.152995892150027E-3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1.0330099272412223E-5</v>
          </cell>
          <cell r="F49">
            <v>2.6874396751540998E-5</v>
          </cell>
          <cell r="G49">
            <v>1.8183802932450212E-5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1.2263873152510064E-4</v>
          </cell>
          <cell r="F50">
            <v>2.5035404581436553E-4</v>
          </cell>
          <cell r="G50">
            <v>1.7695412634033303E-4</v>
          </cell>
        </row>
        <row r="51">
          <cell r="B51">
            <v>9.5629688329413071E-2</v>
          </cell>
          <cell r="C51">
            <v>4.1237772115346495E-3</v>
          </cell>
          <cell r="D51">
            <v>5.8376470587582236E-3</v>
          </cell>
          <cell r="E51">
            <v>0.82763307871319758</v>
          </cell>
          <cell r="F51">
            <v>1.2696648980113743</v>
          </cell>
          <cell r="G51">
            <v>1.2809393678162471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4.877519732322376E-5</v>
          </cell>
          <cell r="F52">
            <v>1.6127281525326381E-4</v>
          </cell>
          <cell r="G52">
            <v>1.5349498679739781E-3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1.2996430848407148E-5</v>
          </cell>
          <cell r="F53">
            <v>2.1052842671159205E-5</v>
          </cell>
          <cell r="G53">
            <v>5.8006687400938647E-6</v>
          </cell>
        </row>
        <row r="54">
          <cell r="B54">
            <v>2.6453644485151671</v>
          </cell>
          <cell r="C54">
            <v>3.0459900186112101</v>
          </cell>
          <cell r="D54">
            <v>3.2260609824614104</v>
          </cell>
          <cell r="E54">
            <v>3.2167738541041841</v>
          </cell>
          <cell r="F54">
            <v>4.0306276085504651</v>
          </cell>
          <cell r="G54">
            <v>5.574639743136415</v>
          </cell>
        </row>
        <row r="55">
          <cell r="B55">
            <v>1.6518115929080361</v>
          </cell>
          <cell r="C55">
            <v>1.73849923899757</v>
          </cell>
          <cell r="D55">
            <v>1.4550168963382979</v>
          </cell>
          <cell r="E55">
            <v>1.3901693326354905</v>
          </cell>
          <cell r="F55">
            <v>0.51365388683419944</v>
          </cell>
          <cell r="G55">
            <v>1.9820232341919889E-4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1.2609615922344088E-4</v>
          </cell>
          <cell r="F56">
            <v>2.6445634346891958E-4</v>
          </cell>
          <cell r="G56">
            <v>1.173816362738201E-4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5.9132476762562869E-5</v>
          </cell>
          <cell r="F57">
            <v>8.220428341423376E-5</v>
          </cell>
          <cell r="G57">
            <v>1.031236699607592E-4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2.2528842194488307E-5</v>
          </cell>
          <cell r="F58">
            <v>5.264482337821471E-5</v>
          </cell>
          <cell r="G58">
            <v>2.4377169003448609E-5</v>
          </cell>
        </row>
        <row r="63">
          <cell r="B63">
            <v>0.13500064509452001</v>
          </cell>
          <cell r="C63">
            <v>8.6745466772002004E-3</v>
          </cell>
          <cell r="D63">
            <v>5.4580855465608029E-2</v>
          </cell>
          <cell r="E63">
            <v>2.7577479661993559E-5</v>
          </cell>
          <cell r="F63">
            <v>1.0732094498576887E-3</v>
          </cell>
          <cell r="G63">
            <v>6.2119641908693374E-2</v>
          </cell>
        </row>
        <row r="64">
          <cell r="B64">
            <v>8.1691981135596488E-5</v>
          </cell>
          <cell r="C64">
            <v>6.3598204920972819E-5</v>
          </cell>
          <cell r="D64">
            <v>8.2037017059181217E-5</v>
          </cell>
          <cell r="E64">
            <v>0</v>
          </cell>
          <cell r="F64">
            <v>0</v>
          </cell>
          <cell r="G64">
            <v>0</v>
          </cell>
        </row>
        <row r="65">
          <cell r="B65">
            <v>7.2075429127109854E-5</v>
          </cell>
          <cell r="C65">
            <v>5.6450318887533272E-5</v>
          </cell>
          <cell r="D65">
            <v>7.2578015243697833E-5</v>
          </cell>
          <cell r="E65">
            <v>0</v>
          </cell>
          <cell r="F65">
            <v>0</v>
          </cell>
          <cell r="G65">
            <v>0</v>
          </cell>
        </row>
        <row r="66">
          <cell r="B66">
            <v>2.4843803158007023E-5</v>
          </cell>
          <cell r="C66">
            <v>2.4729250569729424E-5</v>
          </cell>
          <cell r="D66">
            <v>3.6830578928856688E-5</v>
          </cell>
          <cell r="E66">
            <v>8.9929729475121285E-5</v>
          </cell>
          <cell r="F66">
            <v>1.6580048180792845E-4</v>
          </cell>
          <cell r="G66">
            <v>1.2109542603852513E-4</v>
          </cell>
        </row>
        <row r="67">
          <cell r="B67">
            <v>5.8682337642022771E-5</v>
          </cell>
          <cell r="C67">
            <v>5.8452547611142374E-5</v>
          </cell>
          <cell r="D67">
            <v>6.5350667420633615E-5</v>
          </cell>
          <cell r="E67">
            <v>2.3587442251614384E-3</v>
          </cell>
          <cell r="F67">
            <v>1.4376112443492999E-2</v>
          </cell>
          <cell r="G67">
            <v>0.1110644498188362</v>
          </cell>
        </row>
        <row r="68">
          <cell r="B68">
            <v>5.2620388022699089E-5</v>
          </cell>
          <cell r="C68">
            <v>5.2382707406031404E-5</v>
          </cell>
          <cell r="D68">
            <v>5.2556143495587106E-5</v>
          </cell>
          <cell r="E68">
            <v>2.161592932783344E-3</v>
          </cell>
          <cell r="F68">
            <v>0.1644131134011988</v>
          </cell>
          <cell r="G68">
            <v>0.4169387464981269</v>
          </cell>
        </row>
        <row r="69">
          <cell r="B69">
            <v>2.4943546242377721E-5</v>
          </cell>
          <cell r="C69">
            <v>2.4828865099931026E-5</v>
          </cell>
          <cell r="D69">
            <v>3.6972963829639741E-5</v>
          </cell>
          <cell r="E69">
            <v>8.9841227833092503E-5</v>
          </cell>
          <cell r="F69">
            <v>1.4551561804100044E-4</v>
          </cell>
          <cell r="G69">
            <v>9.5061953049976072E-5</v>
          </cell>
        </row>
        <row r="90">
          <cell r="B90">
            <v>2.0280736451517871</v>
          </cell>
          <cell r="C90">
            <v>0</v>
          </cell>
          <cell r="D90">
            <v>4.0151570992038864E-5</v>
          </cell>
          <cell r="E90">
            <v>0.45110377385980466</v>
          </cell>
          <cell r="F90">
            <v>4.6475794973553105E-4</v>
          </cell>
          <cell r="G90">
            <v>0</v>
          </cell>
        </row>
        <row r="91">
          <cell r="B91">
            <v>1.1839491554680894</v>
          </cell>
          <cell r="C91">
            <v>0</v>
          </cell>
          <cell r="D91">
            <v>1.5505727426852804E-5</v>
          </cell>
          <cell r="E91">
            <v>6.993103550792055E-6</v>
          </cell>
          <cell r="F91">
            <v>7.7595969661664305E-6</v>
          </cell>
          <cell r="G91">
            <v>3.3194912161361956E-7</v>
          </cell>
        </row>
        <row r="92">
          <cell r="B92">
            <v>1.4500001058889773</v>
          </cell>
          <cell r="C92">
            <v>3.801939893519914</v>
          </cell>
          <cell r="D92">
            <v>3.8019218733786198</v>
          </cell>
          <cell r="E92">
            <v>1.0696875536632149</v>
          </cell>
          <cell r="F92">
            <v>0</v>
          </cell>
          <cell r="G92">
            <v>0</v>
          </cell>
        </row>
        <row r="93">
          <cell r="B93">
            <v>0.21541642681245143</v>
          </cell>
          <cell r="C93">
            <v>0</v>
          </cell>
          <cell r="D93">
            <v>3.0009285844418309E-5</v>
          </cell>
          <cell r="E93">
            <v>1.4132151500935298E-5</v>
          </cell>
          <cell r="F93">
            <v>7.5105323557109385E-6</v>
          </cell>
          <cell r="G93">
            <v>0</v>
          </cell>
        </row>
        <row r="94">
          <cell r="B94">
            <v>2.2612066346448727</v>
          </cell>
          <cell r="C94">
            <v>2.0407389213695679</v>
          </cell>
          <cell r="D94">
            <v>1.7496785589131918</v>
          </cell>
          <cell r="E94">
            <v>1.3538679384050119</v>
          </cell>
          <cell r="F94">
            <v>0.81061079098957223</v>
          </cell>
          <cell r="G94">
            <v>0.48534226697599347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7.5447760700950362E-7</v>
          </cell>
          <cell r="G96">
            <v>4.786618761191634E-7</v>
          </cell>
        </row>
        <row r="97">
          <cell r="B97">
            <v>0</v>
          </cell>
          <cell r="C97">
            <v>2.3294163621207469</v>
          </cell>
          <cell r="D97">
            <v>2.4000000076304424</v>
          </cell>
          <cell r="E97">
            <v>4.4879999370083246</v>
          </cell>
          <cell r="F97">
            <v>5.3394056885524943</v>
          </cell>
          <cell r="G97">
            <v>5.8991550145105878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3.9346433961817331</v>
          </cell>
          <cell r="F72">
            <v>11.781963396296957</v>
          </cell>
          <cell r="G72">
            <v>13.272828080826773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8.8159498807879967E-6</v>
          </cell>
          <cell r="F157">
            <v>1.305271545052187E-5</v>
          </cell>
          <cell r="G157">
            <v>1.6548180636053497E-5</v>
          </cell>
        </row>
      </sheetData>
      <sheetData sheetId="42">
        <row r="5">
          <cell r="B5">
            <v>0.40016063849049871</v>
          </cell>
          <cell r="C5">
            <v>0</v>
          </cell>
          <cell r="D5">
            <v>0.44236302703418234</v>
          </cell>
          <cell r="E5">
            <v>0</v>
          </cell>
          <cell r="F5">
            <v>8.8863661685476714E-6</v>
          </cell>
          <cell r="G5">
            <v>3.5723563953513291</v>
          </cell>
        </row>
        <row r="12">
          <cell r="B12">
            <v>0.18613047060395566</v>
          </cell>
          <cell r="C12">
            <v>0</v>
          </cell>
          <cell r="D12">
            <v>9.1325683866222938E-6</v>
          </cell>
          <cell r="E12">
            <v>0</v>
          </cell>
          <cell r="F12">
            <v>0</v>
          </cell>
          <cell r="G12">
            <v>1.2906091074139802E-6</v>
          </cell>
        </row>
        <row r="19">
          <cell r="B19">
            <v>1.3280001296878132</v>
          </cell>
          <cell r="C19">
            <v>4.9930243096901759</v>
          </cell>
          <cell r="D19">
            <v>5.3636520803734546</v>
          </cell>
          <cell r="E19">
            <v>5.9813139625213543</v>
          </cell>
          <cell r="F19">
            <v>5.9813143764967176</v>
          </cell>
          <cell r="G19">
            <v>9.440559414197196</v>
          </cell>
        </row>
        <row r="20">
          <cell r="B20">
            <v>5.6293835223649946</v>
          </cell>
          <cell r="C20">
            <v>5.4249110646988017</v>
          </cell>
          <cell r="D20">
            <v>5.427978035664192</v>
          </cell>
          <cell r="E20">
            <v>5.6176909712586758</v>
          </cell>
          <cell r="F20">
            <v>5.4447980944809169</v>
          </cell>
          <cell r="G20">
            <v>9.8446913148612527</v>
          </cell>
        </row>
        <row r="21">
          <cell r="B21">
            <v>0</v>
          </cell>
          <cell r="C21">
            <v>4.6424862544226617E-5</v>
          </cell>
          <cell r="D21">
            <v>2.9865495481396749E-5</v>
          </cell>
          <cell r="E21">
            <v>1.0304676892974778E-5</v>
          </cell>
          <cell r="F21">
            <v>1.4399207906398673E-5</v>
          </cell>
          <cell r="G21">
            <v>1.3199596671980879E-5</v>
          </cell>
        </row>
        <row r="28">
          <cell r="B28">
            <v>4.045821599421036E-3</v>
          </cell>
          <cell r="C28">
            <v>2.940184298175667E-2</v>
          </cell>
          <cell r="D28">
            <v>2.9401947282015114E-2</v>
          </cell>
          <cell r="E28">
            <v>2.9401465102377022E-2</v>
          </cell>
          <cell r="F28">
            <v>1.4935330529859756</v>
          </cell>
          <cell r="G28">
            <v>6.6713617178657341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2.9903410514998781</v>
          </cell>
          <cell r="F29">
            <v>8.9542623226441407</v>
          </cell>
          <cell r="G29">
            <v>4.4521824982268754E-7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4.1402399787370751E-5</v>
          </cell>
          <cell r="G30">
            <v>9.3390811397354252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1.7426008191989695E-7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5.9040689458045357</v>
          </cell>
        </row>
        <row r="38">
          <cell r="B38">
            <v>1.2890702096719113</v>
          </cell>
          <cell r="C38">
            <v>5.7992039777684523</v>
          </cell>
          <cell r="D38">
            <v>5.3931035734395536</v>
          </cell>
          <cell r="E38">
            <v>4.7163255755256488</v>
          </cell>
          <cell r="F38">
            <v>4.7163346217839823</v>
          </cell>
          <cell r="G38">
            <v>4.7585078951794388</v>
          </cell>
        </row>
        <row r="39">
          <cell r="B39">
            <v>1.1764706341947189</v>
          </cell>
          <cell r="C39">
            <v>5.2926466924452811</v>
          </cell>
          <cell r="D39">
            <v>4.9220189355994028</v>
          </cell>
          <cell r="E39">
            <v>4.3043571244421583</v>
          </cell>
          <cell r="F39">
            <v>4.3043653805147857</v>
          </cell>
          <cell r="G39">
            <v>4.3428548416204498</v>
          </cell>
        </row>
      </sheetData>
      <sheetData sheetId="43">
        <row r="3">
          <cell r="B3">
            <v>48.063397652170998</v>
          </cell>
          <cell r="C3">
            <v>50.546772055651054</v>
          </cell>
          <cell r="D3">
            <v>51.487042783068738</v>
          </cell>
          <cell r="E3">
            <v>53.040427128447945</v>
          </cell>
          <cell r="F3">
            <v>55.075213413250772</v>
          </cell>
          <cell r="G3">
            <v>57.428975489192112</v>
          </cell>
        </row>
        <row r="6">
          <cell r="B6">
            <v>0</v>
          </cell>
          <cell r="C6">
            <v>4.8941883265269972</v>
          </cell>
          <cell r="D6">
            <v>4.8941868605738845</v>
          </cell>
          <cell r="E6">
            <v>6.4317657790447811</v>
          </cell>
          <cell r="F6">
            <v>12.42186192370972</v>
          </cell>
          <cell r="G6">
            <v>20.873264778103366</v>
          </cell>
        </row>
        <row r="11">
          <cell r="B11">
            <v>60.070000963690269</v>
          </cell>
          <cell r="C11">
            <v>62.339946643432711</v>
          </cell>
          <cell r="D11">
            <v>63.622187685097899</v>
          </cell>
          <cell r="E11">
            <v>65.917478421812248</v>
          </cell>
          <cell r="F11">
            <v>67.891802291895317</v>
          </cell>
          <cell r="G11">
            <v>70.470813762896952</v>
          </cell>
        </row>
        <row r="18">
          <cell r="B18">
            <v>3.5600000800603699</v>
          </cell>
          <cell r="C18">
            <v>3.4647164345082166</v>
          </cell>
          <cell r="D18">
            <v>5.2137436667387303E-4</v>
          </cell>
          <cell r="E18">
            <v>8.5540723443283036E-6</v>
          </cell>
          <cell r="F18">
            <v>7.5632329675514995E-6</v>
          </cell>
          <cell r="G18">
            <v>1.9729677649208747E-6</v>
          </cell>
        </row>
        <row r="19">
          <cell r="B19">
            <v>12.728639516558868</v>
          </cell>
          <cell r="C19">
            <v>13.638425191873811</v>
          </cell>
          <cell r="D19">
            <v>13.37325582528841</v>
          </cell>
          <cell r="E19">
            <v>15.905728443078415</v>
          </cell>
          <cell r="F19">
            <v>20.570342721510652</v>
          </cell>
          <cell r="G19">
            <v>25.956198886964351</v>
          </cell>
        </row>
        <row r="21">
          <cell r="B21">
            <v>7.7980400509333849</v>
          </cell>
          <cell r="C21">
            <v>8.080140037759449</v>
          </cell>
          <cell r="D21">
            <v>5.6082616784157748</v>
          </cell>
          <cell r="E21">
            <v>5.5456287909132955</v>
          </cell>
          <cell r="F21">
            <v>5.4553196445821177</v>
          </cell>
          <cell r="G21">
            <v>7.6040618853429301E-6</v>
          </cell>
        </row>
        <row r="22">
          <cell r="B22">
            <v>6.762755789151853E-2</v>
          </cell>
          <cell r="C22">
            <v>8.5488346665263865E-2</v>
          </cell>
          <cell r="D22">
            <v>8.5488401018779234E-2</v>
          </cell>
          <cell r="E22">
            <v>8.5488320240544202E-2</v>
          </cell>
          <cell r="F22">
            <v>9.269225881338794E-2</v>
          </cell>
          <cell r="G22">
            <v>9.2692212379879721E-2</v>
          </cell>
        </row>
        <row r="23">
          <cell r="B23">
            <v>0</v>
          </cell>
          <cell r="C23">
            <v>0</v>
          </cell>
          <cell r="D23">
            <v>1.4130256121940972E-2</v>
          </cell>
          <cell r="E23">
            <v>2.7751345357326387</v>
          </cell>
          <cell r="F23">
            <v>8.6684624797331242</v>
          </cell>
          <cell r="G23">
            <v>15.079342104947687</v>
          </cell>
        </row>
        <row r="24">
          <cell r="B24">
            <v>0.74846128865781891</v>
          </cell>
          <cell r="C24">
            <v>0.949728034649163</v>
          </cell>
          <cell r="D24">
            <v>1.7199609111494465</v>
          </cell>
          <cell r="E24">
            <v>3.4506179840916249</v>
          </cell>
          <cell r="F24">
            <v>4.3116440778624945</v>
          </cell>
          <cell r="G24">
            <v>5.147400200920127</v>
          </cell>
        </row>
        <row r="33">
          <cell r="B33">
            <v>12.006603311519271</v>
          </cell>
          <cell r="C33">
            <v>12.710039559602629</v>
          </cell>
          <cell r="D33">
            <v>13.052009853947702</v>
          </cell>
          <cell r="E33">
            <v>13.799754550859948</v>
          </cell>
          <cell r="F33">
            <v>14.054948214858523</v>
          </cell>
          <cell r="G33">
            <v>14.508515512435514</v>
          </cell>
        </row>
        <row r="34">
          <cell r="B34">
            <v>8.8978001346038784</v>
          </cell>
          <cell r="C34">
            <v>8.1727554726016738</v>
          </cell>
          <cell r="D34">
            <v>7.9127559397683953</v>
          </cell>
          <cell r="E34">
            <v>6.1365493574135472</v>
          </cell>
          <cell r="F34">
            <v>2.9093799824644178</v>
          </cell>
          <cell r="G34">
            <v>7.7042003024862311E-6</v>
          </cell>
        </row>
        <row r="35">
          <cell r="B35">
            <v>2.7300000809565779</v>
          </cell>
          <cell r="C35">
            <v>1.580021711810444E-7</v>
          </cell>
          <cell r="D35">
            <v>9.5752859960516562E-5</v>
          </cell>
          <cell r="E35">
            <v>1.1737267113876744E-5</v>
          </cell>
          <cell r="F35">
            <v>1.053816347754919E-5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6.6889316667757279E-6</v>
          </cell>
          <cell r="E36">
            <v>0.21662911150266476</v>
          </cell>
          <cell r="F36">
            <v>0.23693506234643738</v>
          </cell>
          <cell r="G36">
            <v>0.23309218977259935</v>
          </cell>
        </row>
        <row r="37">
          <cell r="B37">
            <v>35.236593897388644</v>
          </cell>
          <cell r="C37">
            <v>31.277295800769274</v>
          </cell>
          <cell r="D37">
            <v>31.455373940154459</v>
          </cell>
          <cell r="E37">
            <v>20.796473853188544</v>
          </cell>
          <cell r="F37">
            <v>9.3774540927325507</v>
          </cell>
          <cell r="G37">
            <v>2.1584740957801154</v>
          </cell>
        </row>
        <row r="38">
          <cell r="B38">
            <v>0.31576626800347091</v>
          </cell>
          <cell r="C38">
            <v>0.320149482091584</v>
          </cell>
          <cell r="D38">
            <v>4.0911238427463426</v>
          </cell>
          <cell r="E38">
            <v>4.0573455988781157</v>
          </cell>
          <cell r="F38">
            <v>4.095517177556995</v>
          </cell>
          <cell r="G38">
            <v>3.6441635325882054</v>
          </cell>
        </row>
        <row r="39">
          <cell r="B39">
            <v>0.43672378987796473</v>
          </cell>
          <cell r="C39">
            <v>0.55206475024979285</v>
          </cell>
          <cell r="D39">
            <v>1.8983995290829139</v>
          </cell>
          <cell r="E39">
            <v>4.3164937204135194</v>
          </cell>
          <cell r="F39">
            <v>4.3164942636794938</v>
          </cell>
          <cell r="G39">
            <v>4.3164942936805852</v>
          </cell>
        </row>
        <row r="55">
          <cell r="B55">
            <v>9.8138876788747442</v>
          </cell>
          <cell r="C55">
            <v>10.335082579953133</v>
          </cell>
          <cell r="D55">
            <v>10.33508296736697</v>
          </cell>
          <cell r="E55">
            <v>10.335915664988079</v>
          </cell>
          <cell r="F55">
            <v>10.335915700640054</v>
          </cell>
          <cell r="G55">
            <v>10.537506971195956</v>
          </cell>
        </row>
        <row r="56">
          <cell r="B56">
            <v>1.1081289563470369</v>
          </cell>
          <cell r="C56">
            <v>1.400790076925801</v>
          </cell>
          <cell r="D56">
            <v>2.5226108923294435</v>
          </cell>
          <cell r="E56">
            <v>5.0162384940838649</v>
          </cell>
          <cell r="F56">
            <v>6.1647666301991491</v>
          </cell>
          <cell r="G56">
            <v>7.2488392145344669</v>
          </cell>
        </row>
        <row r="57">
          <cell r="B57">
            <v>6.9177026649268329</v>
          </cell>
          <cell r="C57">
            <v>6.3642872070642609</v>
          </cell>
          <cell r="D57">
            <v>6.1767540656085247</v>
          </cell>
          <cell r="E57">
            <v>4.9793093382490801</v>
          </cell>
          <cell r="F57">
            <v>2.485713688078671</v>
          </cell>
          <cell r="G57">
            <v>0.18562407337658771</v>
          </cell>
        </row>
        <row r="58">
          <cell r="B58">
            <v>1.8458213047367653</v>
          </cell>
          <cell r="C58">
            <v>1.072913743404882E-7</v>
          </cell>
          <cell r="D58">
            <v>6.5441095229265607E-5</v>
          </cell>
          <cell r="E58">
            <v>8.1075172589103601E-6</v>
          </cell>
          <cell r="F58">
            <v>7.4333570629762548E-6</v>
          </cell>
          <cell r="G58">
            <v>0</v>
          </cell>
        </row>
        <row r="59">
          <cell r="B59">
            <v>28.619768361419222</v>
          </cell>
          <cell r="C59">
            <v>25.458313018553728</v>
          </cell>
          <cell r="D59">
            <v>28.688954575796608</v>
          </cell>
          <cell r="E59">
            <v>20.146014324323925</v>
          </cell>
          <cell r="F59">
            <v>10.940665648303554</v>
          </cell>
          <cell r="G59">
            <v>4.8173167152281531</v>
          </cell>
        </row>
        <row r="60">
          <cell r="B60">
            <v>0</v>
          </cell>
          <cell r="C60">
            <v>0</v>
          </cell>
          <cell r="D60">
            <v>2.6084165597955409E-4</v>
          </cell>
          <cell r="E60">
            <v>2.3141308045877728E-4</v>
          </cell>
          <cell r="F60">
            <v>1.5422524370052473E-4</v>
          </cell>
          <cell r="G60">
            <v>1.471878216067389E-4</v>
          </cell>
        </row>
        <row r="61">
          <cell r="B61">
            <v>2.3674000532401456</v>
          </cell>
          <cell r="C61">
            <v>2.3075011453824734</v>
          </cell>
          <cell r="D61">
            <v>3.4801738975481024E-4</v>
          </cell>
          <cell r="E61">
            <v>5.7312284706999588E-6</v>
          </cell>
          <cell r="F61">
            <v>5.1051822530972645E-6</v>
          </cell>
          <cell r="G61">
            <v>1.341618080146194E-6</v>
          </cell>
        </row>
        <row r="62">
          <cell r="B62">
            <v>5.1850537025303405</v>
          </cell>
          <cell r="C62">
            <v>5.5675574103865353</v>
          </cell>
          <cell r="D62">
            <v>5.6343058016119141</v>
          </cell>
          <cell r="E62">
            <v>7.1822389097893709</v>
          </cell>
          <cell r="F62">
            <v>10.344565170207691</v>
          </cell>
          <cell r="G62">
            <v>12.758246590982733</v>
          </cell>
        </row>
        <row r="63">
          <cell r="B63">
            <v>6.5822713827390062</v>
          </cell>
          <cell r="C63">
            <v>7.0678484053123212</v>
          </cell>
          <cell r="D63">
            <v>6.7951527779874814</v>
          </cell>
          <cell r="E63">
            <v>7.6797042760940055</v>
          </cell>
          <cell r="F63">
            <v>9.0795554626629276</v>
          </cell>
          <cell r="G63">
            <v>10.612039047828828</v>
          </cell>
        </row>
        <row r="64">
          <cell r="B64">
            <v>5.3111174105647763</v>
          </cell>
          <cell r="C64">
            <v>6.2669381470790286</v>
          </cell>
          <cell r="D64">
            <v>6.1574136799920796</v>
          </cell>
          <cell r="E64">
            <v>7.082100659843702</v>
          </cell>
          <cell r="F64">
            <v>5.5133427676385969</v>
          </cell>
          <cell r="G64">
            <v>5.4135425737874119</v>
          </cell>
        </row>
        <row r="65">
          <cell r="B65">
            <v>0.46151736409547767</v>
          </cell>
          <cell r="C65">
            <v>0.5445747876522874</v>
          </cell>
          <cell r="D65">
            <v>0.54457495251012589</v>
          </cell>
          <cell r="E65">
            <v>0.54457501226742933</v>
          </cell>
          <cell r="F65">
            <v>0.54457518913732006</v>
          </cell>
          <cell r="G65">
            <v>0.5445753398665415</v>
          </cell>
        </row>
        <row r="66">
          <cell r="B66">
            <v>4.1173651468928307</v>
          </cell>
          <cell r="C66">
            <v>4.266313939936988</v>
          </cell>
          <cell r="D66">
            <v>2.961162166203529</v>
          </cell>
          <cell r="E66">
            <v>2.9280920016022227</v>
          </cell>
          <cell r="F66">
            <v>2.8804087723393592</v>
          </cell>
          <cell r="G66">
            <v>4.1366096656265546E-6</v>
          </cell>
        </row>
        <row r="67">
          <cell r="B67">
            <v>6.762755789151853E-2</v>
          </cell>
          <cell r="C67">
            <v>8.5488346665263865E-2</v>
          </cell>
          <cell r="D67">
            <v>8.5488401018779234E-2</v>
          </cell>
          <cell r="E67">
            <v>8.5488320240544202E-2</v>
          </cell>
          <cell r="F67">
            <v>9.269225881338794E-2</v>
          </cell>
          <cell r="G67">
            <v>9.2692212379879721E-2</v>
          </cell>
        </row>
        <row r="68">
          <cell r="B68">
            <v>0.31051061460323287</v>
          </cell>
          <cell r="C68">
            <v>0.39251803742760294</v>
          </cell>
          <cell r="D68">
            <v>1.3497620651779529</v>
          </cell>
          <cell r="E68">
            <v>3.0690270352140141</v>
          </cell>
          <cell r="F68">
            <v>3.069027421476124</v>
          </cell>
          <cell r="G68">
            <v>3.1078758914500195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2.1830741438260803</v>
          </cell>
          <cell r="F69">
            <v>7.0086733488585677</v>
          </cell>
          <cell r="G69">
            <v>12.160638068147236</v>
          </cell>
        </row>
        <row r="70">
          <cell r="B70">
            <v>0</v>
          </cell>
          <cell r="C70">
            <v>3.9773233013386733</v>
          </cell>
          <cell r="D70">
            <v>3.9773218517672282</v>
          </cell>
          <cell r="E70">
            <v>5.5090641712673785</v>
          </cell>
          <cell r="F70">
            <v>11.18350566633598</v>
          </cell>
          <cell r="G70">
            <v>16.039761854455673</v>
          </cell>
        </row>
        <row r="71">
          <cell r="B71">
            <v>72.708172198861917</v>
          </cell>
          <cell r="C71">
            <v>74.034536510969474</v>
          </cell>
          <cell r="D71">
            <v>75.229258497511609</v>
          </cell>
          <cell r="E71">
            <v>76.741087603615895</v>
          </cell>
          <cell r="F71">
            <v>79.643574488474385</v>
          </cell>
          <cell r="G71">
            <v>83.518811219282853</v>
          </cell>
        </row>
      </sheetData>
      <sheetData sheetId="44">
        <row r="3">
          <cell r="B3">
            <v>56.994774574912441</v>
          </cell>
          <cell r="C3">
            <v>58.701894601492249</v>
          </cell>
          <cell r="D3">
            <v>59.663274087213331</v>
          </cell>
          <cell r="E3">
            <v>60.552447219064568</v>
          </cell>
          <cell r="F3">
            <v>60.838646042407348</v>
          </cell>
          <cell r="G3">
            <v>62.021858326613511</v>
          </cell>
        </row>
        <row r="6">
          <cell r="B6">
            <v>0</v>
          </cell>
          <cell r="C6">
            <v>6.9642354908665451</v>
          </cell>
          <cell r="D6">
            <v>6.964164216725786</v>
          </cell>
          <cell r="E6">
            <v>9.7725057969188889</v>
          </cell>
          <cell r="F6">
            <v>17.709477792080008</v>
          </cell>
          <cell r="G6">
            <v>21.428158293789256</v>
          </cell>
        </row>
        <row r="11">
          <cell r="B11">
            <v>60.95000046172283</v>
          </cell>
          <cell r="C11">
            <v>62.445348871242622</v>
          </cell>
          <cell r="D11">
            <v>63.613230991750903</v>
          </cell>
          <cell r="E11">
            <v>64.153051528368493</v>
          </cell>
          <cell r="F11">
            <v>63.779687135432987</v>
          </cell>
          <cell r="G11">
            <v>66.752338089107411</v>
          </cell>
        </row>
        <row r="12">
          <cell r="B12">
            <v>30.256633757919012</v>
          </cell>
          <cell r="C12">
            <v>24.239416036299403</v>
          </cell>
          <cell r="D12">
            <v>26.706233598992924</v>
          </cell>
          <cell r="E12">
            <v>19.517184216137196</v>
          </cell>
          <cell r="F12">
            <v>8.4970509931170515</v>
          </cell>
          <cell r="G12">
            <v>5.1742429982563681E-5</v>
          </cell>
        </row>
        <row r="13">
          <cell r="B13">
            <v>0</v>
          </cell>
          <cell r="C13">
            <v>0</v>
          </cell>
          <cell r="D13">
            <v>4.0964484944146661E-6</v>
          </cell>
          <cell r="E13">
            <v>1.1774800772644455E-5</v>
          </cell>
          <cell r="F13">
            <v>9.3955476424228116E-6</v>
          </cell>
          <cell r="G13">
            <v>0.87196949335617735</v>
          </cell>
        </row>
        <row r="14">
          <cell r="B14">
            <v>25.256150542753684</v>
          </cell>
          <cell r="C14">
            <v>22.275842819919148</v>
          </cell>
          <cell r="D14">
            <v>25.510559379783761</v>
          </cell>
          <cell r="E14">
            <v>25.826196219190095</v>
          </cell>
          <cell r="F14">
            <v>20.455930276103526</v>
          </cell>
          <cell r="G14">
            <v>10.125283952122702</v>
          </cell>
        </row>
        <row r="15">
          <cell r="B15">
            <v>0.29253619342094245</v>
          </cell>
          <cell r="C15">
            <v>4.4739375217968638</v>
          </cell>
          <cell r="D15">
            <v>0.43194573210469789</v>
          </cell>
          <cell r="E15">
            <v>8.5218589706975661E-6</v>
          </cell>
          <cell r="F15">
            <v>1.2882509635490221E-5</v>
          </cell>
          <cell r="G15">
            <v>1.8142716573597294E-5</v>
          </cell>
        </row>
        <row r="16">
          <cell r="B16">
            <v>1.4022764178106648</v>
          </cell>
          <cell r="C16">
            <v>1.5372226420563371</v>
          </cell>
          <cell r="D16">
            <v>1.4412217664641154</v>
          </cell>
          <cell r="E16">
            <v>1.5808677931482</v>
          </cell>
          <cell r="F16">
            <v>4.8958597265696797</v>
          </cell>
          <cell r="G16">
            <v>6.7713165841363256</v>
          </cell>
        </row>
        <row r="17">
          <cell r="B17">
            <v>7.7268819670037203</v>
          </cell>
          <cell r="C17">
            <v>8.3696900456343926</v>
          </cell>
          <cell r="D17">
            <v>8.2047887378155977</v>
          </cell>
          <cell r="E17">
            <v>10.258352460381266</v>
          </cell>
          <cell r="F17">
            <v>9.8277528526407743</v>
          </cell>
          <cell r="G17">
            <v>9.7800208526390779</v>
          </cell>
        </row>
        <row r="19">
          <cell r="B19">
            <v>0.62699335417326996</v>
          </cell>
          <cell r="C19">
            <v>0.68733127363266378</v>
          </cell>
          <cell r="D19">
            <v>0.68733135029652181</v>
          </cell>
          <cell r="E19">
            <v>0.69717538560414949</v>
          </cell>
          <cell r="F19">
            <v>5.4157566707081859</v>
          </cell>
          <cell r="G19">
            <v>5.4157566082081008</v>
          </cell>
        </row>
        <row r="20">
          <cell r="B20">
            <v>0</v>
          </cell>
          <cell r="C20">
            <v>0</v>
          </cell>
          <cell r="D20">
            <v>5.3641341358688708E-4</v>
          </cell>
          <cell r="E20">
            <v>2.5220598130694997E-5</v>
          </cell>
          <cell r="F20">
            <v>2.901935631480431E-5</v>
          </cell>
          <cell r="G20">
            <v>0.18338164179323269</v>
          </cell>
        </row>
        <row r="21">
          <cell r="B21">
            <v>2.9295784847759081</v>
          </cell>
          <cell r="C21">
            <v>3.1924480415977934</v>
          </cell>
          <cell r="D21">
            <v>3.3653609912833149</v>
          </cell>
          <cell r="E21">
            <v>3.6718151119019571</v>
          </cell>
          <cell r="F21">
            <v>4.3598138169502416</v>
          </cell>
          <cell r="G21">
            <v>11.245231340893666</v>
          </cell>
        </row>
        <row r="28">
          <cell r="B28">
            <v>3.9552258868103918</v>
          </cell>
          <cell r="C28">
            <v>3.7434542697503757</v>
          </cell>
          <cell r="D28">
            <v>3.9499569045375713</v>
          </cell>
          <cell r="E28">
            <v>3.6006043093039262</v>
          </cell>
          <cell r="F28">
            <v>2.9410410930256345</v>
          </cell>
          <cell r="G28">
            <v>4.7304797624939043</v>
          </cell>
        </row>
        <row r="47">
          <cell r="B47">
            <v>4.2612050687649576</v>
          </cell>
          <cell r="C47">
            <v>4.6176480601682384</v>
          </cell>
          <cell r="D47">
            <v>4.8285278344911928</v>
          </cell>
          <cell r="E47">
            <v>5.2017150400056611</v>
          </cell>
          <cell r="F47">
            <v>6.036161065539436</v>
          </cell>
          <cell r="G47">
            <v>15.261177840844912</v>
          </cell>
        </row>
        <row r="48">
          <cell r="B48">
            <v>24.843069384565862</v>
          </cell>
          <cell r="C48">
            <v>19.941872511711868</v>
          </cell>
          <cell r="D48">
            <v>22.036469793225752</v>
          </cell>
          <cell r="E48">
            <v>16.183813507337163</v>
          </cell>
          <cell r="F48">
            <v>7.1162880755066844</v>
          </cell>
          <cell r="G48">
            <v>0.73031778497090816</v>
          </cell>
        </row>
        <row r="49">
          <cell r="B49">
            <v>24.189714037441973</v>
          </cell>
          <cell r="C49">
            <v>25.326919685241769</v>
          </cell>
          <cell r="D49">
            <v>24.563069891189492</v>
          </cell>
          <cell r="E49">
            <v>24.452462250192987</v>
          </cell>
          <cell r="F49">
            <v>19.367572978661716</v>
          </cell>
          <cell r="G49">
            <v>9.7597642645279183</v>
          </cell>
        </row>
        <row r="50">
          <cell r="B50">
            <v>0</v>
          </cell>
          <cell r="C50">
            <v>0</v>
          </cell>
          <cell r="D50">
            <v>4.7297084814314912E-5</v>
          </cell>
          <cell r="E50">
            <v>3.1702528000993455E-5</v>
          </cell>
          <cell r="F50">
            <v>6.7808825085842017E-4</v>
          </cell>
          <cell r="G50">
            <v>2.7240985790117581E-4</v>
          </cell>
        </row>
        <row r="51">
          <cell r="B51">
            <v>2.0957130229938481</v>
          </cell>
          <cell r="C51">
            <v>2.2700577423517019</v>
          </cell>
          <cell r="D51">
            <v>2.1068050237994789</v>
          </cell>
          <cell r="E51">
            <v>1.8918902572335996</v>
          </cell>
          <cell r="F51">
            <v>1.3237251154322542</v>
          </cell>
          <cell r="G51">
            <v>1.276470430479324</v>
          </cell>
        </row>
        <row r="52">
          <cell r="B52">
            <v>5.553900124339834</v>
          </cell>
          <cell r="C52">
            <v>6.0159354028263472</v>
          </cell>
          <cell r="D52">
            <v>6.0159358266379614</v>
          </cell>
          <cell r="E52">
            <v>8.2638786785438523</v>
          </cell>
          <cell r="F52">
            <v>8.4057501887726502</v>
          </cell>
          <cell r="G52">
            <v>8.4057502136333557</v>
          </cell>
        </row>
        <row r="53">
          <cell r="B53">
            <v>6.173544318174911</v>
          </cell>
          <cell r="C53">
            <v>7.1868581344523381</v>
          </cell>
          <cell r="D53">
            <v>6.1647641641691804</v>
          </cell>
          <cell r="E53">
            <v>5.8298699719475051</v>
          </cell>
          <cell r="F53">
            <v>1.7809255335345777</v>
          </cell>
          <cell r="G53">
            <v>0.38459903416038477</v>
          </cell>
        </row>
        <row r="54">
          <cell r="B54">
            <v>1.877069786533383</v>
          </cell>
          <cell r="C54">
            <v>2.1600816666130362</v>
          </cell>
          <cell r="D54">
            <v>2.1602907413224881</v>
          </cell>
          <cell r="E54">
            <v>2.2260572305988631</v>
          </cell>
          <cell r="F54">
            <v>2.7653017782032632</v>
          </cell>
          <cell r="G54">
            <v>2.2269858045376161</v>
          </cell>
        </row>
        <row r="55">
          <cell r="B55">
            <v>0.62699335417326996</v>
          </cell>
          <cell r="C55">
            <v>0.68733127363266378</v>
          </cell>
          <cell r="D55">
            <v>0.68733135029652181</v>
          </cell>
          <cell r="E55">
            <v>0.69717538560414949</v>
          </cell>
          <cell r="F55">
            <v>5.4157566707081859</v>
          </cell>
          <cell r="G55">
            <v>5.4157566082081008</v>
          </cell>
        </row>
        <row r="56">
          <cell r="B56">
            <v>1.2230654916144612</v>
          </cell>
          <cell r="C56">
            <v>1.3407655884015368</v>
          </cell>
          <cell r="D56">
            <v>1.2570336247100018</v>
          </cell>
          <cell r="E56">
            <v>1.3788328891838599</v>
          </cell>
          <cell r="F56">
            <v>4.270168853514078</v>
          </cell>
          <cell r="G56">
            <v>5.9059423246837026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1.7454205641267286E-5</v>
          </cell>
          <cell r="F57">
            <v>1.8341465004206045E-5</v>
          </cell>
          <cell r="G57">
            <v>4.72107999668007E-4</v>
          </cell>
        </row>
        <row r="58">
          <cell r="B58">
            <v>0</v>
          </cell>
          <cell r="C58">
            <v>6.9642354908665451</v>
          </cell>
          <cell r="D58">
            <v>6.964164216725786</v>
          </cell>
          <cell r="E58">
            <v>9.7725057969188889</v>
          </cell>
          <cell r="F58">
            <v>17.709477792080008</v>
          </cell>
          <cell r="G58">
            <v>21.428158293789256</v>
          </cell>
        </row>
        <row r="59">
          <cell r="B59">
            <v>73.238308952426962</v>
          </cell>
          <cell r="C59">
            <v>78.632908196095684</v>
          </cell>
          <cell r="D59">
            <v>79.069156624866636</v>
          </cell>
          <cell r="E59">
            <v>77.813636676287118</v>
          </cell>
          <cell r="F59">
            <v>75.377133562229346</v>
          </cell>
          <cell r="G59">
            <v>71.474328431851035</v>
          </cell>
        </row>
      </sheetData>
      <sheetData sheetId="45">
        <row r="3">
          <cell r="B3">
            <v>44.57690562589147</v>
          </cell>
          <cell r="C3">
            <v>44.827338187192517</v>
          </cell>
          <cell r="D3">
            <v>44.633490663800735</v>
          </cell>
          <cell r="E3">
            <v>44.838272422380498</v>
          </cell>
          <cell r="F3">
            <v>44.325528677686826</v>
          </cell>
          <cell r="G3">
            <v>43.181173145511003</v>
          </cell>
        </row>
        <row r="10">
          <cell r="B10">
            <v>3.6713940816539186</v>
          </cell>
          <cell r="C10">
            <v>8.5222603626053068</v>
          </cell>
          <cell r="D10">
            <v>8.5221964147863218</v>
          </cell>
          <cell r="E10">
            <v>10.725177483224229</v>
          </cell>
          <cell r="F10">
            <v>28.193795706833814</v>
          </cell>
          <cell r="G10">
            <v>37.713884409826306</v>
          </cell>
        </row>
        <row r="15">
          <cell r="B15">
            <v>69.470001454864018</v>
          </cell>
          <cell r="C15">
            <v>69.742983314802615</v>
          </cell>
          <cell r="D15">
            <v>68.035564738772649</v>
          </cell>
          <cell r="E15">
            <v>67.379213198843331</v>
          </cell>
          <cell r="F15">
            <v>63.619978840420551</v>
          </cell>
          <cell r="G15">
            <v>65.486271050184712</v>
          </cell>
        </row>
        <row r="16">
          <cell r="B16">
            <v>60.231815226718872</v>
          </cell>
          <cell r="C16">
            <v>55.062495760399962</v>
          </cell>
          <cell r="D16">
            <v>52.912494842480925</v>
          </cell>
          <cell r="E16">
            <v>38.517238277134808</v>
          </cell>
          <cell r="F16">
            <v>20.089178481547208</v>
          </cell>
          <cell r="G16">
            <v>4.7278242637301083E-5</v>
          </cell>
        </row>
        <row r="17">
          <cell r="B17">
            <v>0</v>
          </cell>
          <cell r="C17">
            <v>0</v>
          </cell>
          <cell r="D17">
            <v>4.0682413641817487E-6</v>
          </cell>
          <cell r="E17">
            <v>1.1355793702117521E-5</v>
          </cell>
          <cell r="F17">
            <v>9.1132020969846964E-6</v>
          </cell>
          <cell r="G17">
            <v>0.21587890192232242</v>
          </cell>
        </row>
        <row r="18">
          <cell r="B18">
            <v>46.685646232541217</v>
          </cell>
          <cell r="C18">
            <v>44.339354904078036</v>
          </cell>
          <cell r="D18">
            <v>48.553239483465454</v>
          </cell>
          <cell r="E18">
            <v>48.489325475502383</v>
          </cell>
          <cell r="F18">
            <v>38.837661476800037</v>
          </cell>
          <cell r="G18">
            <v>25.237937622037752</v>
          </cell>
        </row>
        <row r="19">
          <cell r="B19">
            <v>0.31626555198217343</v>
          </cell>
          <cell r="C19">
            <v>0.18330744695734741</v>
          </cell>
          <cell r="D19">
            <v>0.18330199026439084</v>
          </cell>
          <cell r="E19">
            <v>0.18025877711812627</v>
          </cell>
          <cell r="F19">
            <v>0.17753801156679391</v>
          </cell>
          <cell r="G19">
            <v>0.1746553478762001</v>
          </cell>
        </row>
        <row r="20">
          <cell r="B20">
            <v>0.10000001753849549</v>
          </cell>
          <cell r="C20">
            <v>0.10000000490694694</v>
          </cell>
          <cell r="D20">
            <v>2.8947812328145182E-5</v>
          </cell>
          <cell r="E20">
            <v>1.5312894788215868E-5</v>
          </cell>
          <cell r="F20">
            <v>0</v>
          </cell>
          <cell r="G20">
            <v>0</v>
          </cell>
        </row>
        <row r="21">
          <cell r="B21">
            <v>5.6034406187841297</v>
          </cell>
          <cell r="C21">
            <v>9.6015379536376422</v>
          </cell>
          <cell r="D21">
            <v>9.1587341818093186</v>
          </cell>
          <cell r="E21">
            <v>10.414671381752196</v>
          </cell>
          <cell r="F21">
            <v>9.5693529272301383</v>
          </cell>
          <cell r="G21">
            <v>9.9511139483861477</v>
          </cell>
        </row>
        <row r="22">
          <cell r="B22">
            <v>16.99118562803115</v>
          </cell>
          <cell r="C22">
            <v>17.574927647808664</v>
          </cell>
          <cell r="D22">
            <v>16.058040518478254</v>
          </cell>
          <cell r="E22">
            <v>16.03805515647678</v>
          </cell>
          <cell r="F22">
            <v>16.271430850598978</v>
          </cell>
          <cell r="G22">
            <v>10.998665278271565</v>
          </cell>
        </row>
        <row r="23">
          <cell r="B23">
            <v>2.5068244970084019</v>
          </cell>
          <cell r="C23">
            <v>2.9279869274558936</v>
          </cell>
          <cell r="D23">
            <v>2.9279878844940184</v>
          </cell>
          <cell r="E23">
            <v>2.9279880885801357</v>
          </cell>
          <cell r="F23">
            <v>4.7844110308002854</v>
          </cell>
          <cell r="G23">
            <v>5.4707082129357083</v>
          </cell>
        </row>
        <row r="24">
          <cell r="B24">
            <v>0</v>
          </cell>
          <cell r="C24">
            <v>0</v>
          </cell>
          <cell r="D24">
            <v>1.2016150492027489E-3</v>
          </cell>
          <cell r="E24">
            <v>7.0803190278383063E-6</v>
          </cell>
          <cell r="F24">
            <v>9.8235099250124602E-6</v>
          </cell>
          <cell r="G24">
            <v>0.45248837882306781</v>
          </cell>
        </row>
        <row r="25">
          <cell r="B25">
            <v>15.194967089499714</v>
          </cell>
          <cell r="C25">
            <v>17.636902311351083</v>
          </cell>
          <cell r="D25">
            <v>19.727784065244954</v>
          </cell>
          <cell r="E25">
            <v>27.801867307876591</v>
          </cell>
          <cell r="F25">
            <v>37.014843729232119</v>
          </cell>
          <cell r="G25">
            <v>56.258193367838572</v>
          </cell>
        </row>
        <row r="26">
          <cell r="B26">
            <v>217.10014631696822</v>
          </cell>
          <cell r="C26">
            <v>217.1694962713982</v>
          </cell>
          <cell r="D26">
            <v>217.55838233611289</v>
          </cell>
          <cell r="E26">
            <v>211.74865141229185</v>
          </cell>
          <cell r="F26">
            <v>190.36441428490812</v>
          </cell>
          <cell r="G26">
            <v>174.24595938651868</v>
          </cell>
        </row>
        <row r="102">
          <cell r="B102">
            <v>8.9079990046414892</v>
          </cell>
          <cell r="C102">
            <v>7.6434891856670406</v>
          </cell>
          <cell r="D102">
            <v>6.8509429408732601</v>
          </cell>
          <cell r="E102">
            <v>5.0306704252461918</v>
          </cell>
          <cell r="F102">
            <v>2.1254892781303618</v>
          </cell>
          <cell r="G102">
            <v>0.68865819539872009</v>
          </cell>
        </row>
        <row r="104">
          <cell r="B104">
            <v>19.060326420148215</v>
          </cell>
          <cell r="C104">
            <v>22.072439084223241</v>
          </cell>
          <cell r="D104">
            <v>23.76961231974671</v>
          </cell>
          <cell r="E104">
            <v>26.912619332221194</v>
          </cell>
          <cell r="F104">
            <v>35.789250483372349</v>
          </cell>
          <cell r="G104">
            <v>58.861242771465555</v>
          </cell>
        </row>
        <row r="105">
          <cell r="B105">
            <v>45.12438581305689</v>
          </cell>
          <cell r="C105">
            <v>41.306205641557412</v>
          </cell>
          <cell r="D105">
            <v>40.772894330780844</v>
          </cell>
          <cell r="E105">
            <v>34.505006977149478</v>
          </cell>
          <cell r="F105">
            <v>17.996555485386661</v>
          </cell>
          <cell r="G105">
            <v>0.19343185464836024</v>
          </cell>
        </row>
        <row r="106">
          <cell r="B106">
            <v>36.569914563000083</v>
          </cell>
          <cell r="C106">
            <v>36.121964572419749</v>
          </cell>
          <cell r="D106">
            <v>38.324510097430277</v>
          </cell>
          <cell r="E106">
            <v>39.931969814335964</v>
          </cell>
          <cell r="F106">
            <v>32.059647904525633</v>
          </cell>
          <cell r="G106">
            <v>21.26712532308601</v>
          </cell>
        </row>
        <row r="107">
          <cell r="B107">
            <v>0</v>
          </cell>
          <cell r="C107">
            <v>0</v>
          </cell>
          <cell r="D107">
            <v>1.4952793954458197E-3</v>
          </cell>
          <cell r="E107">
            <v>1.8234971019727333E-3</v>
          </cell>
          <cell r="F107">
            <v>0.13574990120768557</v>
          </cell>
          <cell r="G107">
            <v>0.14503413859518527</v>
          </cell>
        </row>
        <row r="108">
          <cell r="B108">
            <v>7.2000012627716756E-2</v>
          </cell>
          <cell r="C108">
            <v>7.2000003533001802E-2</v>
          </cell>
          <cell r="D108">
            <v>2.0842424876264509E-5</v>
          </cell>
          <cell r="E108">
            <v>1.102528424751542E-5</v>
          </cell>
          <cell r="F108">
            <v>0</v>
          </cell>
          <cell r="G108">
            <v>0</v>
          </cell>
        </row>
        <row r="109">
          <cell r="B109">
            <v>7.3272035311738648E-2</v>
          </cell>
          <cell r="C109">
            <v>3.4159449346945598E-3</v>
          </cell>
          <cell r="D109">
            <v>4.3907363832371721E-3</v>
          </cell>
          <cell r="E109">
            <v>0.50399910182129903</v>
          </cell>
          <cell r="F109">
            <v>0.76746923535711065</v>
          </cell>
          <cell r="G109">
            <v>0.76746915971655472</v>
          </cell>
        </row>
        <row r="110">
          <cell r="B110">
            <v>3.7807989970487181</v>
          </cell>
          <cell r="C110">
            <v>7.6254980333775286</v>
          </cell>
          <cell r="D110">
            <v>7.4106127659828083</v>
          </cell>
          <cell r="E110">
            <v>7.9376838641224623</v>
          </cell>
          <cell r="F110">
            <v>7.0068721892590453</v>
          </cell>
          <cell r="G110">
            <v>7.3170228183922434</v>
          </cell>
        </row>
        <row r="111">
          <cell r="B111">
            <v>9.1310717700783943</v>
          </cell>
          <cell r="C111">
            <v>9.0348958713849736</v>
          </cell>
          <cell r="D111">
            <v>8.3854416914480296</v>
          </cell>
          <cell r="E111">
            <v>8.2681884938958472</v>
          </cell>
          <cell r="F111">
            <v>8.3344034968480845</v>
          </cell>
          <cell r="G111">
            <v>4.5838883181295795</v>
          </cell>
        </row>
        <row r="112">
          <cell r="B112">
            <v>2.6968829410990436</v>
          </cell>
          <cell r="C112">
            <v>3.1682190329416944</v>
          </cell>
          <cell r="D112">
            <v>3.1712705366020666</v>
          </cell>
          <cell r="E112">
            <v>3.3008450643699354</v>
          </cell>
          <cell r="F112">
            <v>3.4164999565333352</v>
          </cell>
          <cell r="G112">
            <v>3.6215656883001706</v>
          </cell>
        </row>
        <row r="113">
          <cell r="B113">
            <v>0.78533647234855097</v>
          </cell>
          <cell r="C113">
            <v>0.94126964318275208</v>
          </cell>
          <cell r="D113">
            <v>0.94127056635483342</v>
          </cell>
          <cell r="E113">
            <v>0.94127072419012736</v>
          </cell>
          <cell r="F113">
            <v>2.105140813550701</v>
          </cell>
          <cell r="G113">
            <v>2.4071117868740517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129.87338211101476</v>
          </cell>
          <cell r="C116">
            <v>136.51165737582741</v>
          </cell>
          <cell r="D116">
            <v>138.15465852220871</v>
          </cell>
          <cell r="E116">
            <v>138.05926580296295</v>
          </cell>
          <cell r="F116">
            <v>137.93087445100477</v>
          </cell>
          <cell r="G116">
            <v>137.56643446443275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26.978275619390377</v>
          </cell>
          <cell r="C224">
            <v>26.144826035464103</v>
          </cell>
          <cell r="D224">
            <v>26.122378587457504</v>
          </cell>
          <cell r="E224">
            <v>26.211109118254154</v>
          </cell>
          <cell r="F224">
            <v>26.4567574066837</v>
          </cell>
          <cell r="G224">
            <v>26.322249325300213</v>
          </cell>
        </row>
        <row r="231">
          <cell r="B231">
            <v>15.552693545694598</v>
          </cell>
          <cell r="C231">
            <v>14.612197558425638</v>
          </cell>
          <cell r="D231">
            <v>12.71544936829763</v>
          </cell>
          <cell r="E231">
            <v>8.8753170681969031</v>
          </cell>
          <cell r="F231">
            <v>3.749876678613898</v>
          </cell>
          <cell r="G231">
            <v>1.2149599952073737</v>
          </cell>
        </row>
        <row r="233">
          <cell r="B233">
            <v>22.300216112786444</v>
          </cell>
          <cell r="C233">
            <v>25.707895140756801</v>
          </cell>
          <cell r="D233">
            <v>28.540729782680053</v>
          </cell>
          <cell r="E233">
            <v>40.240457210573354</v>
          </cell>
          <cell r="F233">
            <v>51.979757793627897</v>
          </cell>
          <cell r="G233">
            <v>77.099941357387365</v>
          </cell>
        </row>
        <row r="234">
          <cell r="B234">
            <v>52.108841343364119</v>
          </cell>
          <cell r="C234">
            <v>47.704043833783096</v>
          </cell>
          <cell r="D234">
            <v>46.129150994348862</v>
          </cell>
          <cell r="E234">
            <v>34.505031044786456</v>
          </cell>
          <cell r="F234">
            <v>17.996562568110843</v>
          </cell>
          <cell r="G234">
            <v>0.19343355340998064</v>
          </cell>
        </row>
        <row r="235">
          <cell r="B235">
            <v>42.95036322007676</v>
          </cell>
          <cell r="C235">
            <v>41.022619050779888</v>
          </cell>
          <cell r="D235">
            <v>44.704884805413926</v>
          </cell>
          <cell r="E235">
            <v>45.040802511079001</v>
          </cell>
          <cell r="F235">
            <v>36.161308164762495</v>
          </cell>
          <cell r="G235">
            <v>23.98800759501766</v>
          </cell>
        </row>
        <row r="236">
          <cell r="B236">
            <v>0</v>
          </cell>
          <cell r="C236">
            <v>0</v>
          </cell>
          <cell r="D236">
            <v>1.7954614588993672E-3</v>
          </cell>
          <cell r="E236">
            <v>2.1912558755353621E-3</v>
          </cell>
          <cell r="F236">
            <v>0.16299892433822699</v>
          </cell>
          <cell r="G236">
            <v>0.1741458886769135</v>
          </cell>
        </row>
        <row r="238">
          <cell r="B238">
            <v>9.8311036598472762E-2</v>
          </cell>
          <cell r="C238">
            <v>4.0711902817663131E-3</v>
          </cell>
          <cell r="D238">
            <v>5.1565802416804474E-3</v>
          </cell>
          <cell r="E238">
            <v>0.59190796204354068</v>
          </cell>
          <cell r="F238">
            <v>0.90133327092956117</v>
          </cell>
          <cell r="G238">
            <v>0.90133318609049984</v>
          </cell>
        </row>
        <row r="239">
          <cell r="B239">
            <v>5.0727984692787409</v>
          </cell>
          <cell r="C239">
            <v>9.0882183643544696</v>
          </cell>
          <cell r="D239">
            <v>8.7031914541036759</v>
          </cell>
          <cell r="E239">
            <v>9.322195738802149</v>
          </cell>
          <cell r="F239">
            <v>8.2290295667572355</v>
          </cell>
          <cell r="G239">
            <v>8.5932775357827964</v>
          </cell>
        </row>
        <row r="240">
          <cell r="B240">
            <v>9.6515412237771105</v>
          </cell>
          <cell r="C240">
            <v>9.6321360460260177</v>
          </cell>
          <cell r="D240">
            <v>8.7262960060897683</v>
          </cell>
          <cell r="E240">
            <v>8.6042765933431724</v>
          </cell>
          <cell r="F240">
            <v>8.6731831374547284</v>
          </cell>
          <cell r="G240">
            <v>4.77021574581702</v>
          </cell>
        </row>
        <row r="241">
          <cell r="B241">
            <v>2.8666741875388464</v>
          </cell>
          <cell r="C241">
            <v>3.3630549332896176</v>
          </cell>
          <cell r="D241">
            <v>3.3001775153265021</v>
          </cell>
          <cell r="E241">
            <v>3.4350189394283883</v>
          </cell>
          <cell r="F241">
            <v>3.5553750154595023</v>
          </cell>
          <cell r="G241">
            <v>3.7687763095813294</v>
          </cell>
        </row>
        <row r="242">
          <cell r="B242">
            <v>2.5068244970084019</v>
          </cell>
          <cell r="C242">
            <v>2.9279869274558936</v>
          </cell>
          <cell r="D242">
            <v>2.9279878844940184</v>
          </cell>
          <cell r="E242">
            <v>2.9279880885801357</v>
          </cell>
          <cell r="F242">
            <v>4.7844110308002854</v>
          </cell>
          <cell r="G242">
            <v>5.4707082129357083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3.6713940816539186</v>
          </cell>
          <cell r="C244">
            <v>8.5222603626053068</v>
          </cell>
          <cell r="D244">
            <v>8.5221964147863218</v>
          </cell>
          <cell r="E244">
            <v>10.725177483224229</v>
          </cell>
          <cell r="F244">
            <v>28.193795706833814</v>
          </cell>
          <cell r="G244">
            <v>37.713884409826306</v>
          </cell>
        </row>
        <row r="245">
          <cell r="B245">
            <v>156.85165773040512</v>
          </cell>
          <cell r="C245">
            <v>162.65648341129148</v>
          </cell>
          <cell r="D245">
            <v>164.27703710966622</v>
          </cell>
          <cell r="E245">
            <v>164.27037492121707</v>
          </cell>
          <cell r="F245">
            <v>164.38763185768849</v>
          </cell>
          <cell r="G245">
            <v>163.88868378973297</v>
          </cell>
        </row>
      </sheetData>
      <sheetData sheetId="46">
        <row r="21">
          <cell r="B21">
            <v>78.611303026643469</v>
          </cell>
          <cell r="C21">
            <v>81.666433258192441</v>
          </cell>
          <cell r="D21">
            <v>74.348453232643038</v>
          </cell>
          <cell r="E21">
            <v>40.500430548108966</v>
          </cell>
          <cell r="F21">
            <v>5.801900945063001</v>
          </cell>
          <cell r="G21">
            <v>1.0822956729374713</v>
          </cell>
        </row>
        <row r="22">
          <cell r="B22">
            <v>117.80215120850195</v>
          </cell>
          <cell r="C22">
            <v>111.65694886996017</v>
          </cell>
          <cell r="D22">
            <v>93.968181155114621</v>
          </cell>
          <cell r="E22">
            <v>64.761164947568972</v>
          </cell>
          <cell r="F22">
            <v>41.338028945278658</v>
          </cell>
          <cell r="G22">
            <v>9.2825368140270093E-2</v>
          </cell>
        </row>
        <row r="24">
          <cell r="B24">
            <v>0.1755627775235028</v>
          </cell>
          <cell r="C24">
            <v>2.7599657598393924E-2</v>
          </cell>
          <cell r="D24">
            <v>1.9403474855613356</v>
          </cell>
          <cell r="E24">
            <v>6.4999056558486714</v>
          </cell>
          <cell r="F24">
            <v>0.68282943332496915</v>
          </cell>
          <cell r="G24">
            <v>1.0393289053531112</v>
          </cell>
        </row>
        <row r="25">
          <cell r="B25">
            <v>4.5523803526525146</v>
          </cell>
          <cell r="C25">
            <v>4.7293063934351478</v>
          </cell>
          <cell r="D25">
            <v>4.305522000188037</v>
          </cell>
          <cell r="E25">
            <v>2.3454065271256468</v>
          </cell>
          <cell r="F25">
            <v>5.9517250654681453</v>
          </cell>
          <cell r="G25">
            <v>5.9674762141376005</v>
          </cell>
        </row>
        <row r="26">
          <cell r="B26">
            <v>2.9709285743637874</v>
          </cell>
          <cell r="C26">
            <v>2.9709284620297085</v>
          </cell>
          <cell r="D26">
            <v>3.0535515830619491</v>
          </cell>
          <cell r="E26">
            <v>2.631922591270198</v>
          </cell>
          <cell r="F26">
            <v>1.1885441493258249</v>
          </cell>
          <cell r="G26">
            <v>27.378769038308803</v>
          </cell>
        </row>
        <row r="27">
          <cell r="B27">
            <v>1.4315204658546667E-2</v>
          </cell>
          <cell r="C27">
            <v>5.3768907815207696E-3</v>
          </cell>
          <cell r="D27">
            <v>0.13974462996862613</v>
          </cell>
          <cell r="E27">
            <v>8.9419977402501229E-6</v>
          </cell>
          <cell r="F27">
            <v>1.0401065505254383E-5</v>
          </cell>
          <cell r="G27">
            <v>1.5257415455734505E-5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6.9724177578135726E-4</v>
          </cell>
          <cell r="F32">
            <v>0.65728327086334526</v>
          </cell>
          <cell r="G32">
            <v>1.7359165265615843</v>
          </cell>
        </row>
      </sheetData>
      <sheetData sheetId="47">
        <row r="53">
          <cell r="B53">
            <v>2.573451046603382</v>
          </cell>
          <cell r="C53">
            <v>2.2692714420482916</v>
          </cell>
          <cell r="D53">
            <v>2.2733397042341683</v>
          </cell>
          <cell r="E53">
            <v>2.2717841940405665</v>
          </cell>
          <cell r="F53">
            <v>2.2944752048600452</v>
          </cell>
          <cell r="G53">
            <v>2.3173927733410382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0.2226230452977</v>
          </cell>
          <cell r="F54">
            <v>0.66662570942951593</v>
          </cell>
          <cell r="G54">
            <v>0.75097914923277009</v>
          </cell>
        </row>
        <row r="55">
          <cell r="B55">
            <v>6.5222544245433927</v>
          </cell>
          <cell r="C55">
            <v>6.0245119334462753</v>
          </cell>
          <cell r="D55">
            <v>5.4969140561164807</v>
          </cell>
          <cell r="E55">
            <v>4.6984062710973769</v>
          </cell>
          <cell r="F55">
            <v>3.6563168286899637</v>
          </cell>
          <cell r="G55">
            <v>2.9536270533651958</v>
          </cell>
        </row>
        <row r="56">
          <cell r="B56">
            <v>3.7891757406330302</v>
          </cell>
          <cell r="C56">
            <v>3.1590715290219098</v>
          </cell>
          <cell r="D56">
            <v>3.5260245350919699</v>
          </cell>
          <cell r="E56">
            <v>3.0027563296777799</v>
          </cell>
          <cell r="F56">
            <v>1.8233358434732541</v>
          </cell>
          <cell r="G56">
            <v>0.57290747499863059</v>
          </cell>
        </row>
        <row r="57">
          <cell r="B57">
            <v>7.1732771112867795</v>
          </cell>
          <cell r="C57">
            <v>6.6453398034010442</v>
          </cell>
          <cell r="D57">
            <v>6.7134583463897686</v>
          </cell>
          <cell r="E57">
            <v>5.6772149957338076</v>
          </cell>
          <cell r="F57">
            <v>3.7748510200284398</v>
          </cell>
          <cell r="G57">
            <v>1.4988938250371466</v>
          </cell>
        </row>
        <row r="58">
          <cell r="B58">
            <v>14.624712641593101</v>
          </cell>
          <cell r="C58">
            <v>14.474002209304583</v>
          </cell>
          <cell r="D58">
            <v>12.803745988076292</v>
          </cell>
          <cell r="E58">
            <v>8.3589072911321249</v>
          </cell>
          <cell r="F58">
            <v>3.5734649928805822</v>
          </cell>
          <cell r="G58">
            <v>0.14677640530228372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-0.8612966756358007</v>
          </cell>
          <cell r="G59">
            <v>-2.3125643909243103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-0.96078297194700613</v>
          </cell>
          <cell r="G60">
            <v>-3.5840721962602973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-3.0119345793142908E-6</v>
          </cell>
          <cell r="G61">
            <v>-1.7054843156294106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-1.3688034462305727E-6</v>
          </cell>
          <cell r="G62">
            <v>-0.63845466701282183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-9.4445211627684336E-8</v>
          </cell>
          <cell r="G63">
            <v>-5.8692946248147056E-7</v>
          </cell>
        </row>
        <row r="77">
          <cell r="B77">
            <v>0.83333333802934639</v>
          </cell>
          <cell r="C77">
            <v>1.9047619050006481</v>
          </cell>
        </row>
        <row r="78">
          <cell r="B78">
            <v>1.3138138723040217E-6</v>
          </cell>
          <cell r="C78">
            <v>2.8614197069055353E-2</v>
          </cell>
        </row>
        <row r="79">
          <cell r="B79">
            <v>0.98874801930951894</v>
          </cell>
          <cell r="C79">
            <v>6.3071990248386962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76"/>
  <sheetViews>
    <sheetView showGridLines="0" topLeftCell="A28" workbookViewId="0">
      <selection activeCell="C40" sqref="C40"/>
    </sheetView>
  </sheetViews>
  <sheetFormatPr baseColWidth="10" defaultColWidth="8.83203125" defaultRowHeight="16"/>
  <cols>
    <col min="2" max="2" width="49.5" bestFit="1" customWidth="1"/>
    <col min="3" max="3" width="81.5" bestFit="1" customWidth="1"/>
    <col min="4" max="4" width="11.5" bestFit="1" customWidth="1"/>
  </cols>
  <sheetData>
    <row r="2" spans="2:5">
      <c r="B2" s="10" t="s">
        <v>3</v>
      </c>
      <c r="C2" s="10" t="s">
        <v>363</v>
      </c>
      <c r="D2" s="10" t="s">
        <v>4</v>
      </c>
      <c r="E2" s="10" t="s">
        <v>373</v>
      </c>
    </row>
    <row r="3" spans="2:5">
      <c r="B3" t="s">
        <v>15</v>
      </c>
      <c r="C3" t="s">
        <v>364</v>
      </c>
      <c r="D3" t="s">
        <v>8</v>
      </c>
    </row>
    <row r="4" spans="2:5">
      <c r="B4" t="s">
        <v>19</v>
      </c>
      <c r="C4" t="s">
        <v>365</v>
      </c>
      <c r="D4" t="s">
        <v>8</v>
      </c>
    </row>
    <row r="5" spans="2:5">
      <c r="B5" t="s">
        <v>24</v>
      </c>
      <c r="C5" t="s">
        <v>366</v>
      </c>
      <c r="D5" t="s">
        <v>8</v>
      </c>
    </row>
    <row r="6" spans="2:5">
      <c r="B6" t="s">
        <v>29</v>
      </c>
      <c r="C6" t="s">
        <v>367</v>
      </c>
      <c r="D6" t="s">
        <v>8</v>
      </c>
    </row>
    <row r="7" spans="2:5">
      <c r="B7" t="s">
        <v>154</v>
      </c>
      <c r="C7" t="s">
        <v>368</v>
      </c>
      <c r="D7" t="s">
        <v>8</v>
      </c>
    </row>
    <row r="8" spans="2:5">
      <c r="B8" t="s">
        <v>92</v>
      </c>
      <c r="C8" t="s">
        <v>369</v>
      </c>
      <c r="D8" t="s">
        <v>8</v>
      </c>
    </row>
    <row r="9" spans="2:5">
      <c r="B9" t="s">
        <v>192</v>
      </c>
      <c r="C9" t="s">
        <v>370</v>
      </c>
      <c r="D9" t="s">
        <v>8</v>
      </c>
    </row>
    <row r="10" spans="2:5">
      <c r="B10" t="s">
        <v>243</v>
      </c>
      <c r="C10" t="s">
        <v>371</v>
      </c>
      <c r="D10" t="s">
        <v>242</v>
      </c>
      <c r="E10" t="s">
        <v>374</v>
      </c>
    </row>
    <row r="11" spans="2:5">
      <c r="B11" t="s">
        <v>299</v>
      </c>
      <c r="C11" t="s">
        <v>372</v>
      </c>
      <c r="D11" t="s">
        <v>242</v>
      </c>
      <c r="E11" t="s">
        <v>713</v>
      </c>
    </row>
    <row r="12" spans="2:5">
      <c r="B12" t="s">
        <v>306</v>
      </c>
      <c r="C12" t="s">
        <v>376</v>
      </c>
      <c r="D12" t="s">
        <v>8</v>
      </c>
    </row>
    <row r="13" spans="2:5">
      <c r="B13" t="s">
        <v>375</v>
      </c>
      <c r="C13" t="s">
        <v>377</v>
      </c>
      <c r="D13" t="s">
        <v>8</v>
      </c>
    </row>
    <row r="14" spans="2:5">
      <c r="B14" t="s">
        <v>378</v>
      </c>
      <c r="C14" t="s">
        <v>379</v>
      </c>
      <c r="D14" t="s">
        <v>8</v>
      </c>
    </row>
    <row r="15" spans="2:5">
      <c r="B15" t="s">
        <v>309</v>
      </c>
      <c r="C15" t="s">
        <v>380</v>
      </c>
      <c r="D15" t="s">
        <v>242</v>
      </c>
    </row>
    <row r="16" spans="2:5">
      <c r="B16" t="s">
        <v>381</v>
      </c>
      <c r="C16" t="s">
        <v>382</v>
      </c>
      <c r="D16" t="s">
        <v>8</v>
      </c>
    </row>
    <row r="17" spans="2:5">
      <c r="B17" t="s">
        <v>383</v>
      </c>
      <c r="C17" t="s">
        <v>384</v>
      </c>
      <c r="D17" t="s">
        <v>8</v>
      </c>
    </row>
    <row r="18" spans="2:5">
      <c r="B18" t="s">
        <v>316</v>
      </c>
      <c r="C18" t="s">
        <v>385</v>
      </c>
      <c r="D18" t="s">
        <v>242</v>
      </c>
    </row>
    <row r="19" spans="2:5">
      <c r="B19" t="s">
        <v>386</v>
      </c>
      <c r="C19" t="s">
        <v>387</v>
      </c>
      <c r="D19" t="s">
        <v>8</v>
      </c>
    </row>
    <row r="20" spans="2:5">
      <c r="B20" t="s">
        <v>388</v>
      </c>
      <c r="C20" t="s">
        <v>389</v>
      </c>
      <c r="D20" t="s">
        <v>8</v>
      </c>
    </row>
    <row r="21" spans="2:5">
      <c r="B21" t="s">
        <v>390</v>
      </c>
      <c r="C21" t="s">
        <v>391</v>
      </c>
      <c r="D21" t="s">
        <v>8</v>
      </c>
    </row>
    <row r="22" spans="2:5">
      <c r="B22" t="s">
        <v>392</v>
      </c>
      <c r="C22" t="s">
        <v>392</v>
      </c>
      <c r="D22" t="s">
        <v>8</v>
      </c>
    </row>
    <row r="23" spans="2:5">
      <c r="B23" t="s">
        <v>393</v>
      </c>
      <c r="C23" t="s">
        <v>394</v>
      </c>
      <c r="D23" t="s">
        <v>242</v>
      </c>
    </row>
    <row r="24" spans="2:5">
      <c r="B24" t="s">
        <v>395</v>
      </c>
      <c r="C24" t="s">
        <v>395</v>
      </c>
      <c r="D24" t="s">
        <v>8</v>
      </c>
    </row>
    <row r="25" spans="2:5">
      <c r="B25" t="s">
        <v>411</v>
      </c>
      <c r="C25" t="s">
        <v>412</v>
      </c>
      <c r="D25" t="s">
        <v>8</v>
      </c>
    </row>
    <row r="26" spans="2:5">
      <c r="B26" t="s">
        <v>413</v>
      </c>
      <c r="C26" t="s">
        <v>421</v>
      </c>
      <c r="D26" t="s">
        <v>242</v>
      </c>
      <c r="E26" t="s">
        <v>422</v>
      </c>
    </row>
    <row r="27" spans="2:5">
      <c r="B27" t="s">
        <v>429</v>
      </c>
      <c r="C27" t="s">
        <v>423</v>
      </c>
      <c r="D27" t="s">
        <v>8</v>
      </c>
      <c r="E27" t="s">
        <v>426</v>
      </c>
    </row>
    <row r="28" spans="2:5">
      <c r="B28" t="s">
        <v>430</v>
      </c>
      <c r="C28" t="s">
        <v>424</v>
      </c>
      <c r="D28" t="s">
        <v>8</v>
      </c>
      <c r="E28" t="s">
        <v>425</v>
      </c>
    </row>
    <row r="29" spans="2:5">
      <c r="B29" t="s">
        <v>431</v>
      </c>
      <c r="C29" t="s">
        <v>427</v>
      </c>
      <c r="D29" t="s">
        <v>8</v>
      </c>
      <c r="E29" t="s">
        <v>428</v>
      </c>
    </row>
    <row r="30" spans="2:5">
      <c r="B30" t="s">
        <v>436</v>
      </c>
      <c r="C30" t="s">
        <v>437</v>
      </c>
      <c r="D30" t="s">
        <v>8</v>
      </c>
    </row>
    <row r="31" spans="2:5">
      <c r="B31" t="s">
        <v>439</v>
      </c>
      <c r="C31" t="s">
        <v>440</v>
      </c>
      <c r="D31" t="s">
        <v>8</v>
      </c>
    </row>
    <row r="32" spans="2:5">
      <c r="B32" t="s">
        <v>445</v>
      </c>
      <c r="C32" t="s">
        <v>446</v>
      </c>
      <c r="D32" t="s">
        <v>242</v>
      </c>
    </row>
    <row r="33" spans="2:5">
      <c r="B33" t="s">
        <v>449</v>
      </c>
      <c r="C33" t="s">
        <v>449</v>
      </c>
      <c r="D33" t="s">
        <v>447</v>
      </c>
      <c r="E33" t="s">
        <v>452</v>
      </c>
    </row>
    <row r="34" spans="2:5">
      <c r="B34" t="s">
        <v>479</v>
      </c>
      <c r="C34" t="s">
        <v>482</v>
      </c>
      <c r="D34" t="s">
        <v>8</v>
      </c>
      <c r="E34" t="s">
        <v>483</v>
      </c>
    </row>
    <row r="35" spans="2:5">
      <c r="B35" t="s">
        <v>480</v>
      </c>
      <c r="C35" t="s">
        <v>484</v>
      </c>
      <c r="D35" t="s">
        <v>8</v>
      </c>
      <c r="E35" t="s">
        <v>483</v>
      </c>
    </row>
    <row r="36" spans="2:5">
      <c r="B36" t="s">
        <v>481</v>
      </c>
      <c r="C36" t="s">
        <v>485</v>
      </c>
      <c r="D36" t="s">
        <v>242</v>
      </c>
    </row>
    <row r="37" spans="2:5">
      <c r="B37" t="s">
        <v>501</v>
      </c>
      <c r="C37" t="s">
        <v>502</v>
      </c>
      <c r="D37" t="s">
        <v>8</v>
      </c>
      <c r="E37" t="s">
        <v>503</v>
      </c>
    </row>
    <row r="38" spans="2:5">
      <c r="B38" t="s">
        <v>701</v>
      </c>
      <c r="C38" t="s">
        <v>702</v>
      </c>
      <c r="D38" t="s">
        <v>8</v>
      </c>
      <c r="E38" t="s">
        <v>503</v>
      </c>
    </row>
    <row r="39" spans="2:5">
      <c r="B39" t="s">
        <v>714</v>
      </c>
      <c r="C39" t="s">
        <v>715</v>
      </c>
      <c r="D39" t="s">
        <v>242</v>
      </c>
      <c r="E39" t="s">
        <v>503</v>
      </c>
    </row>
    <row r="40" spans="2:5">
      <c r="B40" t="s">
        <v>679</v>
      </c>
      <c r="C40" t="s">
        <v>680</v>
      </c>
      <c r="D40" t="s">
        <v>8</v>
      </c>
    </row>
    <row r="41" spans="2:5">
      <c r="B41" t="s">
        <v>724</v>
      </c>
      <c r="C41" t="s">
        <v>725</v>
      </c>
      <c r="D41" t="s">
        <v>8</v>
      </c>
    </row>
    <row r="42" spans="2:5">
      <c r="B42" t="s">
        <v>716</v>
      </c>
      <c r="C42" t="s">
        <v>717</v>
      </c>
      <c r="D42" t="s">
        <v>242</v>
      </c>
    </row>
    <row r="43" spans="2:5">
      <c r="B43" t="s">
        <v>769</v>
      </c>
      <c r="C43" t="s">
        <v>770</v>
      </c>
      <c r="D43" t="s">
        <v>8</v>
      </c>
    </row>
    <row r="44" spans="2:5">
      <c r="B44" t="s">
        <v>785</v>
      </c>
      <c r="C44" t="s">
        <v>786</v>
      </c>
      <c r="D44" t="s">
        <v>8</v>
      </c>
    </row>
    <row r="45" spans="2:5">
      <c r="B45" t="s">
        <v>1159</v>
      </c>
      <c r="C45" t="s">
        <v>1193</v>
      </c>
      <c r="D45" t="s">
        <v>242</v>
      </c>
    </row>
    <row r="46" spans="2:5">
      <c r="B46" t="s">
        <v>1304</v>
      </c>
      <c r="C46" t="s">
        <v>1194</v>
      </c>
      <c r="D46" t="s">
        <v>8</v>
      </c>
      <c r="E46" t="s">
        <v>1195</v>
      </c>
    </row>
    <row r="47" spans="2:5">
      <c r="B47" t="s">
        <v>1196</v>
      </c>
      <c r="C47" t="s">
        <v>1197</v>
      </c>
      <c r="D47" t="s">
        <v>1199</v>
      </c>
    </row>
    <row r="48" spans="2:5">
      <c r="B48" t="s">
        <v>1198</v>
      </c>
      <c r="C48" t="s">
        <v>1298</v>
      </c>
      <c r="D48" t="s">
        <v>1297</v>
      </c>
      <c r="E48" t="s">
        <v>1299</v>
      </c>
    </row>
    <row r="49" spans="2:5">
      <c r="B49" t="s">
        <v>1372</v>
      </c>
      <c r="C49" t="s">
        <v>1373</v>
      </c>
      <c r="D49" t="s">
        <v>8</v>
      </c>
    </row>
    <row r="50" spans="2:5">
      <c r="B50" t="s">
        <v>1418</v>
      </c>
      <c r="C50" t="s">
        <v>1612</v>
      </c>
      <c r="D50" t="s">
        <v>1199</v>
      </c>
      <c r="E50" t="s">
        <v>1299</v>
      </c>
    </row>
    <row r="51" spans="2:5">
      <c r="B51" t="s">
        <v>1442</v>
      </c>
      <c r="C51" t="s">
        <v>1551</v>
      </c>
      <c r="D51" t="s">
        <v>1297</v>
      </c>
    </row>
    <row r="52" spans="2:5">
      <c r="B52" t="s">
        <v>1468</v>
      </c>
      <c r="C52" t="s">
        <v>1468</v>
      </c>
      <c r="D52" t="s">
        <v>8</v>
      </c>
    </row>
    <row r="53" spans="2:5">
      <c r="B53" t="s">
        <v>1466</v>
      </c>
      <c r="C53" t="s">
        <v>1611</v>
      </c>
      <c r="D53" t="s">
        <v>1199</v>
      </c>
      <c r="E53" t="s">
        <v>1299</v>
      </c>
    </row>
    <row r="54" spans="2:5">
      <c r="B54" t="s">
        <v>1467</v>
      </c>
      <c r="C54" t="s">
        <v>1550</v>
      </c>
      <c r="D54" t="s">
        <v>1297</v>
      </c>
    </row>
    <row r="55" spans="2:5">
      <c r="B55" t="s">
        <v>1553</v>
      </c>
      <c r="C55" t="s">
        <v>1553</v>
      </c>
      <c r="D55" t="s">
        <v>8</v>
      </c>
    </row>
    <row r="56" spans="2:5">
      <c r="B56" t="s">
        <v>1558</v>
      </c>
      <c r="C56" t="s">
        <v>1610</v>
      </c>
      <c r="D56" t="s">
        <v>1199</v>
      </c>
    </row>
    <row r="57" spans="2:5">
      <c r="B57" t="s">
        <v>1560</v>
      </c>
      <c r="C57" t="s">
        <v>1566</v>
      </c>
      <c r="D57" t="s">
        <v>1297</v>
      </c>
    </row>
    <row r="58" spans="2:5">
      <c r="B58" t="s">
        <v>1552</v>
      </c>
      <c r="C58" t="s">
        <v>1552</v>
      </c>
      <c r="D58" t="s">
        <v>8</v>
      </c>
    </row>
    <row r="59" spans="2:5">
      <c r="B59" t="s">
        <v>1562</v>
      </c>
      <c r="C59" t="s">
        <v>1609</v>
      </c>
      <c r="D59" t="s">
        <v>1199</v>
      </c>
    </row>
    <row r="60" spans="2:5">
      <c r="B60" t="s">
        <v>1564</v>
      </c>
      <c r="C60" t="s">
        <v>1614</v>
      </c>
      <c r="D60" t="s">
        <v>1297</v>
      </c>
    </row>
    <row r="61" spans="2:5">
      <c r="B61" t="s">
        <v>1567</v>
      </c>
      <c r="C61" t="s">
        <v>1608</v>
      </c>
      <c r="D61" t="s">
        <v>8</v>
      </c>
    </row>
    <row r="62" spans="2:5">
      <c r="B62" t="s">
        <v>1583</v>
      </c>
      <c r="C62" t="s">
        <v>1675</v>
      </c>
      <c r="D62" t="s">
        <v>1199</v>
      </c>
    </row>
    <row r="63" spans="2:5">
      <c r="B63" t="s">
        <v>1598</v>
      </c>
      <c r="C63" t="s">
        <v>1613</v>
      </c>
      <c r="D63" t="s">
        <v>1297</v>
      </c>
    </row>
    <row r="64" spans="2:5">
      <c r="B64" t="s">
        <v>1723</v>
      </c>
      <c r="C64" t="s">
        <v>1673</v>
      </c>
      <c r="D64" t="s">
        <v>8</v>
      </c>
    </row>
    <row r="65" spans="2:4">
      <c r="B65" t="s">
        <v>1724</v>
      </c>
      <c r="C65" t="s">
        <v>1675</v>
      </c>
      <c r="D65" t="s">
        <v>1199</v>
      </c>
    </row>
    <row r="66" spans="2:4">
      <c r="B66" t="s">
        <v>1725</v>
      </c>
      <c r="C66" t="s">
        <v>1674</v>
      </c>
      <c r="D66" t="s">
        <v>1297</v>
      </c>
    </row>
    <row r="67" spans="2:4">
      <c r="B67" t="s">
        <v>1726</v>
      </c>
      <c r="C67" t="s">
        <v>1727</v>
      </c>
      <c r="D67" t="s">
        <v>8</v>
      </c>
    </row>
    <row r="68" spans="2:4">
      <c r="B68" t="s">
        <v>1729</v>
      </c>
      <c r="C68" t="s">
        <v>1675</v>
      </c>
      <c r="D68" t="s">
        <v>1199</v>
      </c>
    </row>
    <row r="69" spans="2:4">
      <c r="B69" t="s">
        <v>1730</v>
      </c>
      <c r="C69" t="s">
        <v>1728</v>
      </c>
      <c r="D69" t="s">
        <v>1297</v>
      </c>
    </row>
    <row r="70" spans="2:4">
      <c r="B70" t="s">
        <v>1776</v>
      </c>
      <c r="C70" t="s">
        <v>1731</v>
      </c>
      <c r="D70" t="s">
        <v>8</v>
      </c>
    </row>
    <row r="71" spans="2:4">
      <c r="B71" t="s">
        <v>1754</v>
      </c>
      <c r="C71" t="s">
        <v>1777</v>
      </c>
      <c r="D71" t="s">
        <v>1779</v>
      </c>
    </row>
    <row r="72" spans="2:4">
      <c r="B72" t="s">
        <v>1765</v>
      </c>
      <c r="C72" t="s">
        <v>1778</v>
      </c>
      <c r="D72" t="s">
        <v>1780</v>
      </c>
    </row>
    <row r="73" spans="2:4">
      <c r="B73" t="s">
        <v>1781</v>
      </c>
      <c r="C73" t="s">
        <v>1781</v>
      </c>
      <c r="D73" t="s">
        <v>447</v>
      </c>
    </row>
    <row r="74" spans="2:4">
      <c r="B74" t="s">
        <v>1795</v>
      </c>
      <c r="C74" t="s">
        <v>1801</v>
      </c>
      <c r="D74" t="s">
        <v>447</v>
      </c>
    </row>
    <row r="75" spans="2:4">
      <c r="B75" t="s">
        <v>1800</v>
      </c>
      <c r="C75" t="s">
        <v>1802</v>
      </c>
      <c r="D75" t="s">
        <v>8</v>
      </c>
    </row>
    <row r="76" spans="2:4">
      <c r="B76" t="s">
        <v>1848</v>
      </c>
      <c r="C76" t="s">
        <v>1866</v>
      </c>
      <c r="D76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1753"/>
  <sheetViews>
    <sheetView tabSelected="1" topLeftCell="A1625" zoomScaleNormal="100" workbookViewId="0">
      <selection activeCell="D1643" sqref="D1643"/>
    </sheetView>
  </sheetViews>
  <sheetFormatPr baseColWidth="10" defaultColWidth="11" defaultRowHeight="16"/>
  <cols>
    <col min="1" max="1" width="6.33203125" bestFit="1" customWidth="1"/>
    <col min="2" max="2" width="8.1640625" bestFit="1" customWidth="1"/>
    <col min="3" max="3" width="6.83203125" bestFit="1" customWidth="1"/>
    <col min="4" max="4" width="121.83203125" bestFit="1" customWidth="1"/>
    <col min="5" max="5" width="12.5" bestFit="1" customWidth="1"/>
    <col min="6" max="11" width="10.6640625" style="13" bestFit="1" customWidth="1"/>
    <col min="13" max="13" width="16.33203125" bestFit="1" customWidth="1"/>
    <col min="14" max="18" width="15.33203125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6">
        <v>2020</v>
      </c>
      <c r="G1" s="16">
        <v>2022</v>
      </c>
      <c r="H1" s="16">
        <v>2025</v>
      </c>
      <c r="I1" s="16">
        <v>2030</v>
      </c>
      <c r="J1" s="16">
        <v>2040</v>
      </c>
      <c r="K1" s="16">
        <v>2050</v>
      </c>
    </row>
    <row r="2" spans="1:11">
      <c r="A2" s="8" t="s">
        <v>5</v>
      </c>
      <c r="B2" s="8" t="s">
        <v>6</v>
      </c>
      <c r="C2" s="1" t="s">
        <v>7</v>
      </c>
      <c r="D2" s="1" t="s">
        <v>15</v>
      </c>
      <c r="E2" s="1" t="s">
        <v>8</v>
      </c>
      <c r="F2" s="16">
        <f>F3+F8+F11+F12+F16+F17+F18+F19</f>
        <v>299.34489264338401</v>
      </c>
      <c r="G2" s="16">
        <f t="shared" ref="G2:K2" si="0">G3+G8+G11+G12+G16+G17+G18+G19</f>
        <v>295.58439909822249</v>
      </c>
      <c r="H2" s="16">
        <f t="shared" si="0"/>
        <v>315.82681907789487</v>
      </c>
      <c r="I2" s="16">
        <f t="shared" si="0"/>
        <v>357.21277630856736</v>
      </c>
      <c r="J2" s="16">
        <f t="shared" si="0"/>
        <v>410.49777031698051</v>
      </c>
      <c r="K2" s="16">
        <f t="shared" si="0"/>
        <v>538.96451697916973</v>
      </c>
    </row>
    <row r="3" spans="1:11">
      <c r="A3" s="5" t="s">
        <v>5</v>
      </c>
      <c r="B3" s="5" t="str">
        <f t="shared" ref="B3" si="1">B2</f>
        <v>SPS1</v>
      </c>
      <c r="C3" s="5" t="str">
        <f t="shared" ref="C3" si="2">C2</f>
        <v>CH</v>
      </c>
      <c r="D3" t="s">
        <v>802</v>
      </c>
      <c r="E3" t="s">
        <v>8</v>
      </c>
      <c r="F3" s="13">
        <f>SUM(F4:F7)</f>
        <v>44.770000213158205</v>
      </c>
      <c r="G3" s="13">
        <f t="shared" ref="G3:K3" si="3">SUM(G4:G7)</f>
        <v>47.260900736747111</v>
      </c>
      <c r="H3" s="13">
        <f t="shared" si="3"/>
        <v>47.260900825371202</v>
      </c>
      <c r="I3" s="13">
        <f t="shared" si="3"/>
        <v>47.414693736153453</v>
      </c>
      <c r="J3" s="13">
        <f t="shared" si="3"/>
        <v>47.414695096007172</v>
      </c>
      <c r="K3" s="13">
        <f t="shared" si="3"/>
        <v>63.755653127078119</v>
      </c>
    </row>
    <row r="4" spans="1:11">
      <c r="A4" s="5" t="s">
        <v>5</v>
      </c>
      <c r="B4" s="5" t="str">
        <f t="shared" ref="B4:B60" si="4">B3</f>
        <v>SPS1</v>
      </c>
      <c r="C4" s="5" t="str">
        <f t="shared" ref="C4:C60" si="5">C3</f>
        <v>CH</v>
      </c>
      <c r="D4" t="s">
        <v>10</v>
      </c>
      <c r="E4" t="s">
        <v>8</v>
      </c>
      <c r="F4" s="13" cm="1">
        <f t="array" ref="F4">SUMPRODUCT(("RNWWOD1"=[1]OUT_PrimaryEnergyCons!$A$1:$A$1000)*1,[1]OUT_PrimaryEnergyCons!D$1:D$1000)</f>
        <v>10.182339476549727</v>
      </c>
      <c r="G4" s="13" cm="1">
        <f t="array" ref="G4">SUMPRODUCT(("RNWWOD1"=[1]OUT_PrimaryEnergyCons!$A$1:$A$1000)*1,[1]OUT_PrimaryEnergyCons!E$1:E$1000)</f>
        <v>11.152950513118</v>
      </c>
      <c r="H4" s="13" cm="1">
        <f t="array" ref="H4">SUMPRODUCT(("RNWWOD1"=[1]OUT_PrimaryEnergyCons!$A$1:$A$1000)*1,[1]OUT_PrimaryEnergyCons!F$1:F$1000)</f>
        <v>12.608867099096248</v>
      </c>
      <c r="I4" s="13" cm="1">
        <f t="array" ref="I4">SUMPRODUCT(("RNWWOD1"=[1]OUT_PrimaryEnergyCons!$A$1:$A$1000)*1,[1]OUT_PrimaryEnergyCons!G$1:G$1000)</f>
        <v>15.035394751815067</v>
      </c>
      <c r="J4" s="13" cm="1">
        <f t="array" ref="J4">SUMPRODUCT(("RNWWOD1"=[1]OUT_PrimaryEnergyCons!$A$1:$A$1000)*1,[1]OUT_PrimaryEnergyCons!H$1:H$1000)</f>
        <v>17.461922448556315</v>
      </c>
      <c r="K4" s="13" cm="1">
        <f t="array" ref="K4">SUMPRODUCT(("RNWWOD1"=[1]OUT_PrimaryEnergyCons!$A$1:$A$1000)*1,[1]OUT_PrimaryEnergyCons!I$1:I$1000)</f>
        <v>17.46192244946106</v>
      </c>
    </row>
    <row r="5" spans="1:11">
      <c r="A5" s="5" t="s">
        <v>5</v>
      </c>
      <c r="B5" s="5" t="str">
        <f t="shared" si="4"/>
        <v>SPS1</v>
      </c>
      <c r="C5" s="5" t="str">
        <f t="shared" si="5"/>
        <v>CH</v>
      </c>
      <c r="D5" t="s">
        <v>9</v>
      </c>
      <c r="E5" t="s">
        <v>8</v>
      </c>
      <c r="F5" s="13" cm="1">
        <f t="array" ref="F5">SUMPRODUCT(("RNWWOD2"=[1]OUT_PrimaryEnergyCons!$A$1:$A$1000)*1,[1]OUT_PrimaryEnergyCons!D$1:D$1000)</f>
        <v>7.4592163140853041</v>
      </c>
      <c r="G5" s="13" cm="1">
        <f t="array" ref="G5">SUMPRODUCT(("RNWWOD2"=[1]OUT_PrimaryEnergyCons!$A$1:$A$1000)*1,[1]OUT_PrimaryEnergyCons!E$1:E$1000)</f>
        <v>8.0030401419416926</v>
      </c>
      <c r="H5" s="13" cm="1">
        <f t="array" ref="H5">SUMPRODUCT(("RNWWOD2"=[1]OUT_PrimaryEnergyCons!$A$1:$A$1000)*1,[1]OUT_PrimaryEnergyCons!F$1:F$1000)</f>
        <v>8.8187759136852542</v>
      </c>
      <c r="I5" s="13" cm="1">
        <f t="array" ref="I5">SUMPRODUCT(("RNWWOD2"=[1]OUT_PrimaryEnergyCons!$A$1:$A$1000)*1,[1]OUT_PrimaryEnergyCons!G$1:G$1000)</f>
        <v>10.178335544255187</v>
      </c>
      <c r="J5" s="13" cm="1">
        <f t="array" ref="J5">SUMPRODUCT(("RNWWOD2"=[1]OUT_PrimaryEnergyCons!$A$1:$A$1000)*1,[1]OUT_PrimaryEnergyCons!H$1:H$1000)</f>
        <v>10.230788199722856</v>
      </c>
      <c r="K5" s="13" cm="1">
        <f t="array" ref="K5">SUMPRODUCT(("RNWWOD2"=[1]OUT_PrimaryEnergyCons!$A$1:$A$1000)*1,[1]OUT_PrimaryEnergyCons!I$1:I$1000)</f>
        <v>7.616574214820135</v>
      </c>
    </row>
    <row r="6" spans="1:11">
      <c r="A6" s="5" t="s">
        <v>5</v>
      </c>
      <c r="B6" s="5" t="str">
        <f t="shared" si="4"/>
        <v>SPS1</v>
      </c>
      <c r="C6" s="5" t="str">
        <f t="shared" si="5"/>
        <v>CH</v>
      </c>
      <c r="D6" t="s">
        <v>11</v>
      </c>
      <c r="E6" t="s">
        <v>8</v>
      </c>
      <c r="F6" s="13" cm="1">
        <f t="array" ref="F6">SUMPRODUCT(("RNWWOD3"=[1]OUT_PrimaryEnergyCons!$A$1:$A$1000)*1,[1]OUT_PrimaryEnergyCons!D$1:D$1000)</f>
        <v>2.6225281799366309</v>
      </c>
      <c r="G6" s="13" cm="1">
        <f t="array" ref="G6">SUMPRODUCT(("RNWWOD3"=[1]OUT_PrimaryEnergyCons!$A$1:$A$1000)*1,[1]OUT_PrimaryEnergyCons!E$1:E$1000)</f>
        <v>3.2650044051615392</v>
      </c>
      <c r="H6" s="13" cm="1">
        <f t="array" ref="H6">SUMPRODUCT(("RNWWOD3"=[1]OUT_PrimaryEnergyCons!$A$1:$A$1000)*1,[1]OUT_PrimaryEnergyCons!F$1:F$1000)</f>
        <v>4.2287187118006182</v>
      </c>
      <c r="I6" s="13" cm="1">
        <f t="array" ref="I6">SUMPRODUCT(("RNWWOD3"=[1]OUT_PrimaryEnergyCons!$A$1:$A$1000)*1,[1]OUT_PrimaryEnergyCons!G$1:G$1000)</f>
        <v>5.834909304339603</v>
      </c>
      <c r="J6" s="13" cm="1">
        <f t="array" ref="J6">SUMPRODUCT(("RNWWOD3"=[1]OUT_PrimaryEnergyCons!$A$1:$A$1000)*1,[1]OUT_PrimaryEnergyCons!H$1:H$1000)</f>
        <v>6.3806238189980835</v>
      </c>
      <c r="K6" s="13" cm="1">
        <f t="array" ref="K6">SUMPRODUCT(("RNWWOD3"=[1]OUT_PrimaryEnergyCons!$A$1:$A$1000)*1,[1]OUT_PrimaryEnergyCons!I$1:I$1000)</f>
        <v>4.2596716986404237</v>
      </c>
    </row>
    <row r="7" spans="1:11">
      <c r="A7" s="5" t="s">
        <v>5</v>
      </c>
      <c r="B7" s="5" t="str">
        <f t="shared" si="4"/>
        <v>SPS1</v>
      </c>
      <c r="C7" s="5" t="str">
        <f t="shared" si="5"/>
        <v>CH</v>
      </c>
      <c r="D7" t="s">
        <v>12</v>
      </c>
      <c r="E7" t="s">
        <v>8</v>
      </c>
      <c r="F7" s="13" cm="1">
        <f t="array" ref="F7">SUMPRODUCT(("RNWWOD4"=[1]OUT_PrimaryEnergyCons!$A$1:$A$1000)*1+("RNWWOD5"=[1]OUT_PrimaryEnergyCons!$A$1:$A$1000)*1,[1]OUT_PrimaryEnergyCons!D$1:D$1000)</f>
        <v>24.505916242586544</v>
      </c>
      <c r="G7" s="13" cm="1">
        <f t="array" ref="G7">SUMPRODUCT(("RNWWOD4"=[1]OUT_PrimaryEnergyCons!$A$1:$A$1000)*1+("RNWWOD5"=[1]OUT_PrimaryEnergyCons!$A$1:$A$1000)*1,[1]OUT_PrimaryEnergyCons!E$1:E$1000)</f>
        <v>24.839905676525881</v>
      </c>
      <c r="H7" s="13" cm="1">
        <f t="array" ref="H7">SUMPRODUCT(("RNWWOD4"=[1]OUT_PrimaryEnergyCons!$A$1:$A$1000)*1+("RNWWOD5"=[1]OUT_PrimaryEnergyCons!$A$1:$A$1000)*1,[1]OUT_PrimaryEnergyCons!F$1:F$1000)</f>
        <v>21.604539100789083</v>
      </c>
      <c r="I7" s="13" cm="1">
        <f t="array" ref="I7">SUMPRODUCT(("RNWWOD4"=[1]OUT_PrimaryEnergyCons!$A$1:$A$1000)*1+("RNWWOD5"=[1]OUT_PrimaryEnergyCons!$A$1:$A$1000)*1,[1]OUT_PrimaryEnergyCons!G$1:G$1000)</f>
        <v>16.366054135743596</v>
      </c>
      <c r="J7" s="13" cm="1">
        <f t="array" ref="J7">SUMPRODUCT(("RNWWOD4"=[1]OUT_PrimaryEnergyCons!$A$1:$A$1000)*1+("RNWWOD5"=[1]OUT_PrimaryEnergyCons!$A$1:$A$1000)*1,[1]OUT_PrimaryEnergyCons!H$1:H$1000)</f>
        <v>13.341360628729914</v>
      </c>
      <c r="K7" s="13" cm="1">
        <f t="array" ref="K7">SUMPRODUCT(("RNWWOD4"=[1]OUT_PrimaryEnergyCons!$A$1:$A$1000)*1+("RNWWOD5"=[1]OUT_PrimaryEnergyCons!$A$1:$A$1000)*1,[1]OUT_PrimaryEnergyCons!I$1:I$1000)</f>
        <v>34.417484764156498</v>
      </c>
    </row>
    <row r="8" spans="1:11">
      <c r="A8" s="5" t="s">
        <v>5</v>
      </c>
      <c r="B8" s="5" t="str">
        <f t="shared" si="4"/>
        <v>SPS1</v>
      </c>
      <c r="C8" s="5" t="str">
        <f t="shared" si="5"/>
        <v>CH</v>
      </c>
      <c r="D8" t="s">
        <v>803</v>
      </c>
      <c r="E8" t="s">
        <v>8</v>
      </c>
      <c r="F8" s="13">
        <f>SUM(F9:F10)</f>
        <v>69.39287860960529</v>
      </c>
      <c r="G8" s="13">
        <f t="shared" ref="G8:K8" si="6">SUM(G9:G10)</f>
        <v>69.663483329105333</v>
      </c>
      <c r="H8" s="13">
        <f t="shared" si="6"/>
        <v>69.270571152343337</v>
      </c>
      <c r="I8" s="13">
        <f t="shared" si="6"/>
        <v>68.821063959174865</v>
      </c>
      <c r="J8" s="13">
        <f t="shared" si="6"/>
        <v>68.940548260320611</v>
      </c>
      <c r="K8" s="13">
        <f t="shared" si="6"/>
        <v>77.502286351586179</v>
      </c>
    </row>
    <row r="9" spans="1:11">
      <c r="A9" s="5" t="s">
        <v>5</v>
      </c>
      <c r="B9" s="5" t="str">
        <f t="shared" si="4"/>
        <v>SPS1</v>
      </c>
      <c r="C9" s="5" t="str">
        <f t="shared" si="5"/>
        <v>CH</v>
      </c>
      <c r="D9" t="s">
        <v>13</v>
      </c>
      <c r="E9" t="s">
        <v>8</v>
      </c>
      <c r="F9" s="13" cm="1">
        <f t="array" ref="F9">SUMPRODUCT(("RNNWWST1"=[1]OUT_PrimaryEnergyCons!$A$1:$A$1000)*1,[1]OUT_PrimaryEnergyCons!D$1:D$1000)</f>
        <v>35.611777921779279</v>
      </c>
      <c r="G9" s="13" cm="1">
        <f t="array" ref="G9">SUMPRODUCT(("RNNWWST1"=[1]OUT_PrimaryEnergyCons!$A$1:$A$1000)*1,[1]OUT_PrimaryEnergyCons!E$1:E$1000)</f>
        <v>35.882382764981671</v>
      </c>
      <c r="H9" s="13" cm="1">
        <f t="array" ref="H9">SUMPRODUCT(("RNNWWST1"=[1]OUT_PrimaryEnergyCons!$A$1:$A$1000)*1,[1]OUT_PrimaryEnergyCons!F$1:F$1000)</f>
        <v>35.489470584792898</v>
      </c>
      <c r="I9" s="13" cm="1">
        <f t="array" ref="I9">SUMPRODUCT(("RNNWWST1"=[1]OUT_PrimaryEnergyCons!$A$1:$A$1000)*1,[1]OUT_PrimaryEnergyCons!G$1:G$1000)</f>
        <v>35.039963306500177</v>
      </c>
      <c r="J9" s="13" cm="1">
        <f t="array" ref="J9">SUMPRODUCT(("RNNWWST1"=[1]OUT_PrimaryEnergyCons!$A$1:$A$1000)*1,[1]OUT_PrimaryEnergyCons!H$1:H$1000)</f>
        <v>35.159447415766437</v>
      </c>
      <c r="K9" s="13" cm="1">
        <f t="array" ref="K9">SUMPRODUCT(("RNNWWST1"=[1]OUT_PrimaryEnergyCons!$A$1:$A$1000)*1,[1]OUT_PrimaryEnergyCons!I$1:I$1000)</f>
        <v>35.603175300201109</v>
      </c>
    </row>
    <row r="10" spans="1:11">
      <c r="A10" s="5" t="s">
        <v>5</v>
      </c>
      <c r="B10" s="5" t="str">
        <f t="shared" si="4"/>
        <v>SPS1</v>
      </c>
      <c r="C10" s="5" t="str">
        <f t="shared" si="5"/>
        <v>CH</v>
      </c>
      <c r="D10" t="s">
        <v>14</v>
      </c>
      <c r="E10" t="s">
        <v>8</v>
      </c>
      <c r="F10" s="13" cm="1">
        <f t="array" ref="F10">SUMPRODUCT(("RNWWST1"=[1]OUT_PrimaryEnergyCons!$A$1:$A$1000)*1,[1]OUT_PrimaryEnergyCons!D$1:D$1000)</f>
        <v>33.781100687826012</v>
      </c>
      <c r="G10" s="13" cm="1">
        <f t="array" ref="G10">SUMPRODUCT(("RNWWST1"=[1]OUT_PrimaryEnergyCons!$A$1:$A$1000)*1,[1]OUT_PrimaryEnergyCons!E$1:E$1000)</f>
        <v>33.781100564123655</v>
      </c>
      <c r="H10" s="13" cm="1">
        <f t="array" ref="H10">SUMPRODUCT(("RNWWST1"=[1]OUT_PrimaryEnergyCons!$A$1:$A$1000)*1,[1]OUT_PrimaryEnergyCons!F$1:F$1000)</f>
        <v>33.781100567550439</v>
      </c>
      <c r="I10" s="13" cm="1">
        <f t="array" ref="I10">SUMPRODUCT(("RNWWST1"=[1]OUT_PrimaryEnergyCons!$A$1:$A$1000)*1,[1]OUT_PrimaryEnergyCons!G$1:G$1000)</f>
        <v>33.781100652674681</v>
      </c>
      <c r="J10" s="13" cm="1">
        <f t="array" ref="J10">SUMPRODUCT(("RNWWST1"=[1]OUT_PrimaryEnergyCons!$A$1:$A$1000)*1,[1]OUT_PrimaryEnergyCons!H$1:H$1000)</f>
        <v>33.781100844554182</v>
      </c>
      <c r="K10" s="13" cm="1">
        <f t="array" ref="K10">SUMPRODUCT(("RNWWST1"=[1]OUT_PrimaryEnergyCons!$A$1:$A$1000)*1,[1]OUT_PrimaryEnergyCons!I$1:I$1000)</f>
        <v>41.899111051385063</v>
      </c>
    </row>
    <row r="11" spans="1:11">
      <c r="A11" s="5" t="s">
        <v>5</v>
      </c>
      <c r="B11" s="5" t="str">
        <f t="shared" si="4"/>
        <v>SPS1</v>
      </c>
      <c r="C11" s="5" t="str">
        <f t="shared" si="5"/>
        <v>CH</v>
      </c>
      <c r="D11" t="s">
        <v>804</v>
      </c>
      <c r="E11" t="s">
        <v>8</v>
      </c>
      <c r="F11" s="13" cm="1">
        <f t="array" ref="F11">SUMPRODUCT(("mnr"=[1]OUT_PrimaryEnergyCons!$C$1:$C$1000)*1,[1]OUT_PrimaryEnergyCons!D$1:D$1000)</f>
        <v>3.7980803709071425</v>
      </c>
      <c r="G11" s="13" cm="1">
        <f t="array" ref="G11">SUMPRODUCT(("mnr"=[1]OUT_PrimaryEnergyCons!$C$1:$C$1000)*1,[1]OUT_PrimaryEnergyCons!E$1:E$1000)</f>
        <v>14.280049525713888</v>
      </c>
      <c r="H11" s="13" cm="1">
        <f t="array" ref="H11">SUMPRODUCT(("mnr"=[1]OUT_PrimaryEnergyCons!$C$1:$C$1000)*1,[1]OUT_PrimaryEnergyCons!F$1:F$1000)</f>
        <v>15.340044949868064</v>
      </c>
      <c r="I11" s="13" cm="1">
        <f t="array" ref="I11">SUMPRODUCT(("mnr"=[1]OUT_PrimaryEnergyCons!$C$1:$C$1000)*1,[1]OUT_PrimaryEnergyCons!G$1:G$1000)</f>
        <v>17.10655793281105</v>
      </c>
      <c r="J11" s="13" cm="1">
        <f t="array" ref="J11">SUMPRODUCT(("mnr"=[1]OUT_PrimaryEnergyCons!$C$1:$C$1000)*1,[1]OUT_PrimaryEnergyCons!H$1:H$1000)</f>
        <v>17.106559116780588</v>
      </c>
      <c r="K11" s="13" cm="1">
        <f t="array" ref="K11">SUMPRODUCT(("mnr"=[1]OUT_PrimaryEnergyCons!$C$1:$C$1000)*1,[1]OUT_PrimaryEnergyCons!I$1:I$1000)</f>
        <v>26.999999924603941</v>
      </c>
    </row>
    <row r="12" spans="1:11">
      <c r="A12" s="5" t="s">
        <v>5</v>
      </c>
      <c r="B12" s="5" t="str">
        <f t="shared" si="4"/>
        <v>SPS1</v>
      </c>
      <c r="C12" s="5" t="str">
        <f t="shared" si="5"/>
        <v>CH</v>
      </c>
      <c r="D12" t="s">
        <v>805</v>
      </c>
      <c r="E12" t="s">
        <v>8</v>
      </c>
      <c r="F12" s="13">
        <f>SUM(F13:F15)</f>
        <v>149.43048018182139</v>
      </c>
      <c r="G12" s="13">
        <f t="shared" ref="G12:K12" si="7">SUM(G13:G15)</f>
        <v>124.98819719769081</v>
      </c>
      <c r="H12" s="13">
        <f t="shared" si="7"/>
        <v>137.42259519743726</v>
      </c>
      <c r="I12" s="13">
        <f t="shared" si="7"/>
        <v>150.38755881829405</v>
      </c>
      <c r="J12" s="13">
        <f t="shared" si="7"/>
        <v>151.48524830901579</v>
      </c>
      <c r="K12" s="13">
        <f t="shared" si="7"/>
        <v>152.09899407015146</v>
      </c>
    </row>
    <row r="13" spans="1:11">
      <c r="A13" s="5" t="s">
        <v>5</v>
      </c>
      <c r="B13" s="5" t="str">
        <f t="shared" si="4"/>
        <v>SPS1</v>
      </c>
      <c r="C13" s="5" t="str">
        <f t="shared" si="5"/>
        <v>CH</v>
      </c>
      <c r="D13" t="s">
        <v>16</v>
      </c>
      <c r="E13" t="s">
        <v>8</v>
      </c>
      <c r="F13" s="13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66.745680000968164</v>
      </c>
      <c r="G13" s="13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49.182940005258239</v>
      </c>
      <c r="H13" s="13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68.537787966700805</v>
      </c>
      <c r="I13" s="13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70.236607180315332</v>
      </c>
      <c r="J13" s="13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73.020285337032291</v>
      </c>
      <c r="K13" s="13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69.178229752170594</v>
      </c>
    </row>
    <row r="14" spans="1:11">
      <c r="A14" s="5" t="s">
        <v>5</v>
      </c>
      <c r="B14" s="5" t="str">
        <f t="shared" si="4"/>
        <v>SPS1</v>
      </c>
      <c r="C14" s="5" t="str">
        <f t="shared" si="5"/>
        <v>CH</v>
      </c>
      <c r="D14" t="s">
        <v>17</v>
      </c>
      <c r="E14" t="s">
        <v>8</v>
      </c>
      <c r="F14" s="13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66.632400083472731</v>
      </c>
      <c r="G14" s="13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55.764000065769004</v>
      </c>
      <c r="H14" s="13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65.547550949863876</v>
      </c>
      <c r="I14" s="13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64.46266238111555</v>
      </c>
      <c r="J14" s="13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62.292915065927907</v>
      </c>
      <c r="K14" s="13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66.134970443047848</v>
      </c>
    </row>
    <row r="15" spans="1:11">
      <c r="A15" s="5" t="s">
        <v>5</v>
      </c>
      <c r="B15" s="5" t="str">
        <f t="shared" si="4"/>
        <v>SPS1</v>
      </c>
      <c r="C15" s="5" t="str">
        <f t="shared" si="5"/>
        <v>CH</v>
      </c>
      <c r="D15" t="s">
        <v>18</v>
      </c>
      <c r="E15" t="s">
        <v>8</v>
      </c>
      <c r="F15" s="13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16.052400097380474</v>
      </c>
      <c r="G15" s="13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20.04125712666357</v>
      </c>
      <c r="H15" s="13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3.3372562808725541</v>
      </c>
      <c r="I15" s="13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15.688289256863193</v>
      </c>
      <c r="J15" s="13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16.172047906055575</v>
      </c>
      <c r="K15" s="13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16.785793874933027</v>
      </c>
    </row>
    <row r="16" spans="1:11">
      <c r="A16" s="5" t="s">
        <v>5</v>
      </c>
      <c r="B16" s="5" t="str">
        <f t="shared" si="4"/>
        <v>SPS1</v>
      </c>
      <c r="C16" s="5" t="str">
        <f t="shared" si="5"/>
        <v>CH</v>
      </c>
      <c r="D16" t="s">
        <v>806</v>
      </c>
      <c r="E16" t="s">
        <v>8</v>
      </c>
      <c r="F16" s="13" cm="1">
        <f t="array" ref="F16">SUMPRODUCT(ISNUMBER(SEARCH("SOL",[1]OUT_PrimaryEnergyCons!$C$1:$C$1000))*1,[1]OUT_PrimaryEnergyCons!D$1:D$1000)</f>
        <v>12.556445409073195</v>
      </c>
      <c r="G16" s="13" cm="1">
        <f t="array" ref="G16">SUMPRODUCT(ISNUMBER(SEARCH("SOL",[1]OUT_PrimaryEnergyCons!$C$1:$C$1000))*1,[1]OUT_PrimaryEnergyCons!E$1:E$1000)</f>
        <v>17.061889896675645</v>
      </c>
      <c r="H16" s="13" cm="1">
        <f t="array" ref="H16">SUMPRODUCT(ISNUMBER(SEARCH("SOL",[1]OUT_PrimaryEnergyCons!$C$1:$C$1000))*1,[1]OUT_PrimaryEnergyCons!F$1:F$1000)</f>
        <v>19.784227292781541</v>
      </c>
      <c r="I16" s="13" cm="1">
        <f t="array" ref="I16">SUMPRODUCT(ISNUMBER(SEARCH("SOL",[1]OUT_PrimaryEnergyCons!$C$1:$C$1000))*1,[1]OUT_PrimaryEnergyCons!G$1:G$1000)</f>
        <v>32.164570559709773</v>
      </c>
      <c r="J16" s="13" cm="1">
        <f t="array" ref="J16">SUMPRODUCT(ISNUMBER(SEARCH("SOL",[1]OUT_PrimaryEnergyCons!$C$1:$C$1000))*1,[1]OUT_PrimaryEnergyCons!H$1:H$1000)</f>
        <v>61.880356843378266</v>
      </c>
      <c r="K16" s="13" cm="1">
        <f t="array" ref="K16">SUMPRODUCT(ISNUMBER(SEARCH("SOL",[1]OUT_PrimaryEnergyCons!$C$1:$C$1000))*1,[1]OUT_PrimaryEnergyCons!I$1:I$1000)</f>
        <v>88.635431884274695</v>
      </c>
    </row>
    <row r="17" spans="1:18">
      <c r="A17" s="5" t="s">
        <v>5</v>
      </c>
      <c r="B17" s="5" t="str">
        <f t="shared" si="4"/>
        <v>SPS1</v>
      </c>
      <c r="C17" s="5" t="str">
        <f t="shared" si="5"/>
        <v>CH</v>
      </c>
      <c r="D17" t="s">
        <v>807</v>
      </c>
      <c r="E17" t="s">
        <v>8</v>
      </c>
      <c r="F17" s="13" cm="1">
        <f t="array" ref="F17">SUMPRODUCT(ISNUMBER(SEARCH("wnd",[1]OUT_PrimaryEnergyCons!$C$1:$C$1000))*1,[1]OUT_PrimaryEnergyCons!D$1:D$1000)</f>
        <v>0.52400099588534843</v>
      </c>
      <c r="G17" s="13" cm="1">
        <f t="array" ref="G17">SUMPRODUCT(ISNUMBER(SEARCH("wnd",[1]OUT_PrimaryEnergyCons!$C$1:$C$1000))*1,[1]OUT_PrimaryEnergyCons!E$1:E$1000)</f>
        <v>0.55080002469168499</v>
      </c>
      <c r="H17" s="13" cm="1">
        <f t="array" ref="H17">SUMPRODUCT(ISNUMBER(SEARCH("wnd",[1]OUT_PrimaryEnergyCons!$C$1:$C$1000))*1,[1]OUT_PrimaryEnergyCons!F$1:F$1000)</f>
        <v>1.9353736924157361</v>
      </c>
      <c r="I17" s="13" cm="1">
        <f t="array" ref="I17">SUMPRODUCT(ISNUMBER(SEARCH("wnd",[1]OUT_PrimaryEnergyCons!$C$1:$C$1000))*1,[1]OUT_PrimaryEnergyCons!G$1:G$1000)</f>
        <v>6.3940308985539902</v>
      </c>
      <c r="J17" s="13" cm="1">
        <f t="array" ref="J17">SUMPRODUCT(ISNUMBER(SEARCH("wnd",[1]OUT_PrimaryEnergyCons!$C$1:$C$1000))*1,[1]OUT_PrimaryEnergyCons!H$1:H$1000)</f>
        <v>17.980166379385903</v>
      </c>
      <c r="K17" s="13" cm="1">
        <f t="array" ref="K17">SUMPRODUCT(ISNUMBER(SEARCH("wnd",[1]OUT_PrimaryEnergyCons!$C$1:$C$1000))*1,[1]OUT_PrimaryEnergyCons!I$1:I$1000)</f>
        <v>35.960146022425434</v>
      </c>
    </row>
    <row r="18" spans="1:18">
      <c r="A18" s="5" t="s">
        <v>5</v>
      </c>
      <c r="B18" s="5" t="str">
        <f t="shared" si="4"/>
        <v>SPS1</v>
      </c>
      <c r="C18" s="5" t="str">
        <f t="shared" si="5"/>
        <v>CH</v>
      </c>
      <c r="D18" t="s">
        <v>808</v>
      </c>
      <c r="E18" t="s">
        <v>8</v>
      </c>
      <c r="F18" s="13">
        <f>[1]Overview!B$9-F19</f>
        <v>18.87300686293344</v>
      </c>
      <c r="G18" s="13">
        <f>[1]Overview!C$9-G19</f>
        <v>21.779078387598041</v>
      </c>
      <c r="H18" s="13">
        <f>[1]Overview!D$9-H19</f>
        <v>24.813105967677714</v>
      </c>
      <c r="I18" s="13">
        <f>[1]Overview!E$9-I19</f>
        <v>34.924300403870177</v>
      </c>
      <c r="J18" s="13">
        <f>[1]Overview!F$9-J19</f>
        <v>45.686301624044859</v>
      </c>
      <c r="K18" s="13">
        <f>[1]Overview!G$9-K19</f>
        <v>72.650824909652357</v>
      </c>
    </row>
    <row r="19" spans="1:18">
      <c r="A19" s="5" t="s">
        <v>5</v>
      </c>
      <c r="B19" s="5" t="str">
        <f t="shared" si="4"/>
        <v>SPS1</v>
      </c>
      <c r="C19" s="5" t="str">
        <f t="shared" si="5"/>
        <v>CH</v>
      </c>
      <c r="D19" t="s">
        <v>809</v>
      </c>
      <c r="E19" t="s">
        <v>8</v>
      </c>
      <c r="F19" s="13">
        <f>+[1]Overview!B$28</f>
        <v>0</v>
      </c>
      <c r="G19" s="13">
        <f>+[1]Overview!C$28</f>
        <v>0</v>
      </c>
      <c r="H19" s="13">
        <f>+[1]Overview!D$28</f>
        <v>0</v>
      </c>
      <c r="I19" s="13">
        <f>+[1]Overview!E$28</f>
        <v>0</v>
      </c>
      <c r="J19" s="13">
        <f>+[1]Overview!F$28</f>
        <v>3.8946880473451776E-3</v>
      </c>
      <c r="K19" s="13">
        <f>+[1]Overview!G$28</f>
        <v>21.361180689397536</v>
      </c>
    </row>
    <row r="20" spans="1:18">
      <c r="A20" s="8" t="s">
        <v>5</v>
      </c>
      <c r="B20" s="8" t="str">
        <f t="shared" si="4"/>
        <v>SPS1</v>
      </c>
      <c r="C20" s="1" t="str">
        <f t="shared" si="5"/>
        <v>CH</v>
      </c>
      <c r="D20" s="1" t="s">
        <v>19</v>
      </c>
      <c r="E20" s="1" t="s">
        <v>8</v>
      </c>
      <c r="F20" s="16">
        <f t="shared" ref="F20:K20" si="8">SUM(F21:F22,F39,F48:F49,F54)</f>
        <v>780.66185551212038</v>
      </c>
      <c r="G20" s="16">
        <f t="shared" si="8"/>
        <v>702.65959455013922</v>
      </c>
      <c r="H20" s="16">
        <f t="shared" si="8"/>
        <v>641.59740455800579</v>
      </c>
      <c r="I20" s="16">
        <f t="shared" si="8"/>
        <v>533.7136624066527</v>
      </c>
      <c r="J20" s="16">
        <f t="shared" si="8"/>
        <v>316.91007806402195</v>
      </c>
      <c r="K20" s="16">
        <f t="shared" si="8"/>
        <v>122.00576010549814</v>
      </c>
      <c r="M20" s="2"/>
      <c r="N20" s="2"/>
      <c r="O20" s="2"/>
      <c r="P20" s="2"/>
      <c r="Q20" s="2"/>
      <c r="R20" s="2"/>
    </row>
    <row r="21" spans="1:18">
      <c r="A21" s="5" t="s">
        <v>5</v>
      </c>
      <c r="B21" s="5" t="str">
        <f t="shared" si="4"/>
        <v>SPS1</v>
      </c>
      <c r="C21" s="5" t="str">
        <f t="shared" si="5"/>
        <v>CH</v>
      </c>
      <c r="D21" t="s">
        <v>810</v>
      </c>
      <c r="E21" t="s">
        <v>8</v>
      </c>
      <c r="F21" s="13" cm="1">
        <f t="array" ref="F21">SUMPRODUCT(("COA"=[1]OUT_PrimaryEnergyCons!$C$4:$C$10000)*1,[1]OUT_PrimaryEnergyCons!D$4:D$10000)</f>
        <v>3.6600000975988638</v>
      </c>
      <c r="G21" s="13" cm="1">
        <f t="array" ref="G21">SUMPRODUCT(("COA"=[1]OUT_PrimaryEnergyCons!$C$4:$C$10000)*1,[1]OUT_PrimaryEnergyCons!E$4:E$10000)</f>
        <v>3.5647164394151627</v>
      </c>
      <c r="H21" s="13" cm="1">
        <f t="array" ref="H21">SUMPRODUCT(("COA"=[1]OUT_PrimaryEnergyCons!$C$4:$C$10000)*1,[1]OUT_PrimaryEnergyCons!F$4:F$10000)</f>
        <v>5.5054097238399263E-4</v>
      </c>
      <c r="I21" s="13" cm="1">
        <f t="array" ref="I21">SUMPRODUCT(("COA"=[1]OUT_PrimaryEnergyCons!$C$4:$C$10000)*1,[1]OUT_PrimaryEnergyCons!G$4:G$10000)</f>
        <v>2.5335217393591058E-5</v>
      </c>
      <c r="J21" s="13" cm="1">
        <f t="array" ref="J21">SUMPRODUCT(("COA"=[1]OUT_PrimaryEnergyCons!$C$4:$C$10000)*1,[1]OUT_PrimaryEnergyCons!H$4:H$10000)</f>
        <v>8.7158069587001419E-6</v>
      </c>
      <c r="K21" s="13" cm="1">
        <f t="array" ref="K21">SUMPRODUCT(("COA"=[1]OUT_PrimaryEnergyCons!$C$4:$C$10000)*1,[1]OUT_PrimaryEnergyCons!I$4:I$10000)</f>
        <v>2.0932756778315616E-6</v>
      </c>
    </row>
    <row r="22" spans="1:18">
      <c r="A22" s="5" t="s">
        <v>5</v>
      </c>
      <c r="B22" s="5" t="str">
        <f t="shared" si="4"/>
        <v>SPS1</v>
      </c>
      <c r="C22" s="5" t="str">
        <f t="shared" si="5"/>
        <v>CH</v>
      </c>
      <c r="D22" t="s">
        <v>811</v>
      </c>
      <c r="E22" t="s">
        <v>8</v>
      </c>
      <c r="F22" s="13">
        <f>F23+F29</f>
        <v>311.99835954590509</v>
      </c>
      <c r="G22" s="13">
        <f t="shared" ref="G22:K22" si="9">G23+G29</f>
        <v>295.09472654385155</v>
      </c>
      <c r="H22" s="13">
        <f t="shared" si="9"/>
        <v>268.73365856910198</v>
      </c>
      <c r="I22" s="13">
        <f t="shared" si="9"/>
        <v>180.61526751433212</v>
      </c>
      <c r="J22" s="13">
        <f t="shared" si="9"/>
        <v>89.539531522598708</v>
      </c>
      <c r="K22" s="13">
        <f t="shared" si="9"/>
        <v>34.140930166236373</v>
      </c>
    </row>
    <row r="23" spans="1:18">
      <c r="A23" s="5" t="s">
        <v>5</v>
      </c>
      <c r="B23" s="5" t="str">
        <f t="shared" ref="B23" si="10">B22</f>
        <v>SPS1</v>
      </c>
      <c r="C23" s="5" t="str">
        <f t="shared" ref="C23" si="11">C22</f>
        <v>CH</v>
      </c>
      <c r="D23" t="s">
        <v>812</v>
      </c>
      <c r="E23" t="s">
        <v>8</v>
      </c>
      <c r="F23" s="13">
        <f>SUM(F24:F28)</f>
        <v>304.94912930655005</v>
      </c>
      <c r="G23" s="13">
        <f t="shared" ref="G23:K23" si="12">SUM(G24:G28)</f>
        <v>287.27964046054132</v>
      </c>
      <c r="H23" s="13">
        <f t="shared" si="12"/>
        <v>261.70718381238532</v>
      </c>
      <c r="I23" s="13">
        <f t="shared" si="12"/>
        <v>174.6530680004393</v>
      </c>
      <c r="J23" s="13">
        <f t="shared" si="12"/>
        <v>80.240905808123344</v>
      </c>
      <c r="K23" s="13">
        <f t="shared" si="12"/>
        <v>0.80448178650909941</v>
      </c>
    </row>
    <row r="24" spans="1:18">
      <c r="A24" s="5" t="s">
        <v>5</v>
      </c>
      <c r="B24" s="5" t="str">
        <f>B22</f>
        <v>SPS1</v>
      </c>
      <c r="C24" s="5" t="str">
        <f>C22</f>
        <v>CH</v>
      </c>
      <c r="D24" t="s">
        <v>514</v>
      </c>
      <c r="E24" t="s">
        <v>8</v>
      </c>
      <c r="F24" s="13" cm="1">
        <f t="array" ref="F24">SUMPRODUCT(("LFO"=[1]OUT_PrimaryEnergyCons!$C$4:$C$10000)*1,[1]OUT_PrimaryEnergyCons!D$4:D$10000)</f>
        <v>101.72035513005801</v>
      </c>
      <c r="G24" s="13" cm="1">
        <f t="array" ref="G24">SUMPRODUCT(("LFO"=[1]OUT_PrimaryEnergyCons!$C$4:$C$10000)*1,[1]OUT_PrimaryEnergyCons!E$4:E$10000)</f>
        <v>89.667566120481922</v>
      </c>
      <c r="H24" s="13" cm="1">
        <f t="array" ref="H24">SUMPRODUCT(("LFO"=[1]OUT_PrimaryEnergyCons!$C$4:$C$10000)*1,[1]OUT_PrimaryEnergyCons!F$4:F$10000)</f>
        <v>89.030999526031565</v>
      </c>
      <c r="I24" s="13" cm="1">
        <f t="array" ref="I24">SUMPRODUCT(("LFO"=[1]OUT_PrimaryEnergyCons!$C$4:$C$10000)*1,[1]OUT_PrimaryEnergyCons!G$4:G$10000)</f>
        <v>65.900649195930768</v>
      </c>
      <c r="J24" s="13" cm="1">
        <f t="array" ref="J24">SUMPRODUCT(("LFO"=[1]OUT_PrimaryEnergyCons!$C$4:$C$10000)*1,[1]OUT_PrimaryEnergyCons!H$4:H$10000)</f>
        <v>32.054578445548863</v>
      </c>
      <c r="K24" s="13" cm="1">
        <f t="array" ref="K24">SUMPRODUCT(("LFO"=[1]OUT_PrimaryEnergyCons!$C$4:$C$10000)*1,[1]OUT_PrimaryEnergyCons!I$4:I$10000)</f>
        <v>1.6744789827456228E-4</v>
      </c>
    </row>
    <row r="25" spans="1:18">
      <c r="A25" s="5" t="s">
        <v>5</v>
      </c>
      <c r="B25" s="5" t="str">
        <f t="shared" si="4"/>
        <v>SPS1</v>
      </c>
      <c r="C25" s="5" t="str">
        <f t="shared" si="5"/>
        <v>CH</v>
      </c>
      <c r="D25" t="s">
        <v>515</v>
      </c>
      <c r="E25" t="s">
        <v>8</v>
      </c>
      <c r="F25" s="13" cm="1">
        <f t="array" ref="F25">SUMPRODUCT(("HFO"=[1]OUT_PrimaryEnergyCons!$C$4:$C$10000)*1,[1]OUT_PrimaryEnergyCons!D$4:D$10000)</f>
        <v>2.776368673369157</v>
      </c>
      <c r="G25" s="13" cm="1">
        <f t="array" ref="G25">SUMPRODUCT(("HFO"=[1]OUT_PrimaryEnergyCons!$C$4:$C$10000)*1,[1]OUT_PrimaryEnergyCons!E$4:E$10000)</f>
        <v>7.8460437530479503E-7</v>
      </c>
      <c r="H25" s="13" cm="1">
        <f t="array" ref="H25">SUMPRODUCT(("HFO"=[1]OUT_PrimaryEnergyCons!$C$4:$C$10000)*1,[1]OUT_PrimaryEnergyCons!F$4:F$10000)</f>
        <v>9.7379206189155624E-5</v>
      </c>
      <c r="I25" s="13" cm="1">
        <f t="array" ref="I25">SUMPRODUCT(("HFO"=[1]OUT_PrimaryEnergyCons!$C$4:$C$10000)*1,[1]OUT_PrimaryEnergyCons!G$4:G$10000)</f>
        <v>1.2278254898477964E-5</v>
      </c>
      <c r="J25" s="13" cm="1">
        <f t="array" ref="J25">SUMPRODUCT(("HFO"=[1]OUT_PrimaryEnergyCons!$C$4:$C$10000)*1,[1]OUT_PrimaryEnergyCons!H$4:H$10000)</f>
        <v>1.1201972704624749E-5</v>
      </c>
      <c r="K25" s="13" cm="1">
        <f t="array" ref="K25">SUMPRODUCT(("HFO"=[1]OUT_PrimaryEnergyCons!$C$4:$C$10000)*1,[1]OUT_PrimaryEnergyCons!I$4:I$10000)</f>
        <v>0</v>
      </c>
    </row>
    <row r="26" spans="1:18">
      <c r="A26" s="5" t="s">
        <v>5</v>
      </c>
      <c r="B26" s="5" t="str">
        <f t="shared" si="4"/>
        <v>SPS1</v>
      </c>
      <c r="C26" s="5" t="str">
        <f t="shared" si="5"/>
        <v>CH</v>
      </c>
      <c r="D26" t="s">
        <v>516</v>
      </c>
      <c r="E26" t="s">
        <v>8</v>
      </c>
      <c r="F26" s="13" cm="1">
        <f t="array" ref="F26">SUMPRODUCT(("DSL"=[1]OUT_PrimaryEnergyCons!$C$4:$C$10000)*1,[1]OUT_PrimaryEnergyCons!D$4:D$10000)</f>
        <v>119.5592058186251</v>
      </c>
      <c r="G26" s="13" cm="1">
        <f t="array" ref="G26">SUMPRODUCT(("DSL"=[1]OUT_PrimaryEnergyCons!$C$4:$C$10000)*1,[1]OUT_PrimaryEnergyCons!E$4:E$10000)</f>
        <v>113.32234593403416</v>
      </c>
      <c r="H26" s="13" cm="1">
        <f t="array" ref="H26">SUMPRODUCT(("DSL"=[1]OUT_PrimaryEnergyCons!$C$4:$C$10000)*1,[1]OUT_PrimaryEnergyCons!F$4:F$10000)</f>
        <v>95.369744914432061</v>
      </c>
      <c r="I26" s="13" cm="1">
        <f t="array" ref="I26">SUMPRODUCT(("DSL"=[1]OUT_PrimaryEnergyCons!$C$4:$C$10000)*1,[1]OUT_PrimaryEnergyCons!G$4:G$10000)</f>
        <v>65.727097252376069</v>
      </c>
      <c r="J26" s="13" cm="1">
        <f t="array" ref="J26">SUMPRODUCT(("DSL"=[1]OUT_PrimaryEnergyCons!$C$4:$C$10000)*1,[1]OUT_PrimaryEnergyCons!H$4:H$10000)</f>
        <v>41.954590183650168</v>
      </c>
      <c r="K26" s="13" cm="1">
        <f t="array" ref="K26">SUMPRODUCT(("DSL"=[1]OUT_PrimaryEnergyCons!$C$4:$C$10000)*1,[1]OUT_PrimaryEnergyCons!I$4:I$10000)</f>
        <v>1.6310246780803693E-5</v>
      </c>
    </row>
    <row r="27" spans="1:18">
      <c r="A27" s="5" t="s">
        <v>5</v>
      </c>
      <c r="B27" s="5" t="str">
        <f t="shared" si="4"/>
        <v>SPS1</v>
      </c>
      <c r="C27" s="5" t="str">
        <f t="shared" si="5"/>
        <v>CH</v>
      </c>
      <c r="D27" s="31" t="s">
        <v>517</v>
      </c>
      <c r="E27" t="s">
        <v>8</v>
      </c>
      <c r="F27" s="13" cm="1">
        <f t="array" ref="F27">SUMPRODUCT(("GSL"=[1]OUT_PrimaryEnergyCons!$C$4:$C$10000)*1,[1]OUT_PrimaryEnergyCons!D$4:D$10000)</f>
        <v>79.783814318118615</v>
      </c>
      <c r="G27" s="13" cm="1">
        <f t="array" ref="G27">SUMPRODUCT(("GSL"=[1]OUT_PrimaryEnergyCons!$C$4:$C$10000)*1,[1]OUT_PrimaryEnergyCons!E$4:E$10000)</f>
        <v>82.884512737867098</v>
      </c>
      <c r="H27" s="13" cm="1">
        <f t="array" ref="H27">SUMPRODUCT(("GSL"=[1]OUT_PrimaryEnergyCons!$C$4:$C$10000)*1,[1]OUT_PrimaryEnergyCons!F$4:F$10000)</f>
        <v>75.457382833399805</v>
      </c>
      <c r="I27" s="13" cm="1">
        <f t="array" ref="I27">SUMPRODUCT(("GSL"=[1]OUT_PrimaryEnergyCons!$C$4:$C$10000)*1,[1]OUT_PrimaryEnergyCons!G$4:G$10000)</f>
        <v>41.104506695395131</v>
      </c>
      <c r="J27" s="13" cm="1">
        <f t="array" ref="J27">SUMPRODUCT(("GSL"=[1]OUT_PrimaryEnergyCons!$C$4:$C$10000)*1,[1]OUT_PrimaryEnergyCons!H$4:H$10000)</f>
        <v>5.8884326353452039</v>
      </c>
      <c r="K27" s="13" cm="1">
        <f t="array" ref="K27">SUMPRODUCT(("GSL"=[1]OUT_PrimaryEnergyCons!$C$4:$C$10000)*1,[1]OUT_PrimaryEnergyCons!I$4:I$10000)</f>
        <v>0.80428748145110551</v>
      </c>
    </row>
    <row r="28" spans="1:18">
      <c r="A28" s="5" t="s">
        <v>5</v>
      </c>
      <c r="B28" s="5" t="str">
        <f t="shared" ref="B28" si="13">B27</f>
        <v>SPS1</v>
      </c>
      <c r="C28" s="5" t="str">
        <f t="shared" ref="C28" si="14">C27</f>
        <v>CH</v>
      </c>
      <c r="D28" s="32" t="s">
        <v>518</v>
      </c>
      <c r="E28" t="s">
        <v>8</v>
      </c>
      <c r="F28" s="13" cm="1">
        <f t="array" ref="F28">SUMPRODUCT(("KER"=[1]OUT_PrimaryEnergyCons!$C$4:$C$10000)*1,[1]OUT_PrimaryEnergyCons!D$4:D$10000)</f>
        <v>1.1093853663791744</v>
      </c>
      <c r="G28" s="13" cm="1">
        <f t="array" ref="G28">SUMPRODUCT(("KER"=[1]OUT_PrimaryEnergyCons!$C$4:$C$10000)*1,[1]OUT_PrimaryEnergyCons!E$4:E$10000)</f>
        <v>1.4052148835537817</v>
      </c>
      <c r="H28" s="13" cm="1">
        <f t="array" ref="H28">SUMPRODUCT(("KER"=[1]OUT_PrimaryEnergyCons!$C$4:$C$10000)*1,[1]OUT_PrimaryEnergyCons!F$4:F$10000)</f>
        <v>1.8489591593156731</v>
      </c>
      <c r="I28" s="13" cm="1">
        <f t="array" ref="I28">SUMPRODUCT(("KER"=[1]OUT_PrimaryEnergyCons!$C$4:$C$10000)*1,[1]OUT_PrimaryEnergyCons!G$4:G$10000)</f>
        <v>1.9208025784824261</v>
      </c>
      <c r="J28" s="13" cm="1">
        <f t="array" ref="J28">SUMPRODUCT(("KER"=[1]OUT_PrimaryEnergyCons!$C$4:$C$10000)*1,[1]OUT_PrimaryEnergyCons!H$4:H$10000)</f>
        <v>0.34329334160641484</v>
      </c>
      <c r="K28" s="13" cm="1">
        <f t="array" ref="K28">SUMPRODUCT(("KER"=[1]OUT_PrimaryEnergyCons!$C$4:$C$10000)*1,[1]OUT_PrimaryEnergyCons!I$4:I$10000)</f>
        <v>1.0546912938584366E-5</v>
      </c>
    </row>
    <row r="29" spans="1:18">
      <c r="A29" s="5" t="s">
        <v>5</v>
      </c>
      <c r="B29" s="5" t="str">
        <f>B48</f>
        <v>SPS1</v>
      </c>
      <c r="C29" s="5" t="str">
        <f>C48</f>
        <v>CH</v>
      </c>
      <c r="D29" t="s">
        <v>813</v>
      </c>
      <c r="E29" t="s">
        <v>8</v>
      </c>
      <c r="F29" s="13">
        <f>SUM(F30:F31)</f>
        <v>7.049230239355019</v>
      </c>
      <c r="G29" s="13">
        <f t="shared" ref="G29:K29" si="15">SUM(G30:G31)</f>
        <v>7.8150860833102112</v>
      </c>
      <c r="H29" s="13">
        <f t="shared" si="15"/>
        <v>7.0264747567166772</v>
      </c>
      <c r="I29" s="13">
        <f t="shared" si="15"/>
        <v>5.9621995138928119</v>
      </c>
      <c r="J29" s="13">
        <f t="shared" si="15"/>
        <v>9.2986257144753655</v>
      </c>
      <c r="K29" s="13">
        <f t="shared" si="15"/>
        <v>33.336448379727273</v>
      </c>
    </row>
    <row r="30" spans="1:18">
      <c r="A30" s="5" t="s">
        <v>5</v>
      </c>
      <c r="B30" s="5" t="str">
        <f>B35</f>
        <v>SPS1</v>
      </c>
      <c r="C30" s="5" t="str">
        <f>C35</f>
        <v>CH</v>
      </c>
      <c r="D30" t="s">
        <v>535</v>
      </c>
      <c r="E30" t="s">
        <v>8</v>
      </c>
      <c r="F30" s="13" cm="1">
        <f t="array" ref="F30">SUMPRODUCT(ISNUMBER(SEARCH("IMPBDS",[1]OUT_SyntheticFuels!$C$4:$C$1000))*1,("Var_Fout"=[1]OUT_SyntheticFuels!$B$4:$B$1000)*1,[1]OUT_SyntheticFuels!E$4:E$1000)</f>
        <v>2.6150802314840278</v>
      </c>
      <c r="G30" s="13" cm="1">
        <f t="array" ref="G30">SUMPRODUCT(ISNUMBER(SEARCH("IMPBDS",[1]OUT_SyntheticFuels!$C$4:$C$1000))*1,("Var_Fout"=[1]OUT_SyntheticFuels!$B$4:$B$1000)*1,[1]OUT_SyntheticFuels!F$4:F$1000)</f>
        <v>3.0152407092927649</v>
      </c>
      <c r="H30" s="13" cm="1">
        <f t="array" ref="H30">SUMPRODUCT(ISNUMBER(SEARCH("IMPBDS",[1]OUT_SyntheticFuels!$C$4:$C$1000))*1,("Var_Fout"=[1]OUT_SyntheticFuels!$B$4:$B$1000)*1,[1]OUT_SyntheticFuels!G$4:G$1000)</f>
        <v>2.6567437300752315</v>
      </c>
      <c r="I30" s="13" cm="1">
        <f t="array" ref="I30">SUMPRODUCT(ISNUMBER(SEARCH("IMPBDS",[1]OUT_SyntheticFuels!$C$4:$C$1000))*1,("Var_Fout"=[1]OUT_SyntheticFuels!$B$4:$B$1000)*1,[1]OUT_SyntheticFuels!H$4:H$1000)</f>
        <v>3.5818115632608465</v>
      </c>
      <c r="J30" s="13" cm="1">
        <f t="array" ref="J30">SUMPRODUCT(ISNUMBER(SEARCH("IMPBDS",[1]OUT_SyntheticFuels!$C$4:$C$1000))*1,("Var_Fout"=[1]OUT_SyntheticFuels!$B$4:$B$1000)*1,[1]OUT_SyntheticFuels!I$4:I$1000)</f>
        <v>3.2581313685804347</v>
      </c>
      <c r="K30" s="13" cm="1">
        <f t="array" ref="K30">SUMPRODUCT(ISNUMBER(SEARCH("IMPBDS",[1]OUT_SyntheticFuels!$C$4:$C$1000))*1,("Var_Fout"=[1]OUT_SyntheticFuels!$B$4:$B$1000)*1,[1]OUT_SyntheticFuels!J$4:J$1000)</f>
        <v>27.27996793331679</v>
      </c>
    </row>
    <row r="31" spans="1:18">
      <c r="A31" s="5" t="s">
        <v>5</v>
      </c>
      <c r="B31" s="5" t="str">
        <f>B30</f>
        <v>SPS1</v>
      </c>
      <c r="C31" s="5" t="str">
        <f>C30</f>
        <v>CH</v>
      </c>
      <c r="D31" t="s">
        <v>536</v>
      </c>
      <c r="E31" t="s">
        <v>8</v>
      </c>
      <c r="F31" s="13" cm="1">
        <f t="array" ref="F31">SUMPRODUCT(ISNUMBER(SEARCH("IMPeth",[1]OUT_SyntheticFuels!$C$4:$C$1000))*1,("Var_Fout"=[1]OUT_SyntheticFuels!$B$4:$B$1000)*1,[1]OUT_SyntheticFuels!E$4:E$1000)</f>
        <v>4.4341500078709917</v>
      </c>
      <c r="G31" s="13" cm="1">
        <f t="array" ref="G31">SUMPRODUCT(ISNUMBER(SEARCH("IMPeth",[1]OUT_SyntheticFuels!$C$4:$C$1000))*1,("Var_Fout"=[1]OUT_SyntheticFuels!$B$4:$B$1000)*1,[1]OUT_SyntheticFuels!F$4:F$1000)</f>
        <v>4.7998453740174467</v>
      </c>
      <c r="H31" s="13" cm="1">
        <f t="array" ref="H31">SUMPRODUCT(ISNUMBER(SEARCH("IMPeth",[1]OUT_SyntheticFuels!$C$4:$C$1000))*1,("Var_Fout"=[1]OUT_SyntheticFuels!$B$4:$B$1000)*1,[1]OUT_SyntheticFuels!G$4:G$1000)</f>
        <v>4.3697310266414453</v>
      </c>
      <c r="I31" s="13" cm="1">
        <f t="array" ref="I31">SUMPRODUCT(ISNUMBER(SEARCH("IMPeth",[1]OUT_SyntheticFuels!$C$4:$C$1000))*1,("Var_Fout"=[1]OUT_SyntheticFuels!$B$4:$B$1000)*1,[1]OUT_SyntheticFuels!H$4:H$1000)</f>
        <v>2.3803879506319654</v>
      </c>
      <c r="J31" s="13" cm="1">
        <f t="array" ref="J31">SUMPRODUCT(ISNUMBER(SEARCH("IMPeth",[1]OUT_SyntheticFuels!$C$4:$C$1000))*1,("Var_Fout"=[1]OUT_SyntheticFuels!$B$4:$B$1000)*1,[1]OUT_SyntheticFuels!I$4:I$1000)</f>
        <v>6.0404943458949303</v>
      </c>
      <c r="K31" s="13" cm="1">
        <f t="array" ref="K31">SUMPRODUCT(ISNUMBER(SEARCH("IMPeth",[1]OUT_SyntheticFuels!$C$4:$C$1000))*1,("Var_Fout"=[1]OUT_SyntheticFuels!$B$4:$B$1000)*1,[1]OUT_SyntheticFuels!J$4:J$1000)</f>
        <v>6.056480446410486</v>
      </c>
    </row>
    <row r="32" spans="1:18">
      <c r="A32" s="5" t="s">
        <v>5</v>
      </c>
      <c r="B32" s="5" t="str">
        <f>B29</f>
        <v>SPS1</v>
      </c>
      <c r="C32" s="5" t="str">
        <f>C29</f>
        <v>CH</v>
      </c>
      <c r="D32" t="s">
        <v>537</v>
      </c>
      <c r="E32" t="s">
        <v>8</v>
      </c>
      <c r="F32" s="13">
        <f t="shared" ref="F32:K32" si="16">SUM(F33:F34)</f>
        <v>7.049230239355019</v>
      </c>
      <c r="G32" s="13">
        <f t="shared" si="16"/>
        <v>7.8150860833102112</v>
      </c>
      <c r="H32" s="13">
        <f t="shared" si="16"/>
        <v>7.0264747567166772</v>
      </c>
      <c r="I32" s="13">
        <f t="shared" si="16"/>
        <v>5.9621995138928119</v>
      </c>
      <c r="J32" s="13">
        <f t="shared" si="16"/>
        <v>8.0579767425978819</v>
      </c>
      <c r="K32" s="13">
        <f t="shared" si="16"/>
        <v>9.6223059091557772</v>
      </c>
    </row>
    <row r="33" spans="1:11">
      <c r="A33" s="5" t="s">
        <v>5</v>
      </c>
      <c r="B33" s="5" t="str">
        <f>B31</f>
        <v>SPS1</v>
      </c>
      <c r="C33" s="5" t="str">
        <f>C31</f>
        <v>CH</v>
      </c>
      <c r="D33" t="s">
        <v>538</v>
      </c>
      <c r="E33" t="s">
        <v>8</v>
      </c>
      <c r="F33" s="13">
        <f t="shared" ref="F33:I34" si="17">F30</f>
        <v>2.6150802314840278</v>
      </c>
      <c r="G33" s="13">
        <f t="shared" si="17"/>
        <v>3.0152407092927649</v>
      </c>
      <c r="H33" s="13">
        <f t="shared" si="17"/>
        <v>2.6567437300752315</v>
      </c>
      <c r="I33" s="13">
        <f t="shared" si="17"/>
        <v>3.5818115632608465</v>
      </c>
      <c r="J33" s="13">
        <f>IF(J30-MAX(F30:I30)&lt;0,J30,MAX(F30:I30))</f>
        <v>3.2581313685804347</v>
      </c>
      <c r="K33" s="13">
        <f>IF(K30-MAX(F30:J30)&lt;0,K30,MAX(F30:J30))</f>
        <v>3.5818115632608465</v>
      </c>
    </row>
    <row r="34" spans="1:11">
      <c r="A34" s="5" t="s">
        <v>5</v>
      </c>
      <c r="B34" s="5" t="str">
        <f>B33</f>
        <v>SPS1</v>
      </c>
      <c r="C34" s="5" t="str">
        <f>C33</f>
        <v>CH</v>
      </c>
      <c r="D34" s="31" t="s">
        <v>539</v>
      </c>
      <c r="E34" t="s">
        <v>8</v>
      </c>
      <c r="F34" s="13">
        <f t="shared" si="17"/>
        <v>4.4341500078709917</v>
      </c>
      <c r="G34" s="13">
        <f t="shared" si="17"/>
        <v>4.7998453740174467</v>
      </c>
      <c r="H34" s="13">
        <f t="shared" si="17"/>
        <v>4.3697310266414453</v>
      </c>
      <c r="I34" s="13">
        <f t="shared" si="17"/>
        <v>2.3803879506319654</v>
      </c>
      <c r="J34" s="13">
        <f>IF(J31-MAX(F31:I31)&lt;0,J31,MAX(F31:I31))</f>
        <v>4.7998453740174467</v>
      </c>
      <c r="K34" s="13">
        <f>IF(K31-MAX(F31:J31)&lt;0,K31,MAX(F31:J31))</f>
        <v>6.0404943458949303</v>
      </c>
    </row>
    <row r="35" spans="1:11">
      <c r="A35" s="5" t="s">
        <v>5</v>
      </c>
      <c r="B35" s="5" t="str">
        <f>B32</f>
        <v>SPS1</v>
      </c>
      <c r="C35" s="5" t="str">
        <f>C32</f>
        <v>CH</v>
      </c>
      <c r="D35" t="s">
        <v>814</v>
      </c>
      <c r="E35" t="s">
        <v>8</v>
      </c>
      <c r="F35" s="13">
        <f t="shared" ref="F35:K35" si="18">SUM(F36:F37)</f>
        <v>0</v>
      </c>
      <c r="G35" s="13">
        <f t="shared" si="18"/>
        <v>0</v>
      </c>
      <c r="H35" s="13">
        <f t="shared" si="18"/>
        <v>0</v>
      </c>
      <c r="I35" s="13">
        <f t="shared" si="18"/>
        <v>0</v>
      </c>
      <c r="J35" s="13">
        <f t="shared" si="18"/>
        <v>1.2406489718774836</v>
      </c>
      <c r="K35" s="13">
        <f t="shared" si="18"/>
        <v>23.714142470571499</v>
      </c>
    </row>
    <row r="36" spans="1:11">
      <c r="A36" s="5" t="s">
        <v>5</v>
      </c>
      <c r="B36" s="5" t="str">
        <f>B34</f>
        <v>SPS1</v>
      </c>
      <c r="C36" s="5" t="str">
        <f>C34</f>
        <v>CH</v>
      </c>
      <c r="D36" t="s">
        <v>540</v>
      </c>
      <c r="E36" t="s">
        <v>8</v>
      </c>
      <c r="F36" s="13">
        <v>0</v>
      </c>
      <c r="G36" s="13">
        <v>0</v>
      </c>
      <c r="H36" s="13">
        <v>0</v>
      </c>
      <c r="I36" s="13">
        <v>0</v>
      </c>
      <c r="J36" s="13">
        <f>J30-J33</f>
        <v>0</v>
      </c>
      <c r="K36" s="13">
        <f>K30-K33</f>
        <v>23.698156370055944</v>
      </c>
    </row>
    <row r="37" spans="1:11">
      <c r="A37" s="5" t="s">
        <v>5</v>
      </c>
      <c r="B37" s="5" t="str">
        <f>B36</f>
        <v>SPS1</v>
      </c>
      <c r="C37" s="5" t="str">
        <f>C36</f>
        <v>CH</v>
      </c>
      <c r="D37" s="31" t="s">
        <v>541</v>
      </c>
      <c r="E37" t="s">
        <v>8</v>
      </c>
      <c r="F37" s="13">
        <v>0</v>
      </c>
      <c r="G37" s="13">
        <v>0</v>
      </c>
      <c r="H37" s="13">
        <v>0</v>
      </c>
      <c r="I37" s="13">
        <v>0</v>
      </c>
      <c r="J37" s="13">
        <f>J31-J34</f>
        <v>1.2406489718774836</v>
      </c>
      <c r="K37" s="13">
        <f>K31-K34</f>
        <v>1.5986100515555712E-2</v>
      </c>
    </row>
    <row r="38" spans="1:11">
      <c r="A38" s="5" t="s">
        <v>5</v>
      </c>
      <c r="B38" s="5" t="str">
        <f>B37</f>
        <v>SPS1</v>
      </c>
      <c r="C38" s="5" t="str">
        <f>C37</f>
        <v>CH</v>
      </c>
      <c r="D38" s="32" t="s">
        <v>542</v>
      </c>
      <c r="E38" t="s">
        <v>8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</row>
    <row r="39" spans="1:11">
      <c r="A39" s="5" t="s">
        <v>5</v>
      </c>
      <c r="B39" s="5" t="str">
        <f t="shared" ref="B39:C40" si="19">B28</f>
        <v>SPS1</v>
      </c>
      <c r="C39" s="5" t="str">
        <f t="shared" si="19"/>
        <v>CH</v>
      </c>
      <c r="D39" t="s">
        <v>815</v>
      </c>
      <c r="E39" t="s">
        <v>8</v>
      </c>
      <c r="F39" s="13">
        <f>F40+F43</f>
        <v>116.89532588910716</v>
      </c>
      <c r="G39" s="13">
        <f t="shared" ref="G39:K39" si="20">G40+G43</f>
        <v>100.42650000457697</v>
      </c>
      <c r="H39" s="13">
        <f t="shared" si="20"/>
        <v>110.61700454209399</v>
      </c>
      <c r="I39" s="13">
        <f t="shared" si="20"/>
        <v>111.23871481097413</v>
      </c>
      <c r="J39" s="13">
        <f t="shared" si="20"/>
        <v>90.256975249067807</v>
      </c>
      <c r="K39" s="13">
        <f t="shared" si="20"/>
        <v>55.677222112650874</v>
      </c>
    </row>
    <row r="40" spans="1:11">
      <c r="A40" s="5" t="s">
        <v>5</v>
      </c>
      <c r="B40" s="5" t="str">
        <f t="shared" si="19"/>
        <v>SPS1</v>
      </c>
      <c r="C40" s="5" t="str">
        <f t="shared" si="19"/>
        <v>CH</v>
      </c>
      <c r="D40" t="s">
        <v>554</v>
      </c>
      <c r="E40" t="s">
        <v>8</v>
      </c>
      <c r="F40" s="13">
        <f>F41+F42</f>
        <v>116.89532588910716</v>
      </c>
      <c r="G40" s="13">
        <f t="shared" ref="G40:K40" si="21">G41+G42</f>
        <v>99.909999995850697</v>
      </c>
      <c r="H40" s="13">
        <f t="shared" si="21"/>
        <v>109.44986330608405</v>
      </c>
      <c r="I40" s="13">
        <f t="shared" si="21"/>
        <v>109.00725911662586</v>
      </c>
      <c r="J40" s="13">
        <f t="shared" si="21"/>
        <v>83.723772819937992</v>
      </c>
      <c r="K40" s="13">
        <f t="shared" si="21"/>
        <v>53.541524199120474</v>
      </c>
    </row>
    <row r="41" spans="1:11">
      <c r="A41" s="5" t="s">
        <v>5</v>
      </c>
      <c r="B41" s="5" t="str">
        <f>B27</f>
        <v>SPS1</v>
      </c>
      <c r="C41" s="5" t="str">
        <f>C27</f>
        <v>CH</v>
      </c>
      <c r="D41" t="s">
        <v>555</v>
      </c>
      <c r="E41" t="s">
        <v>8</v>
      </c>
      <c r="F41" s="13" cm="1">
        <f t="array" ref="F41">SUMPRODUCT(("NGA"=[1]OUT_PrimaryEnergyCons!$C$4:$C$10000)*1,[1]OUT_PrimaryEnergyCons!D$4:D$10000)</f>
        <v>116.89532588910716</v>
      </c>
      <c r="G41" s="13" cm="1">
        <f t="array" ref="G41">SUMPRODUCT(("NGA"=[1]OUT_PrimaryEnergyCons!$C$4:$C$10000)*1,[1]OUT_PrimaryEnergyCons!E$4:E$10000)</f>
        <v>99.909999995850697</v>
      </c>
      <c r="H41" s="13" cm="1">
        <f t="array" ref="H41">SUMPRODUCT(("NGA"=[1]OUT_PrimaryEnergyCons!$C$4:$C$10000)*1,[1]OUT_PrimaryEnergyCons!F$4:F$10000)</f>
        <v>109.44986330608405</v>
      </c>
      <c r="I41" s="13" cm="1">
        <f t="array" ref="I41">SUMPRODUCT(("NGA"=[1]OUT_PrimaryEnergyCons!$C$4:$C$10000)*1,[1]OUT_PrimaryEnergyCons!G$4:G$10000)</f>
        <v>109.00722635192592</v>
      </c>
      <c r="J41" s="13" cm="1">
        <f t="array" ref="J41">SUMPRODUCT(("NGA"=[1]OUT_PrimaryEnergyCons!$C$4:$C$10000)*1,[1]OUT_PrimaryEnergyCons!H$4:H$10000)</f>
        <v>83.723733221844071</v>
      </c>
      <c r="K41" s="13" cm="1">
        <f t="array" ref="K41">SUMPRODUCT(("NGA"=[1]OUT_PrimaryEnergyCons!$C$4:$C$10000)*1,[1]OUT_PrimaryEnergyCons!I$4:I$10000)</f>
        <v>53.541515266762637</v>
      </c>
    </row>
    <row r="42" spans="1:11">
      <c r="A42" s="5" t="s">
        <v>5</v>
      </c>
      <c r="B42" s="5" t="str">
        <f t="shared" si="4"/>
        <v>SPS1</v>
      </c>
      <c r="C42" s="5" t="str">
        <f t="shared" si="5"/>
        <v>CH</v>
      </c>
      <c r="D42" t="s">
        <v>556</v>
      </c>
      <c r="E42" t="s">
        <v>8</v>
      </c>
      <c r="F42" s="13" cm="1">
        <f t="array" ref="F42">SUMPRODUCT(("LNGA"=[1]OUT_PrimaryEnergyCons!$C$4:$C$10000)*1,[1]OUT_PrimaryEnergyCons!D$4:D$10000)</f>
        <v>0</v>
      </c>
      <c r="G42" s="13" cm="1">
        <f t="array" ref="G42">SUMPRODUCT(("LNGA"=[1]OUT_PrimaryEnergyCons!$C$4:$C$10000)*1,[1]OUT_PrimaryEnergyCons!E$4:E$10000)</f>
        <v>0</v>
      </c>
      <c r="H42" s="13" cm="1">
        <f t="array" ref="H42">SUMPRODUCT(("LNGA"=[1]OUT_PrimaryEnergyCons!$C$4:$C$10000)*1,[1]OUT_PrimaryEnergyCons!F$4:F$10000)</f>
        <v>0</v>
      </c>
      <c r="I42" s="13" cm="1">
        <f t="array" ref="I42">SUMPRODUCT(("LNGA"=[1]OUT_PrimaryEnergyCons!$C$4:$C$10000)*1,[1]OUT_PrimaryEnergyCons!G$4:G$10000)</f>
        <v>3.2764699931330512E-5</v>
      </c>
      <c r="J42" s="13" cm="1">
        <f t="array" ref="J42">SUMPRODUCT(("LNGA"=[1]OUT_PrimaryEnergyCons!$C$4:$C$10000)*1,[1]OUT_PrimaryEnergyCons!H$4:H$10000)</f>
        <v>3.9598093923101877E-5</v>
      </c>
      <c r="K42" s="13" cm="1">
        <f t="array" ref="K42">SUMPRODUCT(("LNGA"=[1]OUT_PrimaryEnergyCons!$C$4:$C$10000)*1,[1]OUT_PrimaryEnergyCons!I$4:I$10000)</f>
        <v>8.9323578330805309E-6</v>
      </c>
    </row>
    <row r="43" spans="1:11">
      <c r="A43" s="5" t="s">
        <v>5</v>
      </c>
      <c r="B43" s="5" t="str">
        <f>B37</f>
        <v>SPS1</v>
      </c>
      <c r="C43" s="5" t="str">
        <f>C37</f>
        <v>CH</v>
      </c>
      <c r="D43" t="s">
        <v>816</v>
      </c>
      <c r="E43" t="s">
        <v>8</v>
      </c>
      <c r="F43" s="13" cm="1">
        <f t="array" ref="F43">SUMPRODUCT(("BIO"=[1]OUT_PrimaryEnergyCons!$C$4:$C$10000)*1+("LBIO"=[1]OUT_PrimaryEnergyCons!$C$4:$C$10000)*1,[1]OUT_PrimaryEnergyCons!D$4:D$10000)</f>
        <v>0</v>
      </c>
      <c r="G43" s="13" cm="1">
        <f t="array" ref="G43">SUMPRODUCT(("BIO"=[1]OUT_PrimaryEnergyCons!$C$4:$C$10000)*1+("LBIO"=[1]OUT_PrimaryEnergyCons!$C$4:$C$10000)*1,[1]OUT_PrimaryEnergyCons!E$4:E$10000)</f>
        <v>0.51650000872626167</v>
      </c>
      <c r="H43" s="13" cm="1">
        <f t="array" ref="H43">SUMPRODUCT(("BIO"=[1]OUT_PrimaryEnergyCons!$C$4:$C$10000)*1+("LBIO"=[1]OUT_PrimaryEnergyCons!$C$4:$C$10000)*1,[1]OUT_PrimaryEnergyCons!F$4:F$10000)</f>
        <v>1.1671412360099409</v>
      </c>
      <c r="I43" s="13" cm="1">
        <f t="array" ref="I43">SUMPRODUCT(("BIO"=[1]OUT_PrimaryEnergyCons!$C$4:$C$10000)*1+("LBIO"=[1]OUT_PrimaryEnergyCons!$C$4:$C$10000)*1,[1]OUT_PrimaryEnergyCons!G$4:G$10000)</f>
        <v>2.2314556943482771</v>
      </c>
      <c r="J43" s="13" cm="1">
        <f t="array" ref="J43">SUMPRODUCT(("BIO"=[1]OUT_PrimaryEnergyCons!$C$4:$C$10000)*1+("LBIO"=[1]OUT_PrimaryEnergyCons!$C$4:$C$10000)*1,[1]OUT_PrimaryEnergyCons!H$4:H$10000)</f>
        <v>6.5332024291298092</v>
      </c>
      <c r="K43" s="13" cm="1">
        <f t="array" ref="K43">SUMPRODUCT(("BIO"=[1]OUT_PrimaryEnergyCons!$C$4:$C$10000)*1+("LBIO"=[1]OUT_PrimaryEnergyCons!$C$4:$C$10000)*1,[1]OUT_PrimaryEnergyCons!I$4:I$10000)</f>
        <v>2.1356979135304024</v>
      </c>
    </row>
    <row r="44" spans="1:11">
      <c r="A44" s="5" t="s">
        <v>5</v>
      </c>
      <c r="B44" s="5" t="str">
        <f t="shared" ref="B44:C45" si="22">B43</f>
        <v>SPS1</v>
      </c>
      <c r="C44" s="5" t="str">
        <f t="shared" si="22"/>
        <v>CH</v>
      </c>
      <c r="D44" t="s">
        <v>817</v>
      </c>
      <c r="E44" t="s">
        <v>8</v>
      </c>
      <c r="F44" s="13">
        <f t="shared" ref="F44:K44" si="23">F45</f>
        <v>0</v>
      </c>
      <c r="G44" s="13">
        <f t="shared" si="23"/>
        <v>0.51650000872626167</v>
      </c>
      <c r="H44" s="13">
        <f t="shared" si="23"/>
        <v>1.1671412360099409</v>
      </c>
      <c r="I44" s="13">
        <f t="shared" si="23"/>
        <v>2.2314556943482771</v>
      </c>
      <c r="J44" s="13">
        <f t="shared" si="23"/>
        <v>2.2314556943482771</v>
      </c>
      <c r="K44" s="13">
        <f t="shared" si="23"/>
        <v>2.1356979135304024</v>
      </c>
    </row>
    <row r="45" spans="1:11">
      <c r="A45" s="5" t="s">
        <v>5</v>
      </c>
      <c r="B45" s="5" t="str">
        <f t="shared" si="22"/>
        <v>SPS1</v>
      </c>
      <c r="C45" s="5" t="str">
        <f t="shared" si="22"/>
        <v>CH</v>
      </c>
      <c r="D45" t="s">
        <v>616</v>
      </c>
      <c r="E45" t="s">
        <v>8</v>
      </c>
      <c r="F45" s="13">
        <f>F43</f>
        <v>0</v>
      </c>
      <c r="G45" s="13">
        <f>G43</f>
        <v>0.51650000872626167</v>
      </c>
      <c r="H45" s="13">
        <f>H43</f>
        <v>1.1671412360099409</v>
      </c>
      <c r="I45" s="13">
        <f>I43</f>
        <v>2.2314556943482771</v>
      </c>
      <c r="J45" s="13">
        <f>IF(J43-MAX(F43:I43)&lt;0,J43,MAX(F43:I43))</f>
        <v>2.2314556943482771</v>
      </c>
      <c r="K45" s="13">
        <f>IF(K43-MAX(G43:J43)&lt;0,K43,MAX(G43:J43))</f>
        <v>2.1356979135304024</v>
      </c>
    </row>
    <row r="46" spans="1:11">
      <c r="A46" s="5" t="s">
        <v>5</v>
      </c>
      <c r="B46" s="5" t="str">
        <f>B44</f>
        <v>SPS1</v>
      </c>
      <c r="C46" s="5" t="str">
        <f>C44</f>
        <v>CH</v>
      </c>
      <c r="D46" t="s">
        <v>818</v>
      </c>
      <c r="E46" t="s">
        <v>8</v>
      </c>
      <c r="F46" s="13">
        <f t="shared" ref="F46:K46" si="24">F47</f>
        <v>0</v>
      </c>
      <c r="G46" s="13">
        <f t="shared" si="24"/>
        <v>0</v>
      </c>
      <c r="H46" s="13">
        <f t="shared" si="24"/>
        <v>0</v>
      </c>
      <c r="I46" s="13">
        <f t="shared" si="24"/>
        <v>0</v>
      </c>
      <c r="J46" s="13">
        <f t="shared" si="24"/>
        <v>4.3017467347815321</v>
      </c>
      <c r="K46" s="13">
        <f t="shared" si="24"/>
        <v>0</v>
      </c>
    </row>
    <row r="47" spans="1:11">
      <c r="A47" s="5" t="s">
        <v>5</v>
      </c>
      <c r="B47" s="5" t="str">
        <f t="shared" ref="B47" si="25">B45</f>
        <v>SPS1</v>
      </c>
      <c r="C47" s="5" t="str">
        <f t="shared" ref="C47" si="26">C45</f>
        <v>CH</v>
      </c>
      <c r="D47" t="s">
        <v>617</v>
      </c>
      <c r="E47" t="s">
        <v>8</v>
      </c>
      <c r="F47" s="13">
        <v>0</v>
      </c>
      <c r="G47" s="13">
        <v>0</v>
      </c>
      <c r="H47" s="13">
        <v>0</v>
      </c>
      <c r="I47" s="13">
        <v>0</v>
      </c>
      <c r="J47" s="13">
        <f>J43-J45</f>
        <v>4.3017467347815321</v>
      </c>
      <c r="K47" s="13">
        <f>K43-K45</f>
        <v>0</v>
      </c>
    </row>
    <row r="48" spans="1:11">
      <c r="A48" s="5" t="s">
        <v>5</v>
      </c>
      <c r="B48" s="5" t="str">
        <f>B42</f>
        <v>SPS1</v>
      </c>
      <c r="C48" s="5" t="str">
        <f>C42</f>
        <v>CH</v>
      </c>
      <c r="D48" t="s">
        <v>819</v>
      </c>
      <c r="E48" t="s">
        <v>8</v>
      </c>
      <c r="F48" s="13" cm="1">
        <f t="array" ref="F48">SUMPRODUCT(("urn"=[1]OUT_PrimaryEnergyCons!$C$4:$C$10000)*1,[1]OUT_PrimaryEnergyCons!D$4:D$10000)</f>
        <v>250.94816993910675</v>
      </c>
      <c r="G48" s="13" cm="1">
        <f t="array" ref="G48">SUMPRODUCT(("urn"=[1]OUT_PrimaryEnergyCons!$C$4:$C$10000)*1,[1]OUT_PrimaryEnergyCons!E$4:E$10000)</f>
        <v>253.30010753605376</v>
      </c>
      <c r="H48" s="13" cm="1">
        <f t="array" ref="H48">SUMPRODUCT(("urn"=[1]OUT_PrimaryEnergyCons!$C$4:$C$10000)*1,[1]OUT_PrimaryEnergyCons!F$4:F$10000)</f>
        <v>211.79437589419962</v>
      </c>
      <c r="I48" s="13" cm="1">
        <f t="array" ref="I48">SUMPRODUCT(("urn"=[1]OUT_PrimaryEnergyCons!$C$4:$C$10000)*1,[1]OUT_PrimaryEnergyCons!G$4:G$10000)</f>
        <v>211.90230409526569</v>
      </c>
      <c r="J48" s="13" cm="1">
        <f t="array" ref="J48">SUMPRODUCT(("urn"=[1]OUT_PrimaryEnergyCons!$C$4:$C$10000)*1,[1]OUT_PrimaryEnergyCons!H$4:H$10000)</f>
        <v>98.945499486224335</v>
      </c>
      <c r="K48" s="13" cm="1">
        <f t="array" ref="K48">SUMPRODUCT(("urn"=[1]OUT_PrimaryEnergyCons!$C$4:$C$10000)*1,[1]OUT_PrimaryEnergyCons!I$4:I$10000)</f>
        <v>0</v>
      </c>
    </row>
    <row r="49" spans="1:19">
      <c r="A49" s="5" t="s">
        <v>5</v>
      </c>
      <c r="B49" s="5" t="str">
        <f>B37</f>
        <v>SPS1</v>
      </c>
      <c r="C49" s="5" t="str">
        <f>C37</f>
        <v>CH</v>
      </c>
      <c r="D49" t="s">
        <v>820</v>
      </c>
      <c r="E49" t="s">
        <v>8</v>
      </c>
      <c r="F49" s="13">
        <f>SUM(F50:F53)</f>
        <v>97.160000040402522</v>
      </c>
      <c r="G49" s="13">
        <f t="shared" ref="G49:K49" si="27">SUM(G50:G53)</f>
        <v>50.273544026241801</v>
      </c>
      <c r="H49" s="13">
        <f t="shared" si="27"/>
        <v>50.451815011637756</v>
      </c>
      <c r="I49" s="13">
        <f t="shared" si="27"/>
        <v>29.957350650863447</v>
      </c>
      <c r="J49" s="13">
        <f t="shared" si="27"/>
        <v>37.999610944580205</v>
      </c>
      <c r="K49" s="13">
        <f t="shared" si="27"/>
        <v>32.019153817786915</v>
      </c>
    </row>
    <row r="50" spans="1:19">
      <c r="A50" s="5" t="s">
        <v>5</v>
      </c>
      <c r="B50" s="5" t="str">
        <f t="shared" si="4"/>
        <v>SPS1</v>
      </c>
      <c r="C50" s="5" t="str">
        <f t="shared" si="5"/>
        <v>CH</v>
      </c>
      <c r="D50" t="s">
        <v>20</v>
      </c>
      <c r="E50" t="s">
        <v>8</v>
      </c>
      <c r="F50" s="13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15.013805504334533</v>
      </c>
      <c r="G50" s="13" cm="1">
        <f t="array" ref="G50">SUMPRODUCT(([1]OUT_Electricity_CHP!$B$1:$B$10000="G-INTC-IMP00-AT")*1,([1]OUT_Electricity_CHP!$C$1:$C$10000="Var_Fout")*1,ISNUMBER(SEARCH("ELC",[1]OUT_Electricity_CHP!$D$1:$D$10000))*1,[1]OUT_Electricity_CHP!F$1:F$10000)</f>
        <v>4.2254506991970349</v>
      </c>
      <c r="H50" s="13" cm="1">
        <f t="array" ref="H50">SUMPRODUCT(([1]OUT_Electricity_CHP!$B$1:$B$10000="G-INTC-IMP00-AT")*1,([1]OUT_Electricity_CHP!$C$1:$C$10000="Var_Fout")*1,ISNUMBER(SEARCH("ELC",[1]OUT_Electricity_CHP!$D$1:$D$10000))*1,[1]OUT_Electricity_CHP!G$1:G$10000)</f>
        <v>0.84049951406179213</v>
      </c>
      <c r="I50" s="13" cm="1">
        <f t="array" ref="I50">SUMPRODUCT(([1]OUT_Electricity_CHP!$B$1:$B$10000="G-INTC-IMP00-AT")*1,([1]OUT_Electricity_CHP!$C$1:$C$10000="Var_Fout")*1,ISNUMBER(SEARCH("ELC",[1]OUT_Electricity_CHP!$D$1:$D$10000))*1,[1]OUT_Electricity_CHP!H$1:H$10000)</f>
        <v>0.52857976241037152</v>
      </c>
      <c r="J50" s="13" cm="1">
        <f t="array" ref="J50">SUMPRODUCT(([1]OUT_Electricity_CHP!$B$1:$B$10000="G-INTC-IMP00-AT")*1,([1]OUT_Electricity_CHP!$C$1:$C$10000="Var_Fout")*1,ISNUMBER(SEARCH("ELC",[1]OUT_Electricity_CHP!$D$1:$D$10000))*1,[1]OUT_Electricity_CHP!I$1:I$10000)</f>
        <v>4.2597332928535217E-3</v>
      </c>
      <c r="K50" s="13" cm="1">
        <f t="array" ref="K50">SUMPRODUCT(([1]OUT_Electricity_CHP!$B$1:$B$10000="G-INTC-IMP00-AT")*1,([1]OUT_Electricity_CHP!$C$1:$C$10000="Var_Fout")*1,ISNUMBER(SEARCH("ELC",[1]OUT_Electricity_CHP!$D$1:$D$10000))*1,[1]OUT_Electricity_CHP!J$1:J$10000)</f>
        <v>5.4439029078142323</v>
      </c>
    </row>
    <row r="51" spans="1:19">
      <c r="A51" s="5" t="s">
        <v>5</v>
      </c>
      <c r="B51" s="5" t="str">
        <f t="shared" si="4"/>
        <v>SPS1</v>
      </c>
      <c r="C51" s="5" t="str">
        <f t="shared" si="5"/>
        <v>CH</v>
      </c>
      <c r="D51" t="s">
        <v>21</v>
      </c>
      <c r="E51" t="s">
        <v>8</v>
      </c>
      <c r="F51" s="13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28.948621077814021</v>
      </c>
      <c r="G51" s="13" cm="1">
        <f t="array" ref="G51">SUMPRODUCT(([1]OUT_Electricity_CHP!$B$1:$B$10000="G-INTC-IMP00-fr")*1,([1]OUT_Electricity_CHP!$C$1:$C$10000="Var_Fout")*1,ISNUMBER(SEARCH("ELC",[1]OUT_Electricity_CHP!$D$1:$D$10000))*1,[1]OUT_Electricity_CHP!F$1:F$10000)</f>
        <v>17.910578729563415</v>
      </c>
      <c r="H51" s="13" cm="1">
        <f t="array" ref="H51">SUMPRODUCT(([1]OUT_Electricity_CHP!$B$1:$B$10000="G-INTC-IMP00-fr")*1,([1]OUT_Electricity_CHP!$C$1:$C$10000="Var_Fout")*1,ISNUMBER(SEARCH("ELC",[1]OUT_Electricity_CHP!$D$1:$D$10000))*1,[1]OUT_Electricity_CHP!G$1:G$10000)</f>
        <v>23.501984143694667</v>
      </c>
      <c r="I51" s="13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13.508778235176798</v>
      </c>
      <c r="J51" s="13" cm="1">
        <f t="array" ref="J51">SUMPRODUCT(([1]OUT_Electricity_CHP!$B$1:$B$10000="G-INTC-IMP00-fr")*1,([1]OUT_Electricity_CHP!$C$1:$C$10000="Var_Fout")*1,ISNUMBER(SEARCH("ELC",[1]OUT_Electricity_CHP!$D$1:$D$10000))*1,[1]OUT_Electricity_CHP!I$1:I$10000)</f>
        <v>14.134873138610718</v>
      </c>
      <c r="K51" s="13" cm="1">
        <f t="array" ref="K51">SUMPRODUCT(([1]OUT_Electricity_CHP!$B$1:$B$10000="G-INTC-IMP00-fr")*1,([1]OUT_Electricity_CHP!$C$1:$C$10000="Var_Fout")*1,ISNUMBER(SEARCH("ELC",[1]OUT_Electricity_CHP!$D$1:$D$10000))*1,[1]OUT_Electricity_CHP!J$1:J$10000)</f>
        <v>12.247090805787071</v>
      </c>
    </row>
    <row r="52" spans="1:19">
      <c r="A52" s="5" t="s">
        <v>5</v>
      </c>
      <c r="B52" s="5" t="str">
        <f t="shared" si="4"/>
        <v>SPS1</v>
      </c>
      <c r="C52" s="5" t="str">
        <f t="shared" si="5"/>
        <v>CH</v>
      </c>
      <c r="D52" t="s">
        <v>22</v>
      </c>
      <c r="E52" t="s">
        <v>8</v>
      </c>
      <c r="F52" s="13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46.398475558524069</v>
      </c>
      <c r="G52" s="13" cm="1">
        <f t="array" ref="G52">SUMPRODUCT(([1]OUT_Electricity_CHP!$B$1:$B$10000="G-INTC-IMP00-de")*1,([1]OUT_Electricity_CHP!$C$1:$C$10000="Var_Fout")*1,ISNUMBER(SEARCH("ELC",[1]OUT_Electricity_CHP!$D$1:$D$10000))*1,[1]OUT_Electricity_CHP!F$1:F$10000)</f>
        <v>28.137494090058652</v>
      </c>
      <c r="H52" s="13" cm="1">
        <f t="array" ref="H52">SUMPRODUCT(([1]OUT_Electricity_CHP!$B$1:$B$10000="G-INTC-IMP00-de")*1,([1]OUT_Electricity_CHP!$C$1:$C$10000="Var_Fout")*1,ISNUMBER(SEARCH("ELC",[1]OUT_Electricity_CHP!$D$1:$D$10000))*1,[1]OUT_Electricity_CHP!G$1:G$10000)</f>
        <v>25.90287954247421</v>
      </c>
      <c r="I52" s="13" cm="1">
        <f t="array" ref="I52">SUMPRODUCT(([1]OUT_Electricity_CHP!$B$1:$B$10000="G-INTC-IMP00-de")*1,([1]OUT_Electricity_CHP!$C$1:$C$10000="Var_Fout")*1,ISNUMBER(SEARCH("ELC",[1]OUT_Electricity_CHP!$D$1:$D$10000))*1,[1]OUT_Electricity_CHP!H$1:H$10000)</f>
        <v>15.750815947300936</v>
      </c>
      <c r="J52" s="13" cm="1">
        <f t="array" ref="J52">SUMPRODUCT(([1]OUT_Electricity_CHP!$B$1:$B$10000="G-INTC-IMP00-de")*1,([1]OUT_Electricity_CHP!$C$1:$C$10000="Var_Fout")*1,ISNUMBER(SEARCH("ELC",[1]OUT_Electricity_CHP!$D$1:$D$10000))*1,[1]OUT_Electricity_CHP!I$1:I$10000)</f>
        <v>23.6048149672738</v>
      </c>
      <c r="K52" s="13" cm="1">
        <f t="array" ref="K52">SUMPRODUCT(([1]OUT_Electricity_CHP!$B$1:$B$10000="G-INTC-IMP00-de")*1,([1]OUT_Electricity_CHP!$C$1:$C$10000="Var_Fout")*1,ISNUMBER(SEARCH("ELC",[1]OUT_Electricity_CHP!$D$1:$D$10000))*1,[1]OUT_Electricity_CHP!J$1:J$10000)</f>
        <v>14.146511373998184</v>
      </c>
    </row>
    <row r="53" spans="1:19">
      <c r="A53" s="5" t="s">
        <v>5</v>
      </c>
      <c r="B53" s="5" t="str">
        <f t="shared" si="4"/>
        <v>SPS1</v>
      </c>
      <c r="C53" s="5" t="str">
        <f t="shared" si="5"/>
        <v>CH</v>
      </c>
      <c r="D53" t="s">
        <v>23</v>
      </c>
      <c r="E53" t="s">
        <v>8</v>
      </c>
      <c r="F53" s="13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6.7990978997299063</v>
      </c>
      <c r="G53" s="13" cm="1">
        <f t="array" ref="G53">SUMPRODUCT(([1]OUT_Electricity_CHP!$B$1:$B$10000="G-INTC-IMP00-it")*1,([1]OUT_Electricity_CHP!$C$1:$C$10000="Var_Fout")*1,ISNUMBER(SEARCH("ELC",[1]OUT_Electricity_CHP!$D$1:$D$10000))*1,[1]OUT_Electricity_CHP!F$1:F$10000)</f>
        <v>2.0507422698868927E-5</v>
      </c>
      <c r="H53" s="13" cm="1">
        <f t="array" ref="H53">SUMPRODUCT(([1]OUT_Electricity_CHP!$B$1:$B$10000="G-INTC-IMP00-it")*1,([1]OUT_Electricity_CHP!$C$1:$C$10000="Var_Fout")*1,ISNUMBER(SEARCH("ELC",[1]OUT_Electricity_CHP!$D$1:$D$10000))*1,[1]OUT_Electricity_CHP!G$1:G$10000)</f>
        <v>0.20645181140708707</v>
      </c>
      <c r="I53" s="13" cm="1">
        <f t="array" ref="I53">SUMPRODUCT(([1]OUT_Electricity_CHP!$B$1:$B$10000="G-INTC-IMP00-it")*1,([1]OUT_Electricity_CHP!$C$1:$C$10000="Var_Fout")*1,ISNUMBER(SEARCH("ELC",[1]OUT_Electricity_CHP!$D$1:$D$10000))*1,[1]OUT_Electricity_CHP!H$1:H$10000)</f>
        <v>0.16917670597533865</v>
      </c>
      <c r="J53" s="13" cm="1">
        <f t="array" ref="J53">SUMPRODUCT(([1]OUT_Electricity_CHP!$B$1:$B$10000="G-INTC-IMP00-it")*1,([1]OUT_Electricity_CHP!$C$1:$C$10000="Var_Fout")*1,ISNUMBER(SEARCH("ELC",[1]OUT_Electricity_CHP!$D$1:$D$10000))*1,[1]OUT_Electricity_CHP!I$1:I$10000)</f>
        <v>0.25566310540283155</v>
      </c>
      <c r="K53" s="13" cm="1">
        <f t="array" ref="K53">SUMPRODUCT(([1]OUT_Electricity_CHP!$B$1:$B$10000="G-INTC-IMP00-it")*1,([1]OUT_Electricity_CHP!$C$1:$C$10000="Var_Fout")*1,ISNUMBER(SEARCH("ELC",[1]OUT_Electricity_CHP!$D$1:$D$10000))*1,[1]OUT_Electricity_CHP!J$1:J$10000)</f>
        <v>0.18164873018742983</v>
      </c>
    </row>
    <row r="54" spans="1:19">
      <c r="A54" s="5" t="s">
        <v>5</v>
      </c>
      <c r="B54" s="5" t="str">
        <f t="shared" ref="B54" si="28">B53</f>
        <v>SPS1</v>
      </c>
      <c r="C54" s="5" t="str">
        <f t="shared" ref="C54" si="29">C53</f>
        <v>CH</v>
      </c>
      <c r="D54" t="s">
        <v>821</v>
      </c>
      <c r="E54" t="s">
        <v>8</v>
      </c>
      <c r="F54" s="13" cm="1">
        <f t="array" ref="F54">SUMPRODUCT(("h2"=[1]OUT_PrimaryEnergyCons!$C$4:$C$10000)*1,[1]OUT_PrimaryEnergyCons!D$4:D$10000)</f>
        <v>0</v>
      </c>
      <c r="G54" s="13" cm="1">
        <f t="array" ref="G54">SUMPRODUCT(("h2"=[1]OUT_PrimaryEnergyCons!$C$4:$C$10000)*1,[1]OUT_PrimaryEnergyCons!E$4:E$10000)</f>
        <v>0</v>
      </c>
      <c r="H54" s="13" cm="1">
        <f t="array" ref="H54">SUMPRODUCT(("h2"=[1]OUT_PrimaryEnergyCons!$C$4:$C$10000)*1,[1]OUT_PrimaryEnergyCons!F$4:F$10000)</f>
        <v>0</v>
      </c>
      <c r="I54" s="13" cm="1">
        <f t="array" ref="I54">SUMPRODUCT(("h2"=[1]OUT_PrimaryEnergyCons!$C$4:$C$10000)*1,[1]OUT_PrimaryEnergyCons!G$4:G$10000)</f>
        <v>0</v>
      </c>
      <c r="J54" s="13" cm="1">
        <f t="array" ref="J54">SUMPRODUCT(("h2"=[1]OUT_PrimaryEnergyCons!$C$4:$C$10000)*1,[1]OUT_PrimaryEnergyCons!H$4:H$10000)</f>
        <v>0.16845214574394482</v>
      </c>
      <c r="K54" s="13" cm="1">
        <f t="array" ref="K54">SUMPRODUCT(("h2"=[1]OUT_PrimaryEnergyCons!$C$4:$C$10000)*1,[1]OUT_PrimaryEnergyCons!I$4:I$10000)</f>
        <v>0.16845191554830247</v>
      </c>
    </row>
    <row r="55" spans="1:19">
      <c r="A55" s="8" t="s">
        <v>5</v>
      </c>
      <c r="B55" s="8" t="str">
        <f>B53</f>
        <v>SPS1</v>
      </c>
      <c r="C55" s="1" t="str">
        <f>C53</f>
        <v>CH</v>
      </c>
      <c r="D55" s="1" t="s">
        <v>24</v>
      </c>
      <c r="E55" s="1" t="s">
        <v>8</v>
      </c>
      <c r="F55" s="16">
        <f>F56</f>
        <v>117.17000013165598</v>
      </c>
      <c r="G55" s="16">
        <f t="shared" ref="G55:K55" si="30">G56</f>
        <v>34.143532497000074</v>
      </c>
      <c r="H55" s="16">
        <f t="shared" si="30"/>
        <v>54.692252007945818</v>
      </c>
      <c r="I55" s="16">
        <f t="shared" si="30"/>
        <v>31.019003948304874</v>
      </c>
      <c r="J55" s="16">
        <f t="shared" si="30"/>
        <v>22.614391539620094</v>
      </c>
      <c r="K55" s="16">
        <f t="shared" si="30"/>
        <v>20.99541950726567</v>
      </c>
      <c r="N55" s="2"/>
      <c r="O55" s="2"/>
      <c r="P55" s="2"/>
      <c r="Q55" s="2"/>
      <c r="R55" s="2"/>
      <c r="S55" s="2"/>
    </row>
    <row r="56" spans="1:19">
      <c r="A56" s="5" t="s">
        <v>5</v>
      </c>
      <c r="B56" s="5" t="str">
        <f t="shared" si="4"/>
        <v>SPS1</v>
      </c>
      <c r="C56" s="5" t="str">
        <f t="shared" si="5"/>
        <v>CH</v>
      </c>
      <c r="D56" t="s">
        <v>822</v>
      </c>
      <c r="E56" t="str">
        <f>E55</f>
        <v>PJ/yr.</v>
      </c>
      <c r="F56" s="13">
        <f>SUM(F57:F60)</f>
        <v>117.17000013165598</v>
      </c>
      <c r="G56" s="13">
        <f t="shared" ref="G56:K56" si="31">SUM(G57:G60)</f>
        <v>34.143532497000074</v>
      </c>
      <c r="H56" s="13">
        <f t="shared" si="31"/>
        <v>54.692252007945818</v>
      </c>
      <c r="I56" s="13">
        <f t="shared" si="31"/>
        <v>31.019003948304874</v>
      </c>
      <c r="J56" s="13">
        <f t="shared" si="31"/>
        <v>22.614391539620094</v>
      </c>
      <c r="K56" s="13">
        <f t="shared" si="31"/>
        <v>20.99541950726567</v>
      </c>
      <c r="N56" s="2"/>
    </row>
    <row r="57" spans="1:19">
      <c r="A57" s="5" t="s">
        <v>5</v>
      </c>
      <c r="B57" s="5" t="str">
        <f t="shared" si="4"/>
        <v>SPS1</v>
      </c>
      <c r="C57" s="5" t="str">
        <f t="shared" si="5"/>
        <v>CH</v>
      </c>
      <c r="D57" t="s">
        <v>25</v>
      </c>
      <c r="E57" t="str">
        <f t="shared" ref="E57:E60" si="32">E56</f>
        <v>PJ/yr.</v>
      </c>
      <c r="F57" s="13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6.2295545153372132</v>
      </c>
      <c r="G57" s="13" cm="1">
        <f t="array" ref="G57">SUMPRODUCT(([1]OUT_Electricity_CHP!$B$1:$B$10000="G-INTC-exp00-AT")*1,([1]OUT_Electricity_CHP!$C$1:$C$10000="Var_Fout")*1,ISNUMBER(SEARCH("ELC",[1]OUT_Electricity_CHP!$D$1:$D$10000))*1,[1]OUT_Electricity_CHP!F$1:F$10000)</f>
        <v>1.3829738799688838E-5</v>
      </c>
      <c r="H57" s="13" cm="1">
        <f t="array" ref="H57">SUMPRODUCT(([1]OUT_Electricity_CHP!$B$1:$B$10000="G-INTC-exp00-AT")*1,([1]OUT_Electricity_CHP!$C$1:$C$10000="Var_Fout")*1,ISNUMBER(SEARCH("ELC",[1]OUT_Electricity_CHP!$D$1:$D$10000))*1,[1]OUT_Electricity_CHP!G$1:G$10000)</f>
        <v>1.6491983624573344E-5</v>
      </c>
      <c r="I57" s="13" cm="1">
        <f t="array" ref="I57">SUMPRODUCT(([1]OUT_Electricity_CHP!$B$1:$B$10000="G-INTC-exp00-AT")*1,([1]OUT_Electricity_CHP!$C$1:$C$10000="Var_Fout")*1,ISNUMBER(SEARCH("ELC",[1]OUT_Electricity_CHP!$D$1:$D$10000))*1,[1]OUT_Electricity_CHP!H$1:H$10000)</f>
        <v>7.3793321548193555E-6</v>
      </c>
      <c r="J57" s="13" cm="1">
        <f t="array" ref="J57">SUMPRODUCT(([1]OUT_Electricity_CHP!$B$1:$B$10000="G-INTC-exp00-AT")*1,([1]OUT_Electricity_CHP!$C$1:$C$10000="Var_Fout")*1,ISNUMBER(SEARCH("ELC",[1]OUT_Electricity_CHP!$D$1:$D$10000))*1,[1]OUT_Electricity_CHP!I$1:I$10000)</f>
        <v>9.7010314467498276E-2</v>
      </c>
      <c r="K57" s="13" cm="1">
        <f t="array" ref="K57">SUMPRODUCT(([1]OUT_Electricity_CHP!$B$1:$B$10000="G-INTC-exp00-AT")*1,([1]OUT_Electricity_CHP!$C$1:$C$10000="Var_Fout")*1,ISNUMBER(SEARCH("ELC",[1]OUT_Electricity_CHP!$D$1:$D$10000))*1,[1]OUT_Electricity_CHP!J$1:J$10000)</f>
        <v>9.0249920037775724E-2</v>
      </c>
    </row>
    <row r="58" spans="1:19">
      <c r="A58" s="5" t="s">
        <v>5</v>
      </c>
      <c r="B58" s="5" t="str">
        <f t="shared" si="4"/>
        <v>SPS1</v>
      </c>
      <c r="C58" s="5" t="str">
        <f t="shared" si="5"/>
        <v>CH</v>
      </c>
      <c r="D58" t="s">
        <v>26</v>
      </c>
      <c r="E58" t="str">
        <f t="shared" si="32"/>
        <v>PJ/yr.</v>
      </c>
      <c r="F58" s="13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12.753358585989826</v>
      </c>
      <c r="G58" s="13" cm="1">
        <f t="array" ref="G58">SUMPRODUCT(([1]OUT_Electricity_CHP!$B$1:$B$10000="G-INTC-exp00-fr")*1,([1]OUT_Electricity_CHP!$C$1:$C$10000="Var_Fout")*1,ISNUMBER(SEARCH("ELC",[1]OUT_Electricity_CHP!$D$1:$D$10000))*1,[1]OUT_Electricity_CHP!F$1:F$10000)</f>
        <v>1.256802835345464E-5</v>
      </c>
      <c r="H58" s="13" cm="1">
        <f t="array" ref="H58">SUMPRODUCT(([1]OUT_Electricity_CHP!$B$1:$B$10000="G-INTC-exp00-fr")*1,([1]OUT_Electricity_CHP!$C$1:$C$10000="Var_Fout")*1,ISNUMBER(SEARCH("ELC",[1]OUT_Electricity_CHP!$D$1:$D$10000))*1,[1]OUT_Electricity_CHP!G$1:G$10000)</f>
        <v>1.2039816607540773E-5</v>
      </c>
      <c r="I58" s="13" cm="1">
        <f t="array" ref="I58">SUMPRODUCT(([1]OUT_Electricity_CHP!$B$1:$B$10000="G-INTC-exp00-fr")*1,([1]OUT_Electricity_CHP!$C$1:$C$10000="Var_Fout")*1,ISNUMBER(SEARCH("ELC",[1]OUT_Electricity_CHP!$D$1:$D$10000))*1,[1]OUT_Electricity_CHP!H$1:H$10000)</f>
        <v>4.4684558499160161E-6</v>
      </c>
      <c r="J58" s="13" cm="1">
        <f t="array" ref="J58">SUMPRODUCT(([1]OUT_Electricity_CHP!$B$1:$B$10000="G-INTC-exp00-fr")*1,([1]OUT_Electricity_CHP!$C$1:$C$10000="Var_Fout")*1,ISNUMBER(SEARCH("ELC",[1]OUT_Electricity_CHP!$D$1:$D$10000))*1,[1]OUT_Electricity_CHP!I$1:I$10000)</f>
        <v>1.9614280301223679E-2</v>
      </c>
      <c r="K58" s="13" cm="1">
        <f t="array" ref="K58">SUMPRODUCT(([1]OUT_Electricity_CHP!$B$1:$B$10000="G-INTC-exp00-fr")*1,([1]OUT_Electricity_CHP!$C$1:$C$10000="Var_Fout")*1,ISNUMBER(SEARCH("ELC",[1]OUT_Electricity_CHP!$D$1:$D$10000))*1,[1]OUT_Electricity_CHP!J$1:J$10000)</f>
        <v>0.84830395792784186</v>
      </c>
    </row>
    <row r="59" spans="1:19">
      <c r="A59" s="5" t="s">
        <v>5</v>
      </c>
      <c r="B59" s="5" t="str">
        <f t="shared" si="4"/>
        <v>SPS1</v>
      </c>
      <c r="C59" s="5" t="str">
        <f t="shared" si="5"/>
        <v>CH</v>
      </c>
      <c r="D59" t="s">
        <v>27</v>
      </c>
      <c r="E59" t="str">
        <f t="shared" si="32"/>
        <v>PJ/yr.</v>
      </c>
      <c r="F59" s="13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26.492979292328812</v>
      </c>
      <c r="G59" s="13" cm="1">
        <f t="array" ref="G59">SUMPRODUCT(([1]OUT_Electricity_CHP!$B$1:$B$10000="G-INTC-exp00-de")*1,([1]OUT_Electricity_CHP!$C$1:$C$10000="Var_Fout")*1,ISNUMBER(SEARCH("ELC",[1]OUT_Electricity_CHP!$D$1:$D$10000))*1,[1]OUT_Electricity_CHP!F$1:F$10000)</f>
        <v>1.3066219133423507E-5</v>
      </c>
      <c r="H59" s="13" cm="1">
        <f t="array" ref="H59">SUMPRODUCT(([1]OUT_Electricity_CHP!$B$1:$B$10000="G-INTC-exp00-de")*1,([1]OUT_Electricity_CHP!$C$1:$C$10000="Var_Fout")*1,ISNUMBER(SEARCH("ELC",[1]OUT_Electricity_CHP!$D$1:$D$10000))*1,[1]OUT_Electricity_CHP!G$1:G$10000)</f>
        <v>1.4606676733103649E-5</v>
      </c>
      <c r="I59" s="13" cm="1">
        <f t="array" ref="I59">SUMPRODUCT(([1]OUT_Electricity_CHP!$B$1:$B$10000="G-INTC-exp00-de")*1,([1]OUT_Electricity_CHP!$C$1:$C$10000="Var_Fout")*1,ISNUMBER(SEARCH("ELC",[1]OUT_Electricity_CHP!$D$1:$D$10000))*1,[1]OUT_Electricity_CHP!H$1:H$10000)</f>
        <v>6.3058389073971903E-6</v>
      </c>
      <c r="J59" s="13" cm="1">
        <f t="array" ref="J59">SUMPRODUCT(([1]OUT_Electricity_CHP!$B$1:$B$10000="G-INTC-exp00-de")*1,([1]OUT_Electricity_CHP!$C$1:$C$10000="Var_Fout")*1,ISNUMBER(SEARCH("ELC",[1]OUT_Electricity_CHP!$D$1:$D$10000))*1,[1]OUT_Electricity_CHP!I$1:I$10000)</f>
        <v>1.8645556525821396</v>
      </c>
      <c r="K59" s="13" cm="1">
        <f t="array" ref="K59">SUMPRODUCT(([1]OUT_Electricity_CHP!$B$1:$B$10000="G-INTC-exp00-de")*1,([1]OUT_Electricity_CHP!$C$1:$C$10000="Var_Fout")*1,ISNUMBER(SEARCH("ELC",[1]OUT_Electricity_CHP!$D$1:$D$10000))*1,[1]OUT_Electricity_CHP!J$1:J$10000)</f>
        <v>1.8515082065484949</v>
      </c>
    </row>
    <row r="60" spans="1:19">
      <c r="A60" s="5" t="s">
        <v>5</v>
      </c>
      <c r="B60" s="5" t="str">
        <f t="shared" si="4"/>
        <v>SPS1</v>
      </c>
      <c r="C60" s="5" t="str">
        <f t="shared" si="5"/>
        <v>CH</v>
      </c>
      <c r="D60" t="s">
        <v>28</v>
      </c>
      <c r="E60" t="str">
        <f t="shared" si="32"/>
        <v>PJ/yr.</v>
      </c>
      <c r="F60" s="13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71.694107738000127</v>
      </c>
      <c r="G60" s="13" cm="1">
        <f t="array" ref="G60">SUMPRODUCT(([1]OUT_Electricity_CHP!$B$1:$B$10000="G-INTC-exp00-it")*1,([1]OUT_Electricity_CHP!$C$1:$C$10000="Var_Fout")*1,ISNUMBER(SEARCH("ELC",[1]OUT_Electricity_CHP!$D$1:$D$10000))*1,[1]OUT_Electricity_CHP!F$1:F$10000)</f>
        <v>34.14349303301379</v>
      </c>
      <c r="H60" s="13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54.69220886946885</v>
      </c>
      <c r="I60" s="13" cm="1">
        <f t="array" ref="I60">SUMPRODUCT(([1]OUT_Electricity_CHP!$B$1:$B$10000="G-INTC-exp00-it")*1,([1]OUT_Electricity_CHP!$C$1:$C$10000="Var_Fout")*1,ISNUMBER(SEARCH("ELC",[1]OUT_Electricity_CHP!$D$1:$D$10000))*1,[1]OUT_Electricity_CHP!H$1:H$10000)</f>
        <v>31.018985794677963</v>
      </c>
      <c r="J60" s="13" cm="1">
        <f t="array" ref="J60">SUMPRODUCT(([1]OUT_Electricity_CHP!$B$1:$B$10000="G-INTC-exp00-it")*1,([1]OUT_Electricity_CHP!$C$1:$C$10000="Var_Fout")*1,ISNUMBER(SEARCH("ELC",[1]OUT_Electricity_CHP!$D$1:$D$10000))*1,[1]OUT_Electricity_CHP!I$1:I$10000)</f>
        <v>20.633211292269234</v>
      </c>
      <c r="K60" s="13" cm="1">
        <f t="array" ref="K60">SUMPRODUCT(([1]OUT_Electricity_CHP!$B$1:$B$10000="G-INTC-exp00-it")*1,([1]OUT_Electricity_CHP!$C$1:$C$10000="Var_Fout")*1,ISNUMBER(SEARCH("ELC",[1]OUT_Electricity_CHP!$D$1:$D$10000))*1,[1]OUT_Electricity_CHP!J$1:J$10000)</f>
        <v>18.205357422751558</v>
      </c>
    </row>
    <row r="61" spans="1:19">
      <c r="A61" s="8" t="s">
        <v>5</v>
      </c>
      <c r="B61" s="8" t="str">
        <f t="shared" ref="B61:B62" si="33">B60</f>
        <v>SPS1</v>
      </c>
      <c r="C61" s="1" t="str">
        <f t="shared" ref="C61:C62" si="34">C60</f>
        <v>CH</v>
      </c>
      <c r="D61" s="1" t="s">
        <v>29</v>
      </c>
      <c r="E61" s="1" t="s">
        <v>8</v>
      </c>
      <c r="F61" s="16">
        <f>SUM(F62,F64,F68,F80,F128,F149,F157,F159,F167,F171,F165)</f>
        <v>251.13465242439187</v>
      </c>
      <c r="G61" s="16">
        <f t="shared" ref="G61:K61" si="35">SUM(G62,G64,G72,G80,G128,G149,G157,G159,G167,G171,G165)</f>
        <v>229.2739167598084</v>
      </c>
      <c r="H61" s="16">
        <f t="shared" si="35"/>
        <v>236.45363007831273</v>
      </c>
      <c r="I61" s="16">
        <f t="shared" si="35"/>
        <v>265.24658000800565</v>
      </c>
      <c r="J61" s="16">
        <f t="shared" si="35"/>
        <v>266.98205673872604</v>
      </c>
      <c r="K61" s="16">
        <f t="shared" si="35"/>
        <v>286.58834757447261</v>
      </c>
    </row>
    <row r="62" spans="1:19">
      <c r="A62" s="5" t="s">
        <v>5</v>
      </c>
      <c r="B62" s="5" t="str">
        <f t="shared" si="33"/>
        <v>SPS1</v>
      </c>
      <c r="C62" s="5" t="str">
        <f t="shared" si="34"/>
        <v>CH</v>
      </c>
      <c r="D62" t="s">
        <v>823</v>
      </c>
      <c r="E62" t="str">
        <f>E60</f>
        <v>PJ/yr.</v>
      </c>
      <c r="F62" s="13">
        <f>+F63</f>
        <v>82.760000015833299</v>
      </c>
      <c r="G62" s="13">
        <f t="shared" ref="G62:K62" si="36">+G63</f>
        <v>82.759999289170679</v>
      </c>
      <c r="H62" s="13">
        <f t="shared" si="36"/>
        <v>68.99231168534439</v>
      </c>
      <c r="I62" s="13">
        <f t="shared" si="36"/>
        <v>69.934410155206677</v>
      </c>
      <c r="J62" s="13">
        <f t="shared" si="36"/>
        <v>32.820800026390955</v>
      </c>
      <c r="K62" s="13">
        <f t="shared" si="36"/>
        <v>0</v>
      </c>
    </row>
    <row r="63" spans="1:19">
      <c r="A63" s="5" t="s">
        <v>5</v>
      </c>
      <c r="B63" s="5" t="str">
        <f t="shared" ref="B63:B147" si="37">B62</f>
        <v>SPS1</v>
      </c>
      <c r="C63" s="5" t="str">
        <f t="shared" ref="C63:C147" si="38">C62</f>
        <v>CH</v>
      </c>
      <c r="D63" t="s">
        <v>30</v>
      </c>
      <c r="E63" t="str">
        <f>E61</f>
        <v>PJ/yr.</v>
      </c>
      <c r="F63" s="13">
        <f>'[1]Electricity and CHPs'!B14</f>
        <v>82.760000015833299</v>
      </c>
      <c r="G63" s="13">
        <f>'[1]Electricity and CHPs'!C14</f>
        <v>82.759999289170679</v>
      </c>
      <c r="H63" s="13">
        <f>'[1]Electricity and CHPs'!D14</f>
        <v>68.99231168534439</v>
      </c>
      <c r="I63" s="13">
        <f>'[1]Electricity and CHPs'!E14</f>
        <v>69.934410155206677</v>
      </c>
      <c r="J63" s="13">
        <f>'[1]Electricity and CHPs'!F14</f>
        <v>32.820800026390955</v>
      </c>
      <c r="K63" s="13">
        <f>'[1]Electricity and CHPs'!G14</f>
        <v>0</v>
      </c>
    </row>
    <row r="64" spans="1:19">
      <c r="A64" s="5" t="s">
        <v>5</v>
      </c>
      <c r="B64" s="5" t="str">
        <f t="shared" si="37"/>
        <v>SPS1</v>
      </c>
      <c r="C64" s="5" t="str">
        <f t="shared" si="38"/>
        <v>CH</v>
      </c>
      <c r="D64" t="s">
        <v>824</v>
      </c>
      <c r="E64" t="str">
        <f>E63</f>
        <v>PJ/yr.</v>
      </c>
      <c r="F64" s="13">
        <f>SUM(F65:F67)</f>
        <v>146.22000013417926</v>
      </c>
      <c r="G64" s="13">
        <f t="shared" ref="G64:K64" si="39">SUM(G65:G67)</f>
        <v>120.97994572124448</v>
      </c>
      <c r="H64" s="13">
        <f t="shared" si="39"/>
        <v>136.75514389489902</v>
      </c>
      <c r="I64" s="13">
        <f t="shared" si="39"/>
        <v>147.24990100069164</v>
      </c>
      <c r="J64" s="13">
        <f t="shared" si="39"/>
        <v>148.25083879015293</v>
      </c>
      <c r="K64" s="13">
        <f t="shared" si="39"/>
        <v>148.74183534873691</v>
      </c>
    </row>
    <row r="65" spans="1:11">
      <c r="A65" s="5" t="s">
        <v>5</v>
      </c>
      <c r="B65" s="5" t="str">
        <f t="shared" si="37"/>
        <v>SPS1</v>
      </c>
      <c r="C65" s="5" t="str">
        <f t="shared" si="38"/>
        <v>CH</v>
      </c>
      <c r="D65" t="s">
        <v>31</v>
      </c>
      <c r="E65" t="str">
        <f>E63</f>
        <v>PJ/yr.</v>
      </c>
      <c r="F65" s="13">
        <f>'[1]Electricity and CHPs'!B15</f>
        <v>66.745680000968164</v>
      </c>
      <c r="G65" s="13">
        <f>'[1]Electricity and CHPs'!C15</f>
        <v>49.182940005258239</v>
      </c>
      <c r="H65" s="13">
        <f>'[1]Electricity and CHPs'!D15</f>
        <v>68.537787966700805</v>
      </c>
      <c r="I65" s="13">
        <f>'[1]Electricity and CHPs'!E15</f>
        <v>70.236607180315332</v>
      </c>
      <c r="J65" s="13">
        <f>'[1]Electricity and CHPs'!F15</f>
        <v>73.020285337032291</v>
      </c>
      <c r="K65" s="13">
        <f>'[1]Electricity and CHPs'!G15</f>
        <v>69.178229752170594</v>
      </c>
    </row>
    <row r="66" spans="1:11">
      <c r="A66" s="5" t="s">
        <v>5</v>
      </c>
      <c r="B66" s="5" t="str">
        <f t="shared" si="37"/>
        <v>SPS1</v>
      </c>
      <c r="C66" s="5" t="str">
        <f t="shared" si="38"/>
        <v>CH</v>
      </c>
      <c r="D66" t="s">
        <v>32</v>
      </c>
      <c r="E66" t="str">
        <f t="shared" ref="E66:E67" si="40">E65</f>
        <v>PJ/yr.</v>
      </c>
      <c r="F66" s="13">
        <f>'[1]Electricity and CHPs'!B16</f>
        <v>66.632400083472731</v>
      </c>
      <c r="G66" s="13">
        <f>'[1]Electricity and CHPs'!C16</f>
        <v>55.764000065769004</v>
      </c>
      <c r="H66" s="13">
        <f>'[1]Electricity and CHPs'!D16</f>
        <v>65.547550949863876</v>
      </c>
      <c r="I66" s="13">
        <f>'[1]Electricity and CHPs'!E16</f>
        <v>64.46266238111555</v>
      </c>
      <c r="J66" s="13">
        <f>'[1]Electricity and CHPs'!F16</f>
        <v>62.292915065927907</v>
      </c>
      <c r="K66" s="13">
        <f>'[1]Electricity and CHPs'!G16</f>
        <v>66.134970443047848</v>
      </c>
    </row>
    <row r="67" spans="1:11">
      <c r="A67" s="5" t="s">
        <v>5</v>
      </c>
      <c r="B67" s="5" t="str">
        <f t="shared" si="37"/>
        <v>SPS1</v>
      </c>
      <c r="C67" s="5" t="str">
        <f t="shared" si="38"/>
        <v>CH</v>
      </c>
      <c r="D67" t="s">
        <v>33</v>
      </c>
      <c r="E67" t="str">
        <f t="shared" si="40"/>
        <v>PJ/yr.</v>
      </c>
      <c r="F67" s="13">
        <f>'[1]Electricity and CHPs'!B17</f>
        <v>12.841920049738343</v>
      </c>
      <c r="G67" s="13">
        <f>'[1]Electricity and CHPs'!C17</f>
        <v>16.033005650217238</v>
      </c>
      <c r="H67" s="13">
        <f>'[1]Electricity and CHPs'!D17</f>
        <v>2.6698049783343367</v>
      </c>
      <c r="I67" s="13">
        <f>'[1]Electricity and CHPs'!E17</f>
        <v>12.550631439260783</v>
      </c>
      <c r="J67" s="13">
        <f>'[1]Electricity and CHPs'!F17</f>
        <v>12.937638387192727</v>
      </c>
      <c r="K67" s="13">
        <f>'[1]Electricity and CHPs'!G17</f>
        <v>13.42863515351848</v>
      </c>
    </row>
    <row r="68" spans="1:11">
      <c r="A68" s="5" t="s">
        <v>5</v>
      </c>
      <c r="B68" s="5" t="str">
        <f>B59</f>
        <v>SPS1</v>
      </c>
      <c r="C68" s="5" t="str">
        <f>C59</f>
        <v>CH</v>
      </c>
      <c r="D68" t="s">
        <v>825</v>
      </c>
      <c r="E68" t="str">
        <f>E59</f>
        <v>PJ/yr.</v>
      </c>
      <c r="F68" s="13">
        <f>SUM(F69:F71)</f>
        <v>0.11190016123085984</v>
      </c>
      <c r="G68" s="13">
        <f t="shared" ref="G68" si="41">SUM(G69:G71)</f>
        <v>0.17152756761400367</v>
      </c>
      <c r="H68" s="13">
        <f t="shared" ref="H68" si="42">SUM(H69:H71)</f>
        <v>3.121485452255822E-3</v>
      </c>
      <c r="I68" s="13">
        <f t="shared" ref="I68" si="43">SUM(I69:I71)</f>
        <v>0.17152781275482187</v>
      </c>
      <c r="J68" s="13">
        <f t="shared" ref="J68" si="44">SUM(J69:J71)</f>
        <v>6.6984472154222501E-3</v>
      </c>
      <c r="K68" s="13">
        <f t="shared" ref="K68" si="45">SUM(K69:K71)</f>
        <v>1.51711244150665E-3</v>
      </c>
    </row>
    <row r="69" spans="1:11">
      <c r="A69" s="5" t="s">
        <v>5</v>
      </c>
      <c r="B69" s="5" t="str">
        <f>B68</f>
        <v>SPS1</v>
      </c>
      <c r="C69" s="5" t="str">
        <f>C68</f>
        <v>CH</v>
      </c>
      <c r="D69" t="s">
        <v>34</v>
      </c>
      <c r="E69" t="str">
        <f>E59</f>
        <v>PJ/yr.</v>
      </c>
      <c r="F69" s="13">
        <f>'[1]Electricity and CHPs'!B18</f>
        <v>3.9600053344282612E-2</v>
      </c>
      <c r="G69" s="13">
        <f>'[1]Electricity and CHPs'!C18</f>
        <v>0</v>
      </c>
      <c r="H69" s="13">
        <f>'[1]Electricity and CHPs'!D18</f>
        <v>1.3219179757544588E-4</v>
      </c>
      <c r="I69" s="13">
        <f>'[1]Electricity and CHPs'!E18</f>
        <v>1.3325238889307701E-5</v>
      </c>
      <c r="J69" s="13">
        <f>'[1]Electricity and CHPs'!F18</f>
        <v>5.7261640184793495E-5</v>
      </c>
      <c r="K69" s="13">
        <f>'[1]Electricity and CHPs'!G18</f>
        <v>7.0679488442114688E-6</v>
      </c>
    </row>
    <row r="70" spans="1:11">
      <c r="A70" s="5" t="s">
        <v>5</v>
      </c>
      <c r="B70" s="5" t="str">
        <f t="shared" ref="B70:B71" si="46">B69</f>
        <v>SPS1</v>
      </c>
      <c r="C70" s="5" t="str">
        <f t="shared" ref="C70:C71" si="47">C69</f>
        <v>CH</v>
      </c>
      <c r="D70" t="s">
        <v>230</v>
      </c>
      <c r="E70" t="str">
        <f>E124</f>
        <v>PJ/yr.</v>
      </c>
      <c r="F70" s="13">
        <f>'[1]Electricity and CHPs'!B28</f>
        <v>1.8000533663101483E-3</v>
      </c>
      <c r="G70" s="13">
        <f>'[1]Electricity and CHPs'!C28</f>
        <v>0</v>
      </c>
      <c r="H70" s="13">
        <f>'[1]Electricity and CHPs'!D28</f>
        <v>5.374850071596484E-5</v>
      </c>
      <c r="I70" s="13">
        <f>'[1]Electricity and CHPs'!E28</f>
        <v>8.339164609199021E-6</v>
      </c>
      <c r="J70" s="13">
        <f>'[1]Electricity and CHPs'!F28</f>
        <v>1.4893998187853581E-5</v>
      </c>
      <c r="K70" s="13">
        <f>'[1]Electricity and CHPs'!G28</f>
        <v>0</v>
      </c>
    </row>
    <row r="71" spans="1:11">
      <c r="A71" s="5" t="s">
        <v>5</v>
      </c>
      <c r="B71" s="5" t="str">
        <f t="shared" si="46"/>
        <v>SPS1</v>
      </c>
      <c r="C71" s="5" t="str">
        <f t="shared" si="47"/>
        <v>CH</v>
      </c>
      <c r="D71" t="s">
        <v>40</v>
      </c>
      <c r="E71" t="str">
        <f>E79</f>
        <v>PJ/yr.</v>
      </c>
      <c r="F71" s="13">
        <f>'[1]Electricity and CHPs'!B41</f>
        <v>7.0500054520267086E-2</v>
      </c>
      <c r="G71" s="13">
        <f>'[1]Electricity and CHPs'!C41</f>
        <v>0.17152756761400367</v>
      </c>
      <c r="H71" s="13">
        <f>'[1]Electricity and CHPs'!D41</f>
        <v>2.9355451539644114E-3</v>
      </c>
      <c r="I71" s="13">
        <f>'[1]Electricity and CHPs'!E41</f>
        <v>0.17150614835132336</v>
      </c>
      <c r="J71" s="13">
        <f>'[1]Electricity and CHPs'!F41</f>
        <v>6.6262915770496028E-3</v>
      </c>
      <c r="K71" s="13">
        <f>'[1]Electricity and CHPs'!G41</f>
        <v>1.5100444926624385E-3</v>
      </c>
    </row>
    <row r="72" spans="1:11">
      <c r="A72" s="5" t="s">
        <v>5</v>
      </c>
      <c r="B72" s="5" t="str">
        <f>B67</f>
        <v>SPS1</v>
      </c>
      <c r="C72" s="5" t="str">
        <f>C67</f>
        <v>CH</v>
      </c>
      <c r="D72" t="s">
        <v>826</v>
      </c>
      <c r="E72" t="str">
        <f>E67</f>
        <v>PJ/yr.</v>
      </c>
      <c r="F72" s="13">
        <f>SUM(F73:F75)</f>
        <v>0.11190016123085984</v>
      </c>
      <c r="G72" s="13">
        <f t="shared" ref="G72:K72" si="48">SUM(G73:G75)</f>
        <v>0.17152756761400367</v>
      </c>
      <c r="H72" s="13">
        <f t="shared" si="48"/>
        <v>3.121485452255822E-3</v>
      </c>
      <c r="I72" s="13">
        <f t="shared" si="48"/>
        <v>0.17152781275482187</v>
      </c>
      <c r="J72" s="13">
        <f t="shared" si="48"/>
        <v>6.6984472154222501E-3</v>
      </c>
      <c r="K72" s="13">
        <f t="shared" si="48"/>
        <v>1.51711244150665E-3</v>
      </c>
    </row>
    <row r="73" spans="1:11">
      <c r="A73" s="5" t="s">
        <v>5</v>
      </c>
      <c r="B73" s="5" t="str">
        <f>B72</f>
        <v>SPS1</v>
      </c>
      <c r="C73" s="5" t="str">
        <f>C72</f>
        <v>CH</v>
      </c>
      <c r="D73" t="s">
        <v>519</v>
      </c>
      <c r="E73" t="str">
        <f>E67</f>
        <v>PJ/yr.</v>
      </c>
      <c r="F73" s="13">
        <f>F69</f>
        <v>3.9600053344282612E-2</v>
      </c>
      <c r="G73" s="13">
        <f t="shared" ref="G73:K73" si="49">G69</f>
        <v>0</v>
      </c>
      <c r="H73" s="13">
        <f t="shared" si="49"/>
        <v>1.3219179757544588E-4</v>
      </c>
      <c r="I73" s="13">
        <f t="shared" si="49"/>
        <v>1.3325238889307701E-5</v>
      </c>
      <c r="J73" s="13">
        <f t="shared" si="49"/>
        <v>5.7261640184793495E-5</v>
      </c>
      <c r="K73" s="13">
        <f t="shared" si="49"/>
        <v>7.0679488442114688E-6</v>
      </c>
    </row>
    <row r="74" spans="1:11">
      <c r="A74" s="5" t="s">
        <v>5</v>
      </c>
      <c r="B74" s="5" t="str">
        <f t="shared" si="37"/>
        <v>SPS1</v>
      </c>
      <c r="C74" s="5" t="str">
        <f t="shared" si="38"/>
        <v>CH</v>
      </c>
      <c r="D74" t="s">
        <v>520</v>
      </c>
      <c r="E74" t="str">
        <f>E132</f>
        <v>PJ/yr.</v>
      </c>
      <c r="F74" s="13">
        <f>'[1]Electricity and CHPs'!B28</f>
        <v>1.8000533663101483E-3</v>
      </c>
      <c r="G74" s="13">
        <f>'[1]Electricity and CHPs'!C28</f>
        <v>0</v>
      </c>
      <c r="H74" s="13">
        <f>'[1]Electricity and CHPs'!D28</f>
        <v>5.374850071596484E-5</v>
      </c>
      <c r="I74" s="13">
        <f>'[1]Electricity and CHPs'!E28</f>
        <v>8.339164609199021E-6</v>
      </c>
      <c r="J74" s="13">
        <f>'[1]Electricity and CHPs'!F28</f>
        <v>1.4893998187853581E-5</v>
      </c>
      <c r="K74" s="13">
        <f>'[1]Electricity and CHPs'!G28</f>
        <v>0</v>
      </c>
    </row>
    <row r="75" spans="1:11">
      <c r="A75" s="5" t="s">
        <v>5</v>
      </c>
      <c r="B75" s="5" t="str">
        <f t="shared" si="37"/>
        <v>SPS1</v>
      </c>
      <c r="C75" s="5" t="str">
        <f t="shared" si="38"/>
        <v>CH</v>
      </c>
      <c r="D75" t="s">
        <v>521</v>
      </c>
      <c r="E75" t="str">
        <f>E87</f>
        <v>PJ/yr.</v>
      </c>
      <c r="F75" s="13">
        <f>'[1]Electricity and CHPs'!B41</f>
        <v>7.0500054520267086E-2</v>
      </c>
      <c r="G75" s="13">
        <f>'[1]Electricity and CHPs'!C41</f>
        <v>0.17152756761400367</v>
      </c>
      <c r="H75" s="13">
        <f>'[1]Electricity and CHPs'!D41</f>
        <v>2.9355451539644114E-3</v>
      </c>
      <c r="I75" s="13">
        <f>'[1]Electricity and CHPs'!E41</f>
        <v>0.17150614835132336</v>
      </c>
      <c r="J75" s="13">
        <f>'[1]Electricity and CHPs'!F41</f>
        <v>6.6262915770496028E-3</v>
      </c>
      <c r="K75" s="13">
        <f>'[1]Electricity and CHPs'!G41</f>
        <v>1.5100444926624385E-3</v>
      </c>
    </row>
    <row r="76" spans="1:11">
      <c r="A76" s="5" t="s">
        <v>5</v>
      </c>
      <c r="B76" s="5" t="str">
        <f t="shared" ref="B76:C77" si="50">B74</f>
        <v>SPS1</v>
      </c>
      <c r="C76" s="5" t="str">
        <f t="shared" si="50"/>
        <v>CH</v>
      </c>
      <c r="D76" t="s">
        <v>827</v>
      </c>
      <c r="E76" t="str">
        <f>E73</f>
        <v>PJ/yr.</v>
      </c>
      <c r="F76" s="13">
        <f>SUM(F77:F79)</f>
        <v>0</v>
      </c>
      <c r="G76" s="13">
        <f t="shared" ref="G76:K76" si="51">SUM(G77:G79)</f>
        <v>0</v>
      </c>
      <c r="H76" s="13">
        <f t="shared" si="51"/>
        <v>0</v>
      </c>
      <c r="I76" s="13">
        <f t="shared" si="51"/>
        <v>0</v>
      </c>
      <c r="J76" s="13">
        <f t="shared" si="51"/>
        <v>0</v>
      </c>
      <c r="K76" s="13">
        <f t="shared" si="51"/>
        <v>0</v>
      </c>
    </row>
    <row r="77" spans="1:11">
      <c r="A77" s="5" t="s">
        <v>5</v>
      </c>
      <c r="B77" s="5" t="str">
        <f t="shared" si="50"/>
        <v>SPS1</v>
      </c>
      <c r="C77" s="5" t="str">
        <f t="shared" si="50"/>
        <v>CH</v>
      </c>
      <c r="D77" t="s">
        <v>543</v>
      </c>
      <c r="E77" t="str">
        <f>E74</f>
        <v>PJ/yr.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</row>
    <row r="78" spans="1:11">
      <c r="A78" s="5" t="s">
        <v>5</v>
      </c>
      <c r="B78" s="5" t="str">
        <f t="shared" si="37"/>
        <v>SPS1</v>
      </c>
      <c r="C78" s="5" t="str">
        <f t="shared" si="38"/>
        <v>CH</v>
      </c>
      <c r="D78" t="s">
        <v>544</v>
      </c>
      <c r="E78" t="str">
        <f>E135</f>
        <v>PJ/yr.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</row>
    <row r="79" spans="1:11">
      <c r="A79" s="5" t="s">
        <v>5</v>
      </c>
      <c r="B79" s="5" t="str">
        <f t="shared" si="37"/>
        <v>SPS1</v>
      </c>
      <c r="C79" s="5" t="str">
        <f t="shared" si="38"/>
        <v>CH</v>
      </c>
      <c r="D79" t="s">
        <v>545</v>
      </c>
      <c r="E79" t="str">
        <f>E90</f>
        <v>PJ/yr.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</row>
    <row r="80" spans="1:11">
      <c r="A80" s="5" t="s">
        <v>5</v>
      </c>
      <c r="B80" s="5" t="str">
        <f t="shared" si="37"/>
        <v>SPS1</v>
      </c>
      <c r="C80" s="5" t="str">
        <f t="shared" si="38"/>
        <v>CH</v>
      </c>
      <c r="D80" t="s">
        <v>828</v>
      </c>
      <c r="E80" t="str">
        <f>E129</f>
        <v>PJ/yr.</v>
      </c>
      <c r="F80" s="13">
        <f>SUM(F81:F95)</f>
        <v>3.2298097107842345</v>
      </c>
      <c r="G80" s="13">
        <f t="shared" ref="G80:K80" si="52">SUM(G81:G95)</f>
        <v>1.811083490720061</v>
      </c>
      <c r="H80" s="13">
        <f t="shared" si="52"/>
        <v>1.7740125194824647</v>
      </c>
      <c r="I80" s="13">
        <f t="shared" si="52"/>
        <v>2.0662347995823924</v>
      </c>
      <c r="J80" s="13">
        <f t="shared" si="52"/>
        <v>2.2814186001128327</v>
      </c>
      <c r="K80" s="13">
        <f t="shared" si="52"/>
        <v>2.8146456346856805</v>
      </c>
    </row>
    <row r="81" spans="1:11">
      <c r="A81" s="5" t="s">
        <v>5</v>
      </c>
      <c r="B81" s="5" t="str">
        <f t="shared" si="37"/>
        <v>SPS1</v>
      </c>
      <c r="C81" s="5" t="str">
        <f t="shared" si="38"/>
        <v>CH</v>
      </c>
      <c r="D81" t="s">
        <v>35</v>
      </c>
      <c r="E81" t="str">
        <f>E130</f>
        <v>PJ/yr.</v>
      </c>
      <c r="F81" s="13">
        <f>'[1]Electricity and CHPs'!B21</f>
        <v>0</v>
      </c>
      <c r="G81" s="13">
        <f>'[1]Electricity and CHPs'!C21</f>
        <v>0</v>
      </c>
      <c r="H81" s="13">
        <f>'[1]Electricity and CHPs'!D21</f>
        <v>0</v>
      </c>
      <c r="I81" s="13">
        <f>'[1]Electricity and CHPs'!E21</f>
        <v>0</v>
      </c>
      <c r="J81" s="13">
        <f>'[1]Electricity and CHPs'!F21</f>
        <v>5.388477855123912E-4</v>
      </c>
      <c r="K81" s="13">
        <f>'[1]Electricity and CHPs'!G21</f>
        <v>2.2641676311486105E-5</v>
      </c>
    </row>
    <row r="82" spans="1:11">
      <c r="A82" s="5" t="s">
        <v>5</v>
      </c>
      <c r="B82" s="5" t="str">
        <f t="shared" si="37"/>
        <v>SPS1</v>
      </c>
      <c r="C82" s="5" t="str">
        <f t="shared" si="38"/>
        <v>CH</v>
      </c>
      <c r="D82" t="s">
        <v>36</v>
      </c>
      <c r="E82" t="str">
        <f>E81</f>
        <v>PJ/yr.</v>
      </c>
      <c r="F82" s="13">
        <f>'[1]Electricity and CHPs'!B22</f>
        <v>0</v>
      </c>
      <c r="G82" s="13">
        <f>'[1]Electricity and CHPs'!C22</f>
        <v>0</v>
      </c>
      <c r="H82" s="13">
        <f>'[1]Electricity and CHPs'!D22</f>
        <v>1.2634278352735299E-4</v>
      </c>
      <c r="I82" s="13">
        <f>'[1]Electricity and CHPs'!E22</f>
        <v>5.9082339857390543E-5</v>
      </c>
      <c r="J82" s="13">
        <f>'[1]Electricity and CHPs'!F22</f>
        <v>5.0219256293361339E-2</v>
      </c>
      <c r="K82" s="13">
        <f>'[1]Electricity and CHPs'!G22</f>
        <v>1.602491981564249E-2</v>
      </c>
    </row>
    <row r="83" spans="1:11">
      <c r="A83" s="5" t="s">
        <v>5</v>
      </c>
      <c r="B83" s="5" t="str">
        <f t="shared" si="37"/>
        <v>SPS1</v>
      </c>
      <c r="C83" s="5" t="str">
        <f t="shared" si="38"/>
        <v>CH</v>
      </c>
      <c r="D83" t="s">
        <v>37</v>
      </c>
      <c r="E83" t="str">
        <f>E82</f>
        <v>PJ/yr.</v>
      </c>
      <c r="F83" s="13">
        <f>'[1]Electricity and CHPs'!B23</f>
        <v>0</v>
      </c>
      <c r="G83" s="13">
        <f>'[1]Electricity and CHPs'!C23</f>
        <v>0</v>
      </c>
      <c r="H83" s="13">
        <f>'[1]Electricity and CHPs'!D23</f>
        <v>0</v>
      </c>
      <c r="I83" s="13">
        <f>'[1]Electricity and CHPs'!E23</f>
        <v>0</v>
      </c>
      <c r="J83" s="13">
        <f>'[1]Electricity and CHPs'!F23</f>
        <v>1.9609300544002302E-4</v>
      </c>
      <c r="K83" s="13">
        <f>'[1]Electricity and CHPs'!G23</f>
        <v>1.7696309616671606E-4</v>
      </c>
    </row>
    <row r="84" spans="1:11">
      <c r="A84" s="5" t="s">
        <v>5</v>
      </c>
      <c r="B84" s="5" t="str">
        <f t="shared" si="37"/>
        <v>SPS1</v>
      </c>
      <c r="C84" s="5" t="str">
        <f t="shared" si="38"/>
        <v>CH</v>
      </c>
      <c r="D84" t="s">
        <v>38</v>
      </c>
      <c r="E84" t="str">
        <f>E83</f>
        <v>PJ/yr.</v>
      </c>
      <c r="F84" s="13">
        <f>'[1]Electricity and CHPs'!B24</f>
        <v>0.96588003501536424</v>
      </c>
      <c r="G84" s="13">
        <f>'[1]Electricity and CHPs'!C24</f>
        <v>0</v>
      </c>
      <c r="H84" s="13">
        <f>'[1]Electricity and CHPs'!D24</f>
        <v>2.5187597798482647E-2</v>
      </c>
      <c r="I84" s="13">
        <f>'[1]Electricity and CHPs'!E24</f>
        <v>3.3697122694864669E-2</v>
      </c>
      <c r="J84" s="13">
        <f>'[1]Electricity and CHPs'!F24</f>
        <v>2.2728398051157186E-2</v>
      </c>
      <c r="K84" s="13">
        <f>'[1]Electricity and CHPs'!G24</f>
        <v>5.2304589041500021E-6</v>
      </c>
    </row>
    <row r="85" spans="1:11">
      <c r="A85" s="5" t="s">
        <v>5</v>
      </c>
      <c r="B85" s="5" t="str">
        <f t="shared" si="37"/>
        <v>SPS1</v>
      </c>
      <c r="C85" s="5" t="str">
        <f t="shared" si="38"/>
        <v>CH</v>
      </c>
      <c r="D85" t="s">
        <v>39</v>
      </c>
      <c r="E85" t="str">
        <f>E74</f>
        <v>PJ/yr.</v>
      </c>
      <c r="F85" s="13">
        <f>'[1]Electricity and CHPs'!B29</f>
        <v>0</v>
      </c>
      <c r="G85" s="13">
        <f>'[1]Electricity and CHPs'!C29</f>
        <v>0</v>
      </c>
      <c r="H85" s="13">
        <f>'[1]Electricity and CHPs'!D29</f>
        <v>0</v>
      </c>
      <c r="I85" s="13">
        <f>'[1]Electricity and CHPs'!E29</f>
        <v>0</v>
      </c>
      <c r="J85" s="13">
        <f>'[1]Electricity and CHPs'!F29</f>
        <v>0.11169209867542626</v>
      </c>
      <c r="K85" s="13">
        <f>'[1]Electricity and CHPs'!G29</f>
        <v>1.9662543904164352E-5</v>
      </c>
    </row>
    <row r="86" spans="1:11">
      <c r="A86" s="5" t="s">
        <v>5</v>
      </c>
      <c r="B86" s="5" t="str">
        <f t="shared" si="37"/>
        <v>SPS1</v>
      </c>
      <c r="C86" s="5" t="str">
        <f t="shared" si="38"/>
        <v>CH</v>
      </c>
      <c r="D86" t="s">
        <v>41</v>
      </c>
      <c r="E86" t="str">
        <f>E164</f>
        <v>PJ/yr.</v>
      </c>
      <c r="F86" s="13">
        <f>'[1]Electricity and CHPs'!B39</f>
        <v>0.66996026644738682</v>
      </c>
      <c r="G86" s="13">
        <f>'[1]Electricity and CHPs'!C39</f>
        <v>7.7717200975104664E-2</v>
      </c>
      <c r="H86" s="13">
        <f>'[1]Electricity and CHPs'!D39</f>
        <v>4.9432759402300894E-2</v>
      </c>
      <c r="I86" s="13">
        <f>'[1]Electricity and CHPs'!E39</f>
        <v>0.11041803947898006</v>
      </c>
      <c r="J86" s="13">
        <f>'[1]Electricity and CHPs'!F39</f>
        <v>1.3664430018864859E-2</v>
      </c>
      <c r="K86" s="13">
        <f>'[1]Electricity and CHPs'!G39</f>
        <v>0.16419328724621396</v>
      </c>
    </row>
    <row r="87" spans="1:11">
      <c r="A87" s="5" t="s">
        <v>5</v>
      </c>
      <c r="B87" s="5" t="str">
        <f t="shared" si="37"/>
        <v>SPS1</v>
      </c>
      <c r="C87" s="5" t="str">
        <f t="shared" si="38"/>
        <v>CH</v>
      </c>
      <c r="D87" t="s">
        <v>42</v>
      </c>
      <c r="E87" t="str">
        <f>E86</f>
        <v>PJ/yr.</v>
      </c>
      <c r="F87" s="13">
        <f>'[1]Electricity and CHPs'!B40</f>
        <v>0</v>
      </c>
      <c r="G87" s="13">
        <f>'[1]Electricity and CHPs'!C40</f>
        <v>0</v>
      </c>
      <c r="H87" s="13">
        <f>'[1]Electricity and CHPs'!D40</f>
        <v>0</v>
      </c>
      <c r="I87" s="13">
        <f>'[1]Electricity and CHPs'!E40</f>
        <v>0</v>
      </c>
      <c r="J87" s="13">
        <f>'[1]Electricity and CHPs'!F40</f>
        <v>2.2595170336053808E-5</v>
      </c>
      <c r="K87" s="13">
        <f>'[1]Electricity and CHPs'!G40</f>
        <v>9.4935765341038383E-2</v>
      </c>
    </row>
    <row r="88" spans="1:11">
      <c r="A88" s="5" t="s">
        <v>5</v>
      </c>
      <c r="B88" s="5" t="str">
        <f t="shared" si="37"/>
        <v>SPS1</v>
      </c>
      <c r="C88" s="5" t="str">
        <f t="shared" si="38"/>
        <v>CH</v>
      </c>
      <c r="D88" t="s">
        <v>43</v>
      </c>
      <c r="E88" t="str">
        <f>E169</f>
        <v>PJ/yr.</v>
      </c>
      <c r="F88" s="13">
        <f>'[1]Electricity and CHPs'!B47</f>
        <v>0</v>
      </c>
      <c r="G88" s="13">
        <f>'[1]Electricity and CHPs'!C47</f>
        <v>0</v>
      </c>
      <c r="H88" s="13">
        <f>'[1]Electricity and CHPs'!D47</f>
        <v>0</v>
      </c>
      <c r="I88" s="13">
        <f>'[1]Electricity and CHPs'!E47</f>
        <v>1.144808954257194E-5</v>
      </c>
      <c r="J88" s="13">
        <f>'[1]Electricity and CHPs'!F47</f>
        <v>3.9447583084998664E-5</v>
      </c>
      <c r="K88" s="13">
        <f>'[1]Electricity and CHPs'!G47</f>
        <v>1.688498475659516E-5</v>
      </c>
    </row>
    <row r="89" spans="1:11">
      <c r="A89" s="5" t="s">
        <v>5</v>
      </c>
      <c r="B89" s="5" t="str">
        <f t="shared" si="37"/>
        <v>SPS1</v>
      </c>
      <c r="C89" s="5" t="str">
        <f t="shared" si="38"/>
        <v>CH</v>
      </c>
      <c r="D89" t="s">
        <v>44</v>
      </c>
      <c r="E89" t="str">
        <f>E88</f>
        <v>PJ/yr.</v>
      </c>
      <c r="F89" s="13">
        <f>'[1]Electricity and CHPs'!B48</f>
        <v>1.2587273303933739E-2</v>
      </c>
      <c r="G89" s="13">
        <f>'[1]Electricity and CHPs'!C48</f>
        <v>3.6977358771239161E-4</v>
      </c>
      <c r="H89" s="13">
        <f>'[1]Electricity and CHPs'!D48</f>
        <v>4.2116817568065544E-4</v>
      </c>
      <c r="I89" s="13">
        <f>'[1]Electricity and CHPs'!E48</f>
        <v>4.2108762879084215E-4</v>
      </c>
      <c r="J89" s="13">
        <f>'[1]Electricity and CHPs'!F48</f>
        <v>8.4162745339604961E-4</v>
      </c>
      <c r="K89" s="13">
        <f>'[1]Electricity and CHPs'!G48</f>
        <v>6.2102249615307559E-4</v>
      </c>
    </row>
    <row r="90" spans="1:11">
      <c r="A90" s="5" t="s">
        <v>5</v>
      </c>
      <c r="B90" s="5" t="str">
        <f t="shared" si="37"/>
        <v>SPS1</v>
      </c>
      <c r="C90" s="5" t="str">
        <f t="shared" si="38"/>
        <v>CH</v>
      </c>
      <c r="D90" t="s">
        <v>45</v>
      </c>
      <c r="E90" t="str">
        <f>E89</f>
        <v>PJ/yr.</v>
      </c>
      <c r="F90" s="13">
        <f>'[1]Electricity and CHPs'!B49</f>
        <v>0</v>
      </c>
      <c r="G90" s="13">
        <f>'[1]Electricity and CHPs'!C49</f>
        <v>0</v>
      </c>
      <c r="H90" s="13">
        <f>'[1]Electricity and CHPs'!D49</f>
        <v>0</v>
      </c>
      <c r="I90" s="13">
        <f>'[1]Electricity and CHPs'!E49</f>
        <v>2.4540608592984893E-6</v>
      </c>
      <c r="J90" s="13">
        <f>'[1]Electricity and CHPs'!F49</f>
        <v>1.1399403704084644E-5</v>
      </c>
      <c r="K90" s="13">
        <f>'[1]Electricity and CHPs'!G49</f>
        <v>6.77075210431618E-6</v>
      </c>
    </row>
    <row r="91" spans="1:11">
      <c r="A91" s="5" t="s">
        <v>5</v>
      </c>
      <c r="B91" s="5" t="str">
        <f t="shared" si="37"/>
        <v>SPS1</v>
      </c>
      <c r="C91" s="5" t="str">
        <f t="shared" si="38"/>
        <v>CH</v>
      </c>
      <c r="D91" t="s">
        <v>46</v>
      </c>
      <c r="E91" t="str">
        <f>E154</f>
        <v>PJ/yr.</v>
      </c>
      <c r="F91" s="13">
        <f>'[1]Electricity and CHPs'!B51</f>
        <v>2.7621812261934216E-2</v>
      </c>
      <c r="G91" s="13">
        <f>'[1]Electricity and CHPs'!C51</f>
        <v>1.2031196999418591E-3</v>
      </c>
      <c r="H91" s="13">
        <f>'[1]Electricity and CHPs'!D51</f>
        <v>1.7040707929786205E-3</v>
      </c>
      <c r="I91" s="13">
        <f>'[1]Electricity and CHPs'!E51</f>
        <v>0.24779058321931752</v>
      </c>
      <c r="J91" s="13">
        <f>'[1]Electricity and CHPs'!F51</f>
        <v>0.38637880194351271</v>
      </c>
      <c r="K91" s="13">
        <f>'[1]Electricity and CHPs'!G51</f>
        <v>0.39609235280094851</v>
      </c>
    </row>
    <row r="92" spans="1:11">
      <c r="A92" s="5" t="s">
        <v>5</v>
      </c>
      <c r="B92" s="5" t="str">
        <f t="shared" si="37"/>
        <v>SPS1</v>
      </c>
      <c r="C92" s="5" t="str">
        <f t="shared" si="38"/>
        <v>CH</v>
      </c>
      <c r="D92" t="s">
        <v>47</v>
      </c>
      <c r="E92" t="str">
        <f>E91</f>
        <v>PJ/yr.</v>
      </c>
      <c r="F92" s="13">
        <f>'[1]Electricity and CHPs'!B52</f>
        <v>0</v>
      </c>
      <c r="G92" s="13">
        <f>'[1]Electricity and CHPs'!C52</f>
        <v>0</v>
      </c>
      <c r="H92" s="13">
        <f>'[1]Electricity and CHPs'!D52</f>
        <v>0</v>
      </c>
      <c r="I92" s="13">
        <f>'[1]Electricity and CHPs'!E52</f>
        <v>2.0485582875753981E-5</v>
      </c>
      <c r="J92" s="13">
        <f>'[1]Electricity and CHPs'!F52</f>
        <v>7.0960038711436073E-5</v>
      </c>
      <c r="K92" s="13">
        <f>'[1]Electricity and CHPs'!G52</f>
        <v>6.9057001242471441E-4</v>
      </c>
    </row>
    <row r="93" spans="1:11">
      <c r="A93" s="5" t="s">
        <v>5</v>
      </c>
      <c r="B93" s="5" t="str">
        <f t="shared" si="37"/>
        <v>SPS1</v>
      </c>
      <c r="C93" s="5" t="str">
        <f t="shared" si="38"/>
        <v>CH</v>
      </c>
      <c r="D93" t="s">
        <v>85</v>
      </c>
      <c r="E93" t="str">
        <f>E155</f>
        <v>PJ/yr.</v>
      </c>
      <c r="F93" s="13">
        <f>'[1]Electricity and CHPs'!B54</f>
        <v>0.95936405744582232</v>
      </c>
      <c r="G93" s="13">
        <f>'[1]Electricity and CHPs'!C54</f>
        <v>1.1059335749311869</v>
      </c>
      <c r="H93" s="13">
        <f>'[1]Electricity and CHPs'!D54</f>
        <v>1.1733412946902979</v>
      </c>
      <c r="I93" s="13">
        <f>'[1]Electricity and CHPs'!E54</f>
        <v>1.1733413942848772</v>
      </c>
      <c r="J93" s="13">
        <f>'[1]Electricity and CHPs'!F54</f>
        <v>1.5101147532576003</v>
      </c>
      <c r="K93" s="13">
        <f>'[1]Electricity and CHPs'!G54</f>
        <v>2.1417540155143486</v>
      </c>
    </row>
    <row r="94" spans="1:11">
      <c r="A94" s="5" t="s">
        <v>5</v>
      </c>
      <c r="B94" s="5" t="str">
        <f t="shared" si="37"/>
        <v>SPS1</v>
      </c>
      <c r="C94" s="5" t="str">
        <f t="shared" si="38"/>
        <v>CH</v>
      </c>
      <c r="D94" t="s">
        <v>86</v>
      </c>
      <c r="E94" t="str">
        <f>E93</f>
        <v>PJ/yr.</v>
      </c>
      <c r="F94" s="13">
        <f>'[1]Electricity and CHPs'!B55</f>
        <v>0.59439626630979303</v>
      </c>
      <c r="G94" s="13">
        <f>'[1]Electricity and CHPs'!C55</f>
        <v>0.62585982152611519</v>
      </c>
      <c r="H94" s="13">
        <f>'[1]Electricity and CHPs'!D55</f>
        <v>0.52379928583919666</v>
      </c>
      <c r="I94" s="13">
        <f>'[1]Electricity and CHPs'!E55</f>
        <v>0.50045958489711029</v>
      </c>
      <c r="J94" s="13">
        <f>'[1]Electricity and CHPs'!F55</f>
        <v>0.18486777809046459</v>
      </c>
      <c r="K94" s="13">
        <f>'[1]Electricity and CHPs'!G55</f>
        <v>7.0434101981649237E-5</v>
      </c>
    </row>
    <row r="95" spans="1:11">
      <c r="A95" s="5" t="s">
        <v>5</v>
      </c>
      <c r="B95" s="5" t="str">
        <f t="shared" si="37"/>
        <v>SPS1</v>
      </c>
      <c r="C95" s="5" t="str">
        <f t="shared" si="38"/>
        <v>CH</v>
      </c>
      <c r="D95" t="s">
        <v>89</v>
      </c>
      <c r="E95" t="str">
        <f>E170</f>
        <v>PJ/yr.</v>
      </c>
      <c r="F95" s="13">
        <f>'[1]Electricity and CHPs'!B58</f>
        <v>0</v>
      </c>
      <c r="G95" s="13">
        <f>'[1]Electricity and CHPs'!C58</f>
        <v>0</v>
      </c>
      <c r="H95" s="13">
        <f>'[1]Electricity and CHPs'!D58</f>
        <v>0</v>
      </c>
      <c r="I95" s="13">
        <f>'[1]Electricity and CHPs'!E58</f>
        <v>1.3517305316692983E-5</v>
      </c>
      <c r="J95" s="13">
        <f>'[1]Electricity and CHPs'!F58</f>
        <v>3.2113342260710986E-5</v>
      </c>
      <c r="K95" s="13">
        <f>'[1]Electricity and CHPs'!G58</f>
        <v>1.5113844782138129E-5</v>
      </c>
    </row>
    <row r="96" spans="1:11">
      <c r="A96" s="5" t="s">
        <v>5</v>
      </c>
      <c r="B96" s="5" t="str">
        <f t="shared" ref="B96:B111" si="53">B95</f>
        <v>SPS1</v>
      </c>
      <c r="C96" s="5" t="str">
        <f t="shared" ref="C96:C111" si="54">C95</f>
        <v>CH</v>
      </c>
      <c r="D96" t="s">
        <v>829</v>
      </c>
      <c r="E96" t="str">
        <f t="shared" ref="E96:E106" si="55">E171</f>
        <v>PJ/yr.</v>
      </c>
      <c r="F96" s="13">
        <f>F80-F112</f>
        <v>2.2139820254560076</v>
      </c>
      <c r="G96" s="13">
        <f t="shared" ref="G96:K96" si="56">G80-G112</f>
        <v>0.59998409938686548</v>
      </c>
      <c r="H96" s="13">
        <f t="shared" si="56"/>
        <v>0.57941431633462193</v>
      </c>
      <c r="I96" s="13">
        <f t="shared" si="56"/>
        <v>0.8776845204920265</v>
      </c>
      <c r="J96" s="13">
        <f t="shared" si="56"/>
        <v>0.7654674447756713</v>
      </c>
      <c r="K96" s="13">
        <f t="shared" si="56"/>
        <v>0.47298998865371944</v>
      </c>
    </row>
    <row r="97" spans="1:11">
      <c r="A97" s="5" t="s">
        <v>5</v>
      </c>
      <c r="B97" s="5" t="str">
        <f t="shared" si="53"/>
        <v>SPS1</v>
      </c>
      <c r="C97" s="5" t="str">
        <f t="shared" si="54"/>
        <v>CH</v>
      </c>
      <c r="D97" t="s">
        <v>557</v>
      </c>
      <c r="E97" t="str">
        <f t="shared" si="55"/>
        <v>PJ/yr.</v>
      </c>
      <c r="F97" s="13">
        <f t="shared" ref="F97:K97" si="57">F81-F113</f>
        <v>0</v>
      </c>
      <c r="G97" s="13">
        <f t="shared" si="57"/>
        <v>0</v>
      </c>
      <c r="H97" s="13">
        <f t="shared" si="57"/>
        <v>0</v>
      </c>
      <c r="I97" s="13">
        <f t="shared" si="57"/>
        <v>0</v>
      </c>
      <c r="J97" s="13">
        <f t="shared" si="57"/>
        <v>5.347703621353992E-4</v>
      </c>
      <c r="K97" s="13">
        <f t="shared" si="57"/>
        <v>1.5915321155076233E-5</v>
      </c>
    </row>
    <row r="98" spans="1:11">
      <c r="A98" s="5" t="s">
        <v>5</v>
      </c>
      <c r="B98" s="5" t="str">
        <f t="shared" si="53"/>
        <v>SPS1</v>
      </c>
      <c r="C98" s="5" t="str">
        <f t="shared" si="54"/>
        <v>CH</v>
      </c>
      <c r="D98" t="s">
        <v>558</v>
      </c>
      <c r="E98" t="str">
        <f t="shared" si="55"/>
        <v>PJ/yr.</v>
      </c>
      <c r="F98" s="13">
        <f t="shared" ref="F98:K98" si="58">F82-F114</f>
        <v>0</v>
      </c>
      <c r="G98" s="13">
        <f t="shared" si="58"/>
        <v>0</v>
      </c>
      <c r="H98" s="13">
        <f t="shared" si="58"/>
        <v>1.2187169040208865E-4</v>
      </c>
      <c r="I98" s="13">
        <f t="shared" si="58"/>
        <v>5.8075975048782311E-5</v>
      </c>
      <c r="J98" s="13">
        <f t="shared" si="58"/>
        <v>4.9839250705343584E-2</v>
      </c>
      <c r="K98" s="13">
        <f t="shared" si="58"/>
        <v>1.1264260730594083E-2</v>
      </c>
    </row>
    <row r="99" spans="1:11">
      <c r="A99" s="5" t="s">
        <v>5</v>
      </c>
      <c r="B99" s="5" t="str">
        <f t="shared" si="53"/>
        <v>SPS1</v>
      </c>
      <c r="C99" s="5" t="str">
        <f t="shared" si="54"/>
        <v>CH</v>
      </c>
      <c r="D99" t="s">
        <v>559</v>
      </c>
      <c r="E99" t="str">
        <f t="shared" si="55"/>
        <v>PJ/yr.</v>
      </c>
      <c r="F99" s="13">
        <f t="shared" ref="F99:K99" si="59">F83-F115</f>
        <v>0</v>
      </c>
      <c r="G99" s="13">
        <f t="shared" si="59"/>
        <v>0</v>
      </c>
      <c r="H99" s="13">
        <f t="shared" si="59"/>
        <v>0</v>
      </c>
      <c r="I99" s="13">
        <f t="shared" si="59"/>
        <v>0</v>
      </c>
      <c r="J99" s="13">
        <f t="shared" si="59"/>
        <v>1.9460918342953547E-4</v>
      </c>
      <c r="K99" s="13">
        <f t="shared" si="59"/>
        <v>1.2439116562500965E-4</v>
      </c>
    </row>
    <row r="100" spans="1:11">
      <c r="A100" s="5" t="s">
        <v>5</v>
      </c>
      <c r="B100" s="5" t="str">
        <f t="shared" si="53"/>
        <v>SPS1</v>
      </c>
      <c r="C100" s="5" t="str">
        <f t="shared" si="54"/>
        <v>CH</v>
      </c>
      <c r="D100" t="s">
        <v>560</v>
      </c>
      <c r="E100" t="str">
        <f t="shared" si="55"/>
        <v>PJ/yr.</v>
      </c>
      <c r="F100" s="13">
        <f t="shared" ref="F100:K100" si="60">F84-F116</f>
        <v>0.94185960061476037</v>
      </c>
      <c r="G100" s="13">
        <f t="shared" si="60"/>
        <v>0</v>
      </c>
      <c r="H100" s="13">
        <f t="shared" si="60"/>
        <v>2.4296244195098265E-2</v>
      </c>
      <c r="I100" s="13">
        <f t="shared" si="60"/>
        <v>3.3123150869894306E-2</v>
      </c>
      <c r="J100" s="13">
        <f t="shared" si="60"/>
        <v>2.2556413858167985E-2</v>
      </c>
      <c r="K100" s="13">
        <f t="shared" si="60"/>
        <v>3.6766020370031321E-6</v>
      </c>
    </row>
    <row r="101" spans="1:11">
      <c r="A101" s="5" t="s">
        <v>5</v>
      </c>
      <c r="B101" s="5" t="str">
        <f t="shared" si="53"/>
        <v>SPS1</v>
      </c>
      <c r="C101" s="5" t="str">
        <f t="shared" si="54"/>
        <v>CH</v>
      </c>
      <c r="D101" t="s">
        <v>561</v>
      </c>
      <c r="E101" t="str">
        <f t="shared" si="55"/>
        <v>PJ/yr.</v>
      </c>
      <c r="F101" s="13">
        <f t="shared" ref="F101:K101" si="61">F85-F117</f>
        <v>0</v>
      </c>
      <c r="G101" s="13">
        <f t="shared" si="61"/>
        <v>0</v>
      </c>
      <c r="H101" s="13">
        <f t="shared" si="61"/>
        <v>0</v>
      </c>
      <c r="I101" s="13">
        <f t="shared" si="61"/>
        <v>0</v>
      </c>
      <c r="J101" s="13">
        <f t="shared" si="61"/>
        <v>0.11084693240322674</v>
      </c>
      <c r="K101" s="13">
        <f t="shared" si="61"/>
        <v>1.3821224924137357E-5</v>
      </c>
    </row>
    <row r="102" spans="1:11">
      <c r="A102" s="5" t="s">
        <v>5</v>
      </c>
      <c r="B102" s="5" t="str">
        <f t="shared" si="53"/>
        <v>SPS1</v>
      </c>
      <c r="C102" s="5" t="str">
        <f t="shared" si="54"/>
        <v>CH</v>
      </c>
      <c r="D102" t="s">
        <v>562</v>
      </c>
      <c r="E102" t="str">
        <f t="shared" si="55"/>
        <v>PJ/yr.</v>
      </c>
      <c r="F102" s="13">
        <f t="shared" ref="F102:K102" si="62">F86-F118</f>
        <v>0.6532990496835942</v>
      </c>
      <c r="G102" s="13">
        <f t="shared" si="62"/>
        <v>6.6126484297669846E-2</v>
      </c>
      <c r="H102" s="13">
        <f t="shared" si="62"/>
        <v>4.7683403684816453E-2</v>
      </c>
      <c r="I102" s="13">
        <f t="shared" si="62"/>
        <v>0.10853726039278649</v>
      </c>
      <c r="J102" s="13">
        <f t="shared" si="62"/>
        <v>1.3561032235872747E-2</v>
      </c>
      <c r="K102" s="13">
        <f t="shared" si="62"/>
        <v>0.11541499233895103</v>
      </c>
    </row>
    <row r="103" spans="1:11">
      <c r="A103" s="5" t="s">
        <v>5</v>
      </c>
      <c r="B103" s="5" t="str">
        <f t="shared" si="53"/>
        <v>SPS1</v>
      </c>
      <c r="C103" s="5" t="str">
        <f t="shared" si="54"/>
        <v>CH</v>
      </c>
      <c r="D103" t="s">
        <v>563</v>
      </c>
      <c r="E103" t="str">
        <f t="shared" si="55"/>
        <v>PJ/yr.</v>
      </c>
      <c r="F103" s="13">
        <f t="shared" ref="F103:K103" si="63">F87-F119</f>
        <v>0</v>
      </c>
      <c r="G103" s="13">
        <f t="shared" si="63"/>
        <v>0</v>
      </c>
      <c r="H103" s="13">
        <f t="shared" si="63"/>
        <v>0</v>
      </c>
      <c r="I103" s="13">
        <f t="shared" si="63"/>
        <v>0</v>
      </c>
      <c r="J103" s="13">
        <f t="shared" si="63"/>
        <v>2.242419426783496E-5</v>
      </c>
      <c r="K103" s="13">
        <f t="shared" si="63"/>
        <v>6.6732390911316303E-2</v>
      </c>
    </row>
    <row r="104" spans="1:11">
      <c r="A104" s="5" t="s">
        <v>5</v>
      </c>
      <c r="B104" s="5" t="str">
        <f t="shared" si="53"/>
        <v>SPS1</v>
      </c>
      <c r="C104" s="5" t="str">
        <f t="shared" si="54"/>
        <v>CH</v>
      </c>
      <c r="D104" t="s">
        <v>564</v>
      </c>
      <c r="E104" t="str">
        <f t="shared" si="55"/>
        <v>PJ/yr.</v>
      </c>
      <c r="F104" s="13">
        <f t="shared" ref="F104:K104" si="64">F88-F120</f>
        <v>0</v>
      </c>
      <c r="G104" s="13">
        <f t="shared" si="64"/>
        <v>0</v>
      </c>
      <c r="H104" s="13">
        <f t="shared" si="64"/>
        <v>0</v>
      </c>
      <c r="I104" s="13">
        <f t="shared" si="64"/>
        <v>1.1253091266111512E-5</v>
      </c>
      <c r="J104" s="13">
        <f t="shared" si="64"/>
        <v>3.9149085992199703E-5</v>
      </c>
      <c r="K104" s="13">
        <f t="shared" si="64"/>
        <v>1.1868818872013118E-5</v>
      </c>
    </row>
    <row r="105" spans="1:11">
      <c r="A105" s="5" t="s">
        <v>5</v>
      </c>
      <c r="B105" s="5" t="str">
        <f t="shared" si="53"/>
        <v>SPS1</v>
      </c>
      <c r="C105" s="5" t="str">
        <f t="shared" si="54"/>
        <v>CH</v>
      </c>
      <c r="D105" t="s">
        <v>565</v>
      </c>
      <c r="E105" t="str">
        <f t="shared" si="55"/>
        <v>PJ/yr.</v>
      </c>
      <c r="F105" s="13">
        <f t="shared" ref="F105:K105" si="65">F89-F121</f>
        <v>1.2274240875765986E-2</v>
      </c>
      <c r="G105" s="13">
        <f t="shared" si="65"/>
        <v>3.1462568176367055E-4</v>
      </c>
      <c r="H105" s="13">
        <f t="shared" si="65"/>
        <v>4.0626362725855881E-4</v>
      </c>
      <c r="I105" s="13">
        <f t="shared" si="65"/>
        <v>4.1391513406605204E-4</v>
      </c>
      <c r="J105" s="13">
        <f t="shared" si="65"/>
        <v>8.3525891752105833E-4</v>
      </c>
      <c r="K105" s="13">
        <f t="shared" si="65"/>
        <v>4.3653006671547822E-4</v>
      </c>
    </row>
    <row r="106" spans="1:11">
      <c r="A106" s="5" t="s">
        <v>5</v>
      </c>
      <c r="B106" s="5" t="str">
        <f t="shared" si="53"/>
        <v>SPS1</v>
      </c>
      <c r="C106" s="5" t="str">
        <f t="shared" si="54"/>
        <v>CH</v>
      </c>
      <c r="D106" t="s">
        <v>566</v>
      </c>
      <c r="E106" t="str">
        <f t="shared" si="55"/>
        <v>PJ/yr.</v>
      </c>
      <c r="F106" s="13">
        <f t="shared" ref="F106:K106" si="66">F90-F122</f>
        <v>0</v>
      </c>
      <c r="G106" s="13">
        <f t="shared" si="66"/>
        <v>0</v>
      </c>
      <c r="H106" s="13">
        <f t="shared" si="66"/>
        <v>0</v>
      </c>
      <c r="I106" s="13">
        <f t="shared" si="66"/>
        <v>2.4122602046029907E-6</v>
      </c>
      <c r="J106" s="13">
        <f t="shared" si="66"/>
        <v>1.131314521625843E-5</v>
      </c>
      <c r="K106" s="13">
        <f t="shared" si="66"/>
        <v>4.7593072491251151E-6</v>
      </c>
    </row>
    <row r="107" spans="1:11">
      <c r="A107" s="5" t="s">
        <v>5</v>
      </c>
      <c r="B107" s="5" t="str">
        <f t="shared" si="53"/>
        <v>SPS1</v>
      </c>
      <c r="C107" s="5" t="str">
        <f t="shared" si="54"/>
        <v>CH</v>
      </c>
      <c r="D107" t="s">
        <v>567</v>
      </c>
      <c r="E107" t="str">
        <f>E183</f>
        <v>PJ/yr.</v>
      </c>
      <c r="F107" s="13">
        <f t="shared" ref="F107:K107" si="67">F91-F123</f>
        <v>2.6934886447743396E-2</v>
      </c>
      <c r="G107" s="13">
        <f t="shared" si="67"/>
        <v>1.0236868408566031E-3</v>
      </c>
      <c r="H107" s="13">
        <f t="shared" si="67"/>
        <v>1.6437661282028839E-3</v>
      </c>
      <c r="I107" s="13">
        <f t="shared" si="67"/>
        <v>0.24356990198938755</v>
      </c>
      <c r="J107" s="13">
        <f t="shared" si="67"/>
        <v>0.38345510066501426</v>
      </c>
      <c r="K107" s="13">
        <f t="shared" si="67"/>
        <v>0.27842183216349897</v>
      </c>
    </row>
    <row r="108" spans="1:11">
      <c r="A108" s="5" t="s">
        <v>5</v>
      </c>
      <c r="B108" s="5" t="str">
        <f t="shared" si="53"/>
        <v>SPS1</v>
      </c>
      <c r="C108" s="5" t="str">
        <f t="shared" si="54"/>
        <v>CH</v>
      </c>
      <c r="D108" t="s">
        <v>568</v>
      </c>
      <c r="E108" t="str">
        <f>E185</f>
        <v>PJ/yr.</v>
      </c>
      <c r="F108" s="13">
        <f t="shared" ref="F108:K108" si="68">F92-F124</f>
        <v>0</v>
      </c>
      <c r="G108" s="13">
        <f t="shared" si="68"/>
        <v>0</v>
      </c>
      <c r="H108" s="13">
        <f t="shared" si="68"/>
        <v>0</v>
      </c>
      <c r="I108" s="13">
        <f t="shared" si="68"/>
        <v>2.0136646632880933E-5</v>
      </c>
      <c r="J108" s="13">
        <f t="shared" si="68"/>
        <v>7.0423089078435098E-5</v>
      </c>
      <c r="K108" s="13">
        <f t="shared" si="68"/>
        <v>4.8541651141919954E-4</v>
      </c>
    </row>
    <row r="109" spans="1:11">
      <c r="A109" s="5" t="s">
        <v>5</v>
      </c>
      <c r="B109" s="5" t="str">
        <f t="shared" si="53"/>
        <v>SPS1</v>
      </c>
      <c r="C109" s="5" t="str">
        <f t="shared" si="54"/>
        <v>CH</v>
      </c>
      <c r="D109" t="s">
        <v>569</v>
      </c>
      <c r="E109" t="str">
        <f>E187</f>
        <v>PJ/yr.</v>
      </c>
      <c r="F109" s="13">
        <f t="shared" ref="F109:K109" si="69">F93-F125</f>
        <v>0</v>
      </c>
      <c r="G109" s="13">
        <f t="shared" si="69"/>
        <v>0</v>
      </c>
      <c r="H109" s="13">
        <f t="shared" si="69"/>
        <v>0</v>
      </c>
      <c r="I109" s="13">
        <f t="shared" si="69"/>
        <v>0</v>
      </c>
      <c r="J109" s="13">
        <f t="shared" si="69"/>
        <v>0</v>
      </c>
      <c r="K109" s="13">
        <f t="shared" si="69"/>
        <v>0</v>
      </c>
    </row>
    <row r="110" spans="1:11">
      <c r="A110" s="5" t="s">
        <v>5</v>
      </c>
      <c r="B110" s="5" t="str">
        <f t="shared" si="53"/>
        <v>SPS1</v>
      </c>
      <c r="C110" s="5" t="str">
        <f t="shared" si="54"/>
        <v>CH</v>
      </c>
      <c r="D110" t="s">
        <v>570</v>
      </c>
      <c r="E110" t="str">
        <f>E188</f>
        <v>PJ/yr.</v>
      </c>
      <c r="F110" s="13">
        <f t="shared" ref="F110:K110" si="70">F94-F126</f>
        <v>0.57961424783414339</v>
      </c>
      <c r="G110" s="13">
        <f t="shared" si="70"/>
        <v>0.53251930256657543</v>
      </c>
      <c r="H110" s="13">
        <f t="shared" si="70"/>
        <v>0.50526276700884354</v>
      </c>
      <c r="I110" s="13">
        <f t="shared" si="70"/>
        <v>0.49193512707118792</v>
      </c>
      <c r="J110" s="13">
        <f t="shared" si="70"/>
        <v>0.18346889658755214</v>
      </c>
      <c r="K110" s="13">
        <f t="shared" si="70"/>
        <v>4.9509644864000899E-5</v>
      </c>
    </row>
    <row r="111" spans="1:11">
      <c r="A111" s="5" t="s">
        <v>5</v>
      </c>
      <c r="B111" s="5" t="str">
        <f t="shared" si="53"/>
        <v>SPS1</v>
      </c>
      <c r="C111" s="5" t="str">
        <f t="shared" si="54"/>
        <v>CH</v>
      </c>
      <c r="D111" t="s">
        <v>571</v>
      </c>
      <c r="E111" t="str">
        <f>E193</f>
        <v>PJ/yr.</v>
      </c>
      <c r="F111" s="13">
        <f t="shared" ref="F111:K111" si="71">F95-F127</f>
        <v>0</v>
      </c>
      <c r="G111" s="13">
        <f t="shared" si="71"/>
        <v>0</v>
      </c>
      <c r="H111" s="13">
        <f t="shared" si="71"/>
        <v>0</v>
      </c>
      <c r="I111" s="13">
        <f t="shared" si="71"/>
        <v>1.3287061551622613E-5</v>
      </c>
      <c r="J111" s="13">
        <f t="shared" si="71"/>
        <v>3.1870342853517249E-5</v>
      </c>
      <c r="K111" s="13">
        <f t="shared" si="71"/>
        <v>1.0623846498223937E-5</v>
      </c>
    </row>
    <row r="112" spans="1:11">
      <c r="A112" s="5" t="s">
        <v>5</v>
      </c>
      <c r="B112" s="5" t="str">
        <f>B95</f>
        <v>SPS1</v>
      </c>
      <c r="C112" s="5" t="str">
        <f>C95</f>
        <v>CH</v>
      </c>
      <c r="D112" t="s">
        <v>830</v>
      </c>
      <c r="E112" t="str">
        <f>E95</f>
        <v>PJ/yr.</v>
      </c>
      <c r="F112" s="13">
        <f>SUM(F113:F127)</f>
        <v>1.0158276853282271</v>
      </c>
      <c r="G112" s="13">
        <f t="shared" ref="G112:K112" si="72">SUM(G113:G127)</f>
        <v>1.2110993913331956</v>
      </c>
      <c r="H112" s="13">
        <f t="shared" si="72"/>
        <v>1.1945982031478428</v>
      </c>
      <c r="I112" s="13">
        <f t="shared" si="72"/>
        <v>1.1885502790903659</v>
      </c>
      <c r="J112" s="13">
        <f t="shared" si="72"/>
        <v>1.5159511553371614</v>
      </c>
      <c r="K112" s="13">
        <f t="shared" si="72"/>
        <v>2.3416556460319611</v>
      </c>
    </row>
    <row r="113" spans="1:11">
      <c r="A113" s="5" t="s">
        <v>5</v>
      </c>
      <c r="B113" s="5" t="str">
        <f t="shared" si="37"/>
        <v>SPS1</v>
      </c>
      <c r="C113" s="5" t="str">
        <f t="shared" si="38"/>
        <v>CH</v>
      </c>
      <c r="D113" t="s">
        <v>618</v>
      </c>
      <c r="E113" t="str">
        <f t="shared" ref="E113:E128" si="73">E112</f>
        <v>PJ/yr.</v>
      </c>
      <c r="F113" s="13">
        <f>'[1]Electricity and CHPs_IN'!L$23/SUM('[1]Electricity and CHPs_IN'!L$22:L$23)*F81</f>
        <v>0</v>
      </c>
      <c r="G113" s="13">
        <f>'[1]Electricity and CHPs_IN'!M$23/SUM('[1]Electricity and CHPs_IN'!M$22:M$23)*G81</f>
        <v>0</v>
      </c>
      <c r="H113" s="13">
        <f>'[1]Electricity and CHPs_IN'!N$23/SUM('[1]Electricity and CHPs_IN'!N$22:N$23)*H81</f>
        <v>0</v>
      </c>
      <c r="I113" s="13">
        <f>'[1]Electricity and CHPs_IN'!O$23/SUM('[1]Electricity and CHPs_IN'!O$22:O$23)*I81</f>
        <v>0</v>
      </c>
      <c r="J113" s="13">
        <f>'[1]Electricity and CHPs_IN'!P$23/SUM('[1]Electricity and CHPs_IN'!P$22:P$23)*J81</f>
        <v>4.0774233769919715E-6</v>
      </c>
      <c r="K113" s="13">
        <f>'[1]Electricity and CHPs_IN'!Q$23/SUM('[1]Electricity and CHPs_IN'!Q$22:Q$23)*K81</f>
        <v>6.7263551564098725E-6</v>
      </c>
    </row>
    <row r="114" spans="1:11">
      <c r="A114" s="5" t="s">
        <v>5</v>
      </c>
      <c r="B114" s="5" t="str">
        <f t="shared" si="37"/>
        <v>SPS1</v>
      </c>
      <c r="C114" s="5" t="str">
        <f t="shared" si="38"/>
        <v>CH</v>
      </c>
      <c r="D114" t="s">
        <v>619</v>
      </c>
      <c r="E114" t="str">
        <f t="shared" si="73"/>
        <v>PJ/yr.</v>
      </c>
      <c r="F114" s="13">
        <f>'[1]Electricity and CHPs_IN'!L$23/SUM('[1]Electricity and CHPs_IN'!L$22:L$23)*F82</f>
        <v>0</v>
      </c>
      <c r="G114" s="13">
        <f>'[1]Electricity and CHPs_IN'!M$23/SUM('[1]Electricity and CHPs_IN'!M$22:M$23)*G82</f>
        <v>0</v>
      </c>
      <c r="H114" s="13">
        <f>'[1]Electricity and CHPs_IN'!N$23/SUM('[1]Electricity and CHPs_IN'!N$22:N$23)*H82</f>
        <v>4.4710931252643418E-6</v>
      </c>
      <c r="I114" s="13">
        <f>'[1]Electricity and CHPs_IN'!O$23/SUM('[1]Electricity and CHPs_IN'!O$22:O$23)*I82</f>
        <v>1.0063648086082351E-6</v>
      </c>
      <c r="J114" s="13">
        <f>'[1]Electricity and CHPs_IN'!P$23/SUM('[1]Electricity and CHPs_IN'!P$22:P$23)*J82</f>
        <v>3.8000558801775752E-4</v>
      </c>
      <c r="K114" s="13">
        <f>'[1]Electricity and CHPs_IN'!Q$23/SUM('[1]Electricity and CHPs_IN'!Q$22:Q$23)*K82</f>
        <v>4.7606590850484062E-3</v>
      </c>
    </row>
    <row r="115" spans="1:11">
      <c r="A115" s="5" t="s">
        <v>5</v>
      </c>
      <c r="B115" s="5" t="str">
        <f t="shared" si="37"/>
        <v>SPS1</v>
      </c>
      <c r="C115" s="5" t="str">
        <f t="shared" si="38"/>
        <v>CH</v>
      </c>
      <c r="D115" t="s">
        <v>620</v>
      </c>
      <c r="E115" t="str">
        <f t="shared" si="73"/>
        <v>PJ/yr.</v>
      </c>
      <c r="F115" s="13">
        <f>'[1]Electricity and CHPs_IN'!L$23/SUM('[1]Electricity and CHPs_IN'!L$22:L$23)*F83</f>
        <v>0</v>
      </c>
      <c r="G115" s="13">
        <f>'[1]Electricity and CHPs_IN'!M$23/SUM('[1]Electricity and CHPs_IN'!M$22:M$23)*G83</f>
        <v>0</v>
      </c>
      <c r="H115" s="13">
        <f>'[1]Electricity and CHPs_IN'!N$23/SUM('[1]Electricity and CHPs_IN'!N$22:N$23)*H83</f>
        <v>0</v>
      </c>
      <c r="I115" s="13">
        <f>'[1]Electricity and CHPs_IN'!O$23/SUM('[1]Electricity and CHPs_IN'!O$22:O$23)*I83</f>
        <v>0</v>
      </c>
      <c r="J115" s="13">
        <f>'[1]Electricity and CHPs_IN'!P$23/SUM('[1]Electricity and CHPs_IN'!P$22:P$23)*J83</f>
        <v>1.4838220104875561E-6</v>
      </c>
      <c r="K115" s="13">
        <f>'[1]Electricity and CHPs_IN'!Q$23/SUM('[1]Electricity and CHPs_IN'!Q$22:Q$23)*K83</f>
        <v>5.2571930541706402E-5</v>
      </c>
    </row>
    <row r="116" spans="1:11">
      <c r="A116" s="5" t="s">
        <v>5</v>
      </c>
      <c r="B116" s="5" t="str">
        <f t="shared" si="37"/>
        <v>SPS1</v>
      </c>
      <c r="C116" s="5" t="str">
        <f t="shared" si="38"/>
        <v>CH</v>
      </c>
      <c r="D116" t="s">
        <v>621</v>
      </c>
      <c r="E116" t="str">
        <f t="shared" si="73"/>
        <v>PJ/yr.</v>
      </c>
      <c r="F116" s="13">
        <f>'[1]Electricity and CHPs_IN'!L$23/SUM('[1]Electricity and CHPs_IN'!L$22:L$23)*F84</f>
        <v>2.402043440060388E-2</v>
      </c>
      <c r="G116" s="13">
        <f>'[1]Electricity and CHPs_IN'!M$23/SUM('[1]Electricity and CHPs_IN'!M$22:M$23)*G84</f>
        <v>0</v>
      </c>
      <c r="H116" s="13">
        <f>'[1]Electricity and CHPs_IN'!N$23/SUM('[1]Electricity and CHPs_IN'!N$22:N$23)*H84</f>
        <v>8.9135360338438217E-4</v>
      </c>
      <c r="I116" s="13">
        <f>'[1]Electricity and CHPs_IN'!O$23/SUM('[1]Electricity and CHPs_IN'!O$22:O$23)*I84</f>
        <v>5.7397182497036356E-4</v>
      </c>
      <c r="J116" s="13">
        <f>'[1]Electricity and CHPs_IN'!P$23/SUM('[1]Electricity and CHPs_IN'!P$22:P$23)*J84</f>
        <v>1.7198419298920174E-4</v>
      </c>
      <c r="K116" s="13">
        <f>'[1]Electricity and CHPs_IN'!Q$23/SUM('[1]Electricity and CHPs_IN'!Q$22:Q$23)*K84</f>
        <v>1.55385686714687E-6</v>
      </c>
    </row>
    <row r="117" spans="1:11">
      <c r="A117" s="5" t="s">
        <v>5</v>
      </c>
      <c r="B117" s="5" t="str">
        <f t="shared" si="37"/>
        <v>SPS1</v>
      </c>
      <c r="C117" s="5" t="str">
        <f t="shared" si="38"/>
        <v>CH</v>
      </c>
      <c r="D117" t="s">
        <v>622</v>
      </c>
      <c r="E117" t="str">
        <f t="shared" si="73"/>
        <v>PJ/yr.</v>
      </c>
      <c r="F117" s="13">
        <f>'[1]Electricity and CHPs_IN'!L$23/SUM('[1]Electricity and CHPs_IN'!L$22:L$23)*F85</f>
        <v>0</v>
      </c>
      <c r="G117" s="13">
        <f>'[1]Electricity and CHPs_IN'!M$23/SUM('[1]Electricity and CHPs_IN'!M$22:M$23)*G85</f>
        <v>0</v>
      </c>
      <c r="H117" s="13">
        <f>'[1]Electricity and CHPs_IN'!N$23/SUM('[1]Electricity and CHPs_IN'!N$22:N$23)*H85</f>
        <v>0</v>
      </c>
      <c r="I117" s="13">
        <f>'[1]Electricity and CHPs_IN'!O$23/SUM('[1]Electricity and CHPs_IN'!O$22:O$23)*I85</f>
        <v>0</v>
      </c>
      <c r="J117" s="13">
        <f>'[1]Electricity and CHPs_IN'!P$23/SUM('[1]Electricity and CHPs_IN'!P$22:P$23)*J85</f>
        <v>8.4516627219952535E-4</v>
      </c>
      <c r="K117" s="13">
        <f>'[1]Electricity and CHPs_IN'!Q$23/SUM('[1]Electricity and CHPs_IN'!Q$22:Q$23)*K85</f>
        <v>5.8413189800269951E-6</v>
      </c>
    </row>
    <row r="118" spans="1:11">
      <c r="A118" s="5" t="s">
        <v>5</v>
      </c>
      <c r="B118" s="5" t="str">
        <f t="shared" si="37"/>
        <v>SPS1</v>
      </c>
      <c r="C118" s="5" t="str">
        <f t="shared" si="38"/>
        <v>CH</v>
      </c>
      <c r="D118" t="s">
        <v>623</v>
      </c>
      <c r="E118" t="str">
        <f t="shared" si="73"/>
        <v>PJ/yr.</v>
      </c>
      <c r="F118" s="13">
        <f>'[1]Electricity and CHPs_IN'!L$23/SUM('[1]Electricity and CHPs_IN'!L$22:L$23)*F86</f>
        <v>1.6661216763792581E-2</v>
      </c>
      <c r="G118" s="13">
        <f>'[1]Electricity and CHPs_IN'!M$23/SUM('[1]Electricity and CHPs_IN'!M$22:M$23)*G86</f>
        <v>1.1590716677434817E-2</v>
      </c>
      <c r="H118" s="13">
        <f>'[1]Electricity and CHPs_IN'!N$23/SUM('[1]Electricity and CHPs_IN'!N$22:N$23)*H86</f>
        <v>1.7493557174844394E-3</v>
      </c>
      <c r="I118" s="13">
        <f>'[1]Electricity and CHPs_IN'!O$23/SUM('[1]Electricity and CHPs_IN'!O$22:O$23)*I86</f>
        <v>1.8807790861935598E-3</v>
      </c>
      <c r="J118" s="13">
        <f>'[1]Electricity and CHPs_IN'!P$23/SUM('[1]Electricity and CHPs_IN'!P$22:P$23)*J86</f>
        <v>1.0339778299211216E-4</v>
      </c>
      <c r="K118" s="13">
        <f>'[1]Electricity and CHPs_IN'!Q$23/SUM('[1]Electricity and CHPs_IN'!Q$22:Q$23)*K86</f>
        <v>4.8778294907262938E-2</v>
      </c>
    </row>
    <row r="119" spans="1:11">
      <c r="A119" s="5" t="s">
        <v>5</v>
      </c>
      <c r="B119" s="5" t="str">
        <f t="shared" si="37"/>
        <v>SPS1</v>
      </c>
      <c r="C119" s="5" t="str">
        <f t="shared" si="38"/>
        <v>CH</v>
      </c>
      <c r="D119" t="s">
        <v>624</v>
      </c>
      <c r="E119" t="str">
        <f t="shared" si="73"/>
        <v>PJ/yr.</v>
      </c>
      <c r="F119" s="13">
        <f>'[1]Electricity and CHPs_IN'!L$23/SUM('[1]Electricity and CHPs_IN'!L$22:L$23)*F87</f>
        <v>0</v>
      </c>
      <c r="G119" s="13">
        <f>'[1]Electricity and CHPs_IN'!M$23/SUM('[1]Electricity and CHPs_IN'!M$22:M$23)*G87</f>
        <v>0</v>
      </c>
      <c r="H119" s="13">
        <f>'[1]Electricity and CHPs_IN'!N$23/SUM('[1]Electricity and CHPs_IN'!N$22:N$23)*H87</f>
        <v>0</v>
      </c>
      <c r="I119" s="13">
        <f>'[1]Electricity and CHPs_IN'!O$23/SUM('[1]Electricity and CHPs_IN'!O$22:O$23)*I87</f>
        <v>0</v>
      </c>
      <c r="J119" s="13">
        <f>'[1]Electricity and CHPs_IN'!P$23/SUM('[1]Electricity and CHPs_IN'!P$22:P$23)*J87</f>
        <v>1.7097606821884718E-7</v>
      </c>
      <c r="K119" s="13">
        <f>'[1]Electricity and CHPs_IN'!Q$23/SUM('[1]Electricity and CHPs_IN'!Q$22:Q$23)*K87</f>
        <v>2.8203374429722074E-2</v>
      </c>
    </row>
    <row r="120" spans="1:11">
      <c r="A120" s="5" t="s">
        <v>5</v>
      </c>
      <c r="B120" s="5" t="str">
        <f t="shared" si="37"/>
        <v>SPS1</v>
      </c>
      <c r="C120" s="5" t="str">
        <f t="shared" si="38"/>
        <v>CH</v>
      </c>
      <c r="D120" t="s">
        <v>625</v>
      </c>
      <c r="E120" t="str">
        <f t="shared" si="73"/>
        <v>PJ/yr.</v>
      </c>
      <c r="F120" s="13">
        <f>'[1]Electricity and CHPs_IN'!L$23/SUM('[1]Electricity and CHPs_IN'!L$22:L$23)*F88</f>
        <v>0</v>
      </c>
      <c r="G120" s="13">
        <f>'[1]Electricity and CHPs_IN'!M$23/SUM('[1]Electricity and CHPs_IN'!M$22:M$23)*G88</f>
        <v>0</v>
      </c>
      <c r="H120" s="13">
        <f>'[1]Electricity and CHPs_IN'!N$23/SUM('[1]Electricity and CHPs_IN'!N$22:N$23)*H88</f>
        <v>0</v>
      </c>
      <c r="I120" s="13">
        <f>'[1]Electricity and CHPs_IN'!O$23/SUM('[1]Electricity and CHPs_IN'!O$22:O$23)*I88</f>
        <v>1.9499827646042705E-7</v>
      </c>
      <c r="J120" s="13">
        <f>'[1]Electricity and CHPs_IN'!P$23/SUM('[1]Electricity and CHPs_IN'!P$22:P$23)*J88</f>
        <v>2.9849709279896056E-7</v>
      </c>
      <c r="K120" s="13">
        <f>'[1]Electricity and CHPs_IN'!Q$23/SUM('[1]Electricity and CHPs_IN'!Q$22:Q$23)*K88</f>
        <v>5.0161658845820411E-6</v>
      </c>
    </row>
    <row r="121" spans="1:11">
      <c r="A121" s="5" t="s">
        <v>5</v>
      </c>
      <c r="B121" s="5" t="str">
        <f t="shared" si="37"/>
        <v>SPS1</v>
      </c>
      <c r="C121" s="5" t="str">
        <f t="shared" si="38"/>
        <v>CH</v>
      </c>
      <c r="D121" t="s">
        <v>626</v>
      </c>
      <c r="E121" t="str">
        <f t="shared" si="73"/>
        <v>PJ/yr.</v>
      </c>
      <c r="F121" s="13">
        <f>'[1]Electricity and CHPs_IN'!L$23/SUM('[1]Electricity and CHPs_IN'!L$22:L$23)*F89</f>
        <v>3.1303242816775205E-4</v>
      </c>
      <c r="G121" s="13">
        <f>'[1]Electricity and CHPs_IN'!M$23/SUM('[1]Electricity and CHPs_IN'!M$22:M$23)*G89</f>
        <v>5.514790594872105E-5</v>
      </c>
      <c r="H121" s="13">
        <f>'[1]Electricity and CHPs_IN'!N$23/SUM('[1]Electricity and CHPs_IN'!N$22:N$23)*H89</f>
        <v>1.4904548422096615E-5</v>
      </c>
      <c r="I121" s="13">
        <f>'[1]Electricity and CHPs_IN'!O$23/SUM('[1]Electricity and CHPs_IN'!O$22:O$23)*I89</f>
        <v>7.1724947247901329E-6</v>
      </c>
      <c r="J121" s="13">
        <f>'[1]Electricity and CHPs_IN'!P$23/SUM('[1]Electricity and CHPs_IN'!P$22:P$23)*J89</f>
        <v>6.3685358749912873E-6</v>
      </c>
      <c r="K121" s="13">
        <f>'[1]Electricity and CHPs_IN'!Q$23/SUM('[1]Electricity and CHPs_IN'!Q$22:Q$23)*K89</f>
        <v>1.8449242943759737E-4</v>
      </c>
    </row>
    <row r="122" spans="1:11">
      <c r="A122" s="5" t="s">
        <v>5</v>
      </c>
      <c r="B122" s="5" t="str">
        <f t="shared" si="37"/>
        <v>SPS1</v>
      </c>
      <c r="C122" s="5" t="str">
        <f t="shared" si="38"/>
        <v>CH</v>
      </c>
      <c r="D122" t="s">
        <v>627</v>
      </c>
      <c r="E122" t="str">
        <f t="shared" si="73"/>
        <v>PJ/yr.</v>
      </c>
      <c r="F122" s="13">
        <f>'[1]Electricity and CHPs_IN'!L$23/SUM('[1]Electricity and CHPs_IN'!L$22:L$23)*F90</f>
        <v>0</v>
      </c>
      <c r="G122" s="13">
        <f>'[1]Electricity and CHPs_IN'!M$23/SUM('[1]Electricity and CHPs_IN'!M$22:M$23)*G90</f>
        <v>0</v>
      </c>
      <c r="H122" s="13">
        <f>'[1]Electricity and CHPs_IN'!N$23/SUM('[1]Electricity and CHPs_IN'!N$22:N$23)*H90</f>
        <v>0</v>
      </c>
      <c r="I122" s="13">
        <f>'[1]Electricity and CHPs_IN'!O$23/SUM('[1]Electricity and CHPs_IN'!O$22:O$23)*I90</f>
        <v>4.180065469549876E-8</v>
      </c>
      <c r="J122" s="13">
        <f>'[1]Electricity and CHPs_IN'!P$23/SUM('[1]Electricity and CHPs_IN'!P$22:P$23)*J90</f>
        <v>8.6258487826215164E-8</v>
      </c>
      <c r="K122" s="13">
        <f>'[1]Electricity and CHPs_IN'!Q$23/SUM('[1]Electricity and CHPs_IN'!Q$22:Q$23)*K90</f>
        <v>2.0114448551910649E-6</v>
      </c>
    </row>
    <row r="123" spans="1:11">
      <c r="A123" s="5" t="s">
        <v>5</v>
      </c>
      <c r="B123" s="5" t="str">
        <f t="shared" si="37"/>
        <v>SPS1</v>
      </c>
      <c r="C123" s="5" t="str">
        <f t="shared" si="38"/>
        <v>CH</v>
      </c>
      <c r="D123" t="s">
        <v>628</v>
      </c>
      <c r="E123" t="str">
        <f t="shared" si="73"/>
        <v>PJ/yr.</v>
      </c>
      <c r="F123" s="13">
        <f>'[1]Electricity and CHPs_IN'!L$23/SUM('[1]Electricity and CHPs_IN'!L$22:L$23)*F91</f>
        <v>6.8692581419081992E-4</v>
      </c>
      <c r="G123" s="13">
        <f>'[1]Electricity and CHPs_IN'!M$23/SUM('[1]Electricity and CHPs_IN'!M$22:M$23)*G91</f>
        <v>1.7943285908525607E-4</v>
      </c>
      <c r="H123" s="13">
        <f>'[1]Electricity and CHPs_IN'!N$23/SUM('[1]Electricity and CHPs_IN'!N$22:N$23)*H91</f>
        <v>6.0304664775736504E-5</v>
      </c>
      <c r="I123" s="13">
        <f>'[1]Electricity and CHPs_IN'!O$23/SUM('[1]Electricity and CHPs_IN'!O$22:O$23)*I91</f>
        <v>4.2206812299299679E-3</v>
      </c>
      <c r="J123" s="13">
        <f>'[1]Electricity and CHPs_IN'!P$23/SUM('[1]Electricity and CHPs_IN'!P$22:P$23)*J91</f>
        <v>2.9237012784984369E-3</v>
      </c>
      <c r="K123" s="13">
        <f>'[1]Electricity and CHPs_IN'!Q$23/SUM('[1]Electricity and CHPs_IN'!Q$22:Q$23)*K91</f>
        <v>0.11767052063744955</v>
      </c>
    </row>
    <row r="124" spans="1:11">
      <c r="A124" s="5" t="s">
        <v>5</v>
      </c>
      <c r="B124" s="5" t="str">
        <f t="shared" si="37"/>
        <v>SPS1</v>
      </c>
      <c r="C124" s="5" t="str">
        <f t="shared" si="38"/>
        <v>CH</v>
      </c>
      <c r="D124" t="s">
        <v>629</v>
      </c>
      <c r="E124" t="str">
        <f t="shared" si="73"/>
        <v>PJ/yr.</v>
      </c>
      <c r="F124" s="13">
        <f>'[1]Electricity and CHPs_IN'!L$23/SUM('[1]Electricity and CHPs_IN'!L$22:L$23)*F92</f>
        <v>0</v>
      </c>
      <c r="G124" s="13">
        <f>'[1]Electricity and CHPs_IN'!M$23/SUM('[1]Electricity and CHPs_IN'!M$22:M$23)*G92</f>
        <v>0</v>
      </c>
      <c r="H124" s="13">
        <f>'[1]Electricity and CHPs_IN'!N$23/SUM('[1]Electricity and CHPs_IN'!N$22:N$23)*H92</f>
        <v>0</v>
      </c>
      <c r="I124" s="13">
        <f>'[1]Electricity and CHPs_IN'!O$23/SUM('[1]Electricity and CHPs_IN'!O$22:O$23)*I92</f>
        <v>3.4893624287304641E-7</v>
      </c>
      <c r="J124" s="13">
        <f>'[1]Electricity and CHPs_IN'!P$23/SUM('[1]Electricity and CHPs_IN'!P$22:P$23)*J92</f>
        <v>5.3694963300097159E-7</v>
      </c>
      <c r="K124" s="13">
        <f>'[1]Electricity and CHPs_IN'!Q$23/SUM('[1]Electricity and CHPs_IN'!Q$22:Q$23)*K92</f>
        <v>2.051535010055149E-4</v>
      </c>
    </row>
    <row r="125" spans="1:11">
      <c r="A125" s="5" t="s">
        <v>5</v>
      </c>
      <c r="B125" s="5" t="str">
        <f t="shared" si="37"/>
        <v>SPS1</v>
      </c>
      <c r="C125" s="5" t="str">
        <f t="shared" si="38"/>
        <v>CH</v>
      </c>
      <c r="D125" t="s">
        <v>630</v>
      </c>
      <c r="E125" t="str">
        <f t="shared" si="73"/>
        <v>PJ/yr.</v>
      </c>
      <c r="F125" s="13">
        <f t="shared" ref="F125:K125" si="74">F93</f>
        <v>0.95936405744582232</v>
      </c>
      <c r="G125" s="13">
        <f t="shared" si="74"/>
        <v>1.1059335749311869</v>
      </c>
      <c r="H125" s="13">
        <f t="shared" si="74"/>
        <v>1.1733412946902979</v>
      </c>
      <c r="I125" s="13">
        <f t="shared" si="74"/>
        <v>1.1733413942848772</v>
      </c>
      <c r="J125" s="13">
        <f t="shared" si="74"/>
        <v>1.5101147532576003</v>
      </c>
      <c r="K125" s="13">
        <f t="shared" si="74"/>
        <v>2.1417540155143486</v>
      </c>
    </row>
    <row r="126" spans="1:11">
      <c r="A126" s="5" t="s">
        <v>5</v>
      </c>
      <c r="B126" s="5" t="str">
        <f t="shared" si="37"/>
        <v>SPS1</v>
      </c>
      <c r="C126" s="5" t="str">
        <f t="shared" si="38"/>
        <v>CH</v>
      </c>
      <c r="D126" t="s">
        <v>631</v>
      </c>
      <c r="E126" t="str">
        <f t="shared" si="73"/>
        <v>PJ/yr.</v>
      </c>
      <c r="F126" s="13">
        <f>'[1]Electricity and CHPs_IN'!L$23/SUM('[1]Electricity and CHPs_IN'!L$22:L$23)*F94</f>
        <v>1.4782018475649663E-2</v>
      </c>
      <c r="G126" s="13">
        <f>'[1]Electricity and CHPs_IN'!M$23/SUM('[1]Electricity and CHPs_IN'!M$22:M$23)*G94</f>
        <v>9.3340518959539792E-2</v>
      </c>
      <c r="H126" s="13">
        <f>'[1]Electricity and CHPs_IN'!N$23/SUM('[1]Electricity and CHPs_IN'!N$22:N$23)*H94</f>
        <v>1.8536518830353101E-2</v>
      </c>
      <c r="I126" s="13">
        <f>'[1]Electricity and CHPs_IN'!O$23/SUM('[1]Electricity and CHPs_IN'!O$22:O$23)*I94</f>
        <v>8.5244578259223575E-3</v>
      </c>
      <c r="J126" s="13">
        <f>'[1]Electricity and CHPs_IN'!P$23/SUM('[1]Electricity and CHPs_IN'!P$22:P$23)*J94</f>
        <v>1.3988815029124598E-3</v>
      </c>
      <c r="K126" s="13">
        <f>'[1]Electricity and CHPs_IN'!Q$23/SUM('[1]Electricity and CHPs_IN'!Q$22:Q$23)*K94</f>
        <v>2.0924457117648338E-5</v>
      </c>
    </row>
    <row r="127" spans="1:11">
      <c r="A127" s="5" t="s">
        <v>5</v>
      </c>
      <c r="B127" s="5" t="str">
        <f t="shared" si="37"/>
        <v>SPS1</v>
      </c>
      <c r="C127" s="5" t="str">
        <f t="shared" si="38"/>
        <v>CH</v>
      </c>
      <c r="D127" t="s">
        <v>632</v>
      </c>
      <c r="E127" t="str">
        <f t="shared" si="73"/>
        <v>PJ/yr.</v>
      </c>
      <c r="F127" s="13">
        <f>'[1]Electricity and CHPs_IN'!L$23/SUM('[1]Electricity and CHPs_IN'!L$22:L$23)*F95</f>
        <v>0</v>
      </c>
      <c r="G127" s="13">
        <f>'[1]Electricity and CHPs_IN'!M$23/SUM('[1]Electricity and CHPs_IN'!M$22:M$23)*G95</f>
        <v>0</v>
      </c>
      <c r="H127" s="13">
        <f>'[1]Electricity and CHPs_IN'!N$23/SUM('[1]Electricity and CHPs_IN'!N$22:N$23)*H95</f>
        <v>0</v>
      </c>
      <c r="I127" s="13">
        <f>'[1]Electricity and CHPs_IN'!O$23/SUM('[1]Electricity and CHPs_IN'!O$22:O$23)*I95</f>
        <v>2.3024376507037049E-7</v>
      </c>
      <c r="J127" s="13">
        <f>'[1]Electricity and CHPs_IN'!P$23/SUM('[1]Electricity and CHPs_IN'!P$22:P$23)*J95</f>
        <v>2.429994071937336E-7</v>
      </c>
      <c r="K127" s="13">
        <f>'[1]Electricity and CHPs_IN'!Q$23/SUM('[1]Electricity and CHPs_IN'!Q$22:Q$23)*K95</f>
        <v>4.4899982839141934E-6</v>
      </c>
    </row>
    <row r="128" spans="1:11">
      <c r="A128" s="5" t="s">
        <v>5</v>
      </c>
      <c r="B128" s="5" t="str">
        <f t="shared" si="37"/>
        <v>SPS1</v>
      </c>
      <c r="C128" s="5" t="str">
        <f t="shared" si="38"/>
        <v>CH</v>
      </c>
      <c r="D128" t="s">
        <v>831</v>
      </c>
      <c r="E128" t="str">
        <f t="shared" si="73"/>
        <v>PJ/yr.</v>
      </c>
      <c r="F128" s="13">
        <f>SUM(F129:F134)</f>
        <v>8.2546805935477643</v>
      </c>
      <c r="G128" s="13">
        <f t="shared" ref="G128:K128" si="75">SUM(G129:G134)</f>
        <v>9.0486727690282134</v>
      </c>
      <c r="H128" s="13">
        <f t="shared" si="75"/>
        <v>9.7340924691240538</v>
      </c>
      <c r="I128" s="13">
        <f t="shared" si="75"/>
        <v>9.1336133248855376</v>
      </c>
      <c r="J128" s="13">
        <f t="shared" si="75"/>
        <v>9.3485509058917771</v>
      </c>
      <c r="K128" s="13">
        <f t="shared" si="75"/>
        <v>11.101590997922408</v>
      </c>
    </row>
    <row r="129" spans="1:17">
      <c r="A129" s="5" t="s">
        <v>5</v>
      </c>
      <c r="B129" s="5" t="str">
        <f t="shared" si="37"/>
        <v>SPS1</v>
      </c>
      <c r="C129" s="5" t="str">
        <f t="shared" si="38"/>
        <v>CH</v>
      </c>
      <c r="D129" t="s">
        <v>53</v>
      </c>
      <c r="E129" t="str">
        <f>E73</f>
        <v>PJ/yr.</v>
      </c>
      <c r="F129" s="13">
        <f>'[1]Electricity and CHPs'!B19</f>
        <v>6.5070000228152001</v>
      </c>
      <c r="G129" s="13">
        <f>'[1]Electricity and CHPs'!C19</f>
        <v>7.4134107447426167</v>
      </c>
      <c r="H129" s="13">
        <f>'[1]Electricity and CHPs'!D19</f>
        <v>8.0540336396326442</v>
      </c>
      <c r="I129" s="13">
        <f>'[1]Electricity and CHPs'!E19</f>
        <v>7.3981380608716156</v>
      </c>
      <c r="J129" s="13">
        <f>'[1]Electricity and CHPs'!F19</f>
        <v>6.0609874217635769</v>
      </c>
      <c r="K129" s="13">
        <f>'[1]Electricity and CHPs'!G19</f>
        <v>4.6534301377627454</v>
      </c>
    </row>
    <row r="130" spans="1:17">
      <c r="A130" s="5" t="s">
        <v>5</v>
      </c>
      <c r="B130" s="5" t="str">
        <f t="shared" si="37"/>
        <v>SPS1</v>
      </c>
      <c r="C130" s="5" t="str">
        <f t="shared" si="38"/>
        <v>CH</v>
      </c>
      <c r="D130" t="s">
        <v>52</v>
      </c>
      <c r="E130" t="str">
        <f>E129</f>
        <v>PJ/yr.</v>
      </c>
      <c r="F130" s="13">
        <f>'[1]Electricity and CHPs'!B20</f>
        <v>0</v>
      </c>
      <c r="G130" s="13">
        <f>'[1]Electricity and CHPs'!C20</f>
        <v>0</v>
      </c>
      <c r="H130" s="13">
        <f>'[1]Electricity and CHPs'!D20</f>
        <v>0</v>
      </c>
      <c r="I130" s="13">
        <f>'[1]Electricity and CHPs'!E20</f>
        <v>0</v>
      </c>
      <c r="J130" s="13">
        <f>'[1]Electricity and CHPs'!F20</f>
        <v>1.5858419656105578</v>
      </c>
      <c r="K130" s="13">
        <f>'[1]Electricity and CHPs'!G20</f>
        <v>4.4441154615835252</v>
      </c>
    </row>
    <row r="131" spans="1:17">
      <c r="A131" s="5" t="s">
        <v>5</v>
      </c>
      <c r="B131" s="5" t="str">
        <f t="shared" si="37"/>
        <v>SPS1</v>
      </c>
      <c r="C131" s="5" t="str">
        <f t="shared" si="38"/>
        <v>CH</v>
      </c>
      <c r="D131" t="s">
        <v>51</v>
      </c>
      <c r="E131" t="str">
        <f>E150</f>
        <v>PJ/yr.</v>
      </c>
      <c r="F131" s="13">
        <f>'[1]Electricity and CHPs'!B26</f>
        <v>1.5176404908630983</v>
      </c>
      <c r="G131" s="13">
        <f>'[1]Electricity and CHPs'!C26</f>
        <v>1.4277224244374336</v>
      </c>
      <c r="H131" s="13">
        <f>'[1]Electricity and CHPs'!D26</f>
        <v>1.343353353704039</v>
      </c>
      <c r="I131" s="13">
        <f>'[1]Electricity and CHPs'!E26</f>
        <v>1.4025300965126173</v>
      </c>
      <c r="J131" s="13">
        <f>'[1]Electricity and CHPs'!F26</f>
        <v>1.1226826474516338</v>
      </c>
      <c r="K131" s="13">
        <f>'[1]Electricity and CHPs'!G26</f>
        <v>0.69933005722882213</v>
      </c>
    </row>
    <row r="132" spans="1:17">
      <c r="A132" s="5" t="s">
        <v>5</v>
      </c>
      <c r="B132" s="5" t="str">
        <f t="shared" si="37"/>
        <v>SPS1</v>
      </c>
      <c r="C132" s="5" t="str">
        <f t="shared" si="38"/>
        <v>CH</v>
      </c>
      <c r="D132" t="s">
        <v>50</v>
      </c>
      <c r="E132" t="str">
        <f>E131</f>
        <v>PJ/yr.</v>
      </c>
      <c r="F132" s="13">
        <f>'[1]Electricity and CHPs'!B27</f>
        <v>0</v>
      </c>
      <c r="G132" s="13">
        <f>'[1]Electricity and CHPs'!C27</f>
        <v>0</v>
      </c>
      <c r="H132" s="13">
        <f>'[1]Electricity and CHPs'!D27</f>
        <v>0</v>
      </c>
      <c r="I132" s="13">
        <f>'[1]Electricity and CHPs'!E27</f>
        <v>0</v>
      </c>
      <c r="J132" s="13">
        <f>'[1]Electricity and CHPs'!F27</f>
        <v>0.26527008964361987</v>
      </c>
      <c r="K132" s="13">
        <f>'[1]Electricity and CHPs'!G27</f>
        <v>0.71175150306500123</v>
      </c>
    </row>
    <row r="133" spans="1:17">
      <c r="A133" s="5" t="s">
        <v>5</v>
      </c>
      <c r="B133" s="5" t="str">
        <f t="shared" si="37"/>
        <v>SPS1</v>
      </c>
      <c r="C133" s="5" t="str">
        <f t="shared" si="38"/>
        <v>CH</v>
      </c>
      <c r="D133" t="s">
        <v>48</v>
      </c>
      <c r="E133" t="str">
        <f>E153</f>
        <v>PJ/yr.</v>
      </c>
      <c r="F133" s="13">
        <f>'[1]Electricity and CHPs'!B44</f>
        <v>0.23004007986946667</v>
      </c>
      <c r="G133" s="13">
        <f>'[1]Electricity and CHPs'!C44</f>
        <v>0.2075395998481632</v>
      </c>
      <c r="H133" s="13">
        <f>'[1]Electricity and CHPs'!D44</f>
        <v>0.33670547578737114</v>
      </c>
      <c r="I133" s="13">
        <f>'[1]Electricity and CHPs'!E44</f>
        <v>0.33294516750130332</v>
      </c>
      <c r="J133" s="13">
        <f>'[1]Electricity and CHPs'!F44</f>
        <v>0.1899751635941746</v>
      </c>
      <c r="K133" s="13">
        <f>'[1]Electricity and CHPs'!G44</f>
        <v>0</v>
      </c>
    </row>
    <row r="134" spans="1:17">
      <c r="A134" s="5" t="s">
        <v>5</v>
      </c>
      <c r="B134" s="5" t="str">
        <f t="shared" si="37"/>
        <v>SPS1</v>
      </c>
      <c r="C134" s="5" t="str">
        <f t="shared" si="38"/>
        <v>CH</v>
      </c>
      <c r="D134" t="s">
        <v>49</v>
      </c>
      <c r="E134" t="str">
        <f>E133</f>
        <v>PJ/yr.</v>
      </c>
      <c r="F134" s="13">
        <f>'[1]Electricity and CHPs'!B45</f>
        <v>0</v>
      </c>
      <c r="G134" s="13">
        <f>'[1]Electricity and CHPs'!C45</f>
        <v>0</v>
      </c>
      <c r="H134" s="13">
        <f>'[1]Electricity and CHPs'!D45</f>
        <v>0</v>
      </c>
      <c r="I134" s="13">
        <f>'[1]Electricity and CHPs'!E45</f>
        <v>0</v>
      </c>
      <c r="J134" s="13">
        <f>'[1]Electricity and CHPs'!F45</f>
        <v>0.12379361782821342</v>
      </c>
      <c r="K134" s="13">
        <f>'[1]Electricity and CHPs'!G45</f>
        <v>0.59296383828231358</v>
      </c>
    </row>
    <row r="135" spans="1:17">
      <c r="A135" s="5" t="s">
        <v>5</v>
      </c>
      <c r="B135" s="5" t="str">
        <f t="shared" si="37"/>
        <v>SPS1</v>
      </c>
      <c r="C135" s="5" t="str">
        <f t="shared" si="38"/>
        <v>CH</v>
      </c>
      <c r="D135" t="s">
        <v>90</v>
      </c>
      <c r="E135" t="str">
        <f t="shared" ref="E135:E149" si="76">E134</f>
        <v>PJ/yr.</v>
      </c>
      <c r="F135" s="13">
        <f>SUM(F136:F139)</f>
        <v>4.0123202568391489</v>
      </c>
      <c r="G135" s="13">
        <f t="shared" ref="G135:K135" si="77">SUM(G136:G139)</f>
        <v>4.4205665845900253</v>
      </c>
      <c r="H135" s="13">
        <f t="shared" si="77"/>
        <v>4.6986934966683416</v>
      </c>
      <c r="I135" s="13">
        <f t="shared" si="77"/>
        <v>4.4003340786921168</v>
      </c>
      <c r="J135" s="13">
        <f t="shared" si="77"/>
        <v>4.5173910622346947</v>
      </c>
      <c r="K135" s="13">
        <f t="shared" si="77"/>
        <v>5.2543135798200469</v>
      </c>
      <c r="M135" s="2"/>
      <c r="N135" s="2"/>
      <c r="O135" s="2"/>
      <c r="P135" s="2"/>
      <c r="Q135" s="2"/>
    </row>
    <row r="136" spans="1:17">
      <c r="A136" s="5" t="s">
        <v>5</v>
      </c>
      <c r="B136" s="5" t="str">
        <f t="shared" si="37"/>
        <v>SPS1</v>
      </c>
      <c r="C136" s="5" t="str">
        <f t="shared" si="38"/>
        <v>CH</v>
      </c>
      <c r="D136" t="s">
        <v>60</v>
      </c>
      <c r="E136" t="str">
        <f>E135</f>
        <v>PJ/yr.</v>
      </c>
      <c r="F136" s="13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3.2535000114076</v>
      </c>
      <c r="G136" s="13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3.7067053723713088</v>
      </c>
      <c r="H136" s="13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4.0270168198163221</v>
      </c>
      <c r="I136" s="13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3.6990690304358078</v>
      </c>
      <c r="J136" s="13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3.0304937108817884</v>
      </c>
      <c r="K136" s="13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2.3267150688813727</v>
      </c>
    </row>
    <row r="137" spans="1:17">
      <c r="A137" s="5" t="s">
        <v>5</v>
      </c>
      <c r="B137" s="5" t="str">
        <f t="shared" si="37"/>
        <v>SPS1</v>
      </c>
      <c r="C137" s="5" t="str">
        <f t="shared" si="38"/>
        <v>CH</v>
      </c>
      <c r="D137" t="s">
        <v>61</v>
      </c>
      <c r="E137" t="str">
        <f t="shared" si="76"/>
        <v>PJ/yr.</v>
      </c>
      <c r="F137" s="13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3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3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3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3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0.7929209828052789</v>
      </c>
      <c r="K137" s="13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2.2220577307917626</v>
      </c>
    </row>
    <row r="138" spans="1:17">
      <c r="A138" s="5" t="s">
        <v>5</v>
      </c>
      <c r="B138" s="5" t="str">
        <f t="shared" si="37"/>
        <v>SPS1</v>
      </c>
      <c r="C138" s="5" t="str">
        <f t="shared" si="38"/>
        <v>CH</v>
      </c>
      <c r="D138" t="s">
        <v>62</v>
      </c>
      <c r="E138" t="str">
        <f t="shared" si="76"/>
        <v>PJ/yr.</v>
      </c>
      <c r="F138" s="13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0.75882024543154913</v>
      </c>
      <c r="G138" s="13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0.7138612122187169</v>
      </c>
      <c r="H138" s="13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0.67167667685201948</v>
      </c>
      <c r="I138" s="13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0.70126504825630864</v>
      </c>
      <c r="J138" s="13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0.56134132372581691</v>
      </c>
      <c r="K138" s="13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0.34966502861441107</v>
      </c>
    </row>
    <row r="139" spans="1:17">
      <c r="A139" s="5" t="s">
        <v>5</v>
      </c>
      <c r="B139" s="5" t="str">
        <f t="shared" si="37"/>
        <v>SPS1</v>
      </c>
      <c r="C139" s="5" t="str">
        <f t="shared" si="38"/>
        <v>CH</v>
      </c>
      <c r="D139" t="s">
        <v>63</v>
      </c>
      <c r="E139" t="str">
        <f t="shared" si="76"/>
        <v>PJ/yr.</v>
      </c>
      <c r="F139" s="13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3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3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3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3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0.13263504482180993</v>
      </c>
      <c r="K139" s="13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0.35587575153250056</v>
      </c>
    </row>
    <row r="140" spans="1:17">
      <c r="A140" s="5" t="s">
        <v>5</v>
      </c>
      <c r="B140" s="5" t="str">
        <f t="shared" si="37"/>
        <v>SPS1</v>
      </c>
      <c r="C140" s="5" t="str">
        <f t="shared" si="38"/>
        <v>CH</v>
      </c>
      <c r="D140" t="s">
        <v>64</v>
      </c>
      <c r="E140" t="str">
        <f t="shared" si="76"/>
        <v>PJ/yr.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</row>
    <row r="141" spans="1:17">
      <c r="A141" s="5" t="s">
        <v>5</v>
      </c>
      <c r="B141" s="5" t="str">
        <f t="shared" si="37"/>
        <v>SPS1</v>
      </c>
      <c r="C141" s="5" t="str">
        <f t="shared" si="38"/>
        <v>CH</v>
      </c>
      <c r="D141" t="s">
        <v>65</v>
      </c>
      <c r="E141" t="str">
        <f t="shared" si="76"/>
        <v>PJ/yr.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</row>
    <row r="142" spans="1:17">
      <c r="A142" s="5" t="s">
        <v>5</v>
      </c>
      <c r="B142" s="5" t="str">
        <f t="shared" si="37"/>
        <v>SPS1</v>
      </c>
      <c r="C142" s="5" t="str">
        <f t="shared" si="38"/>
        <v>CH</v>
      </c>
      <c r="D142" t="s">
        <v>832</v>
      </c>
      <c r="E142" t="str">
        <f>E141</f>
        <v>PJ/yr.</v>
      </c>
      <c r="F142" s="13">
        <f>SUM(F143:F148)</f>
        <v>4.2423603367086153</v>
      </c>
      <c r="G142" s="13">
        <f t="shared" ref="G142:K142" si="78">SUM(G143:G148)</f>
        <v>4.6281061844381872</v>
      </c>
      <c r="H142" s="13">
        <f t="shared" si="78"/>
        <v>5.0353989724557131</v>
      </c>
      <c r="I142" s="13">
        <f t="shared" si="78"/>
        <v>4.7332792461934199</v>
      </c>
      <c r="J142" s="13">
        <f t="shared" si="78"/>
        <v>4.8311598436570824</v>
      </c>
      <c r="K142" s="13">
        <f t="shared" si="78"/>
        <v>5.8472774181023608</v>
      </c>
    </row>
    <row r="143" spans="1:17">
      <c r="A143" s="5" t="s">
        <v>5</v>
      </c>
      <c r="B143" s="5" t="str">
        <f t="shared" si="37"/>
        <v>SPS1</v>
      </c>
      <c r="C143" s="5" t="str">
        <f t="shared" si="38"/>
        <v>CH</v>
      </c>
      <c r="D143" t="s">
        <v>56</v>
      </c>
      <c r="E143" t="str">
        <f>E142</f>
        <v>PJ/yr.</v>
      </c>
      <c r="F143" s="13">
        <f>F129-F136</f>
        <v>3.2535000114076</v>
      </c>
      <c r="G143" s="13">
        <f t="shared" ref="G143:K143" si="79">G129-G136</f>
        <v>3.7067053723713079</v>
      </c>
      <c r="H143" s="13">
        <f t="shared" si="79"/>
        <v>4.0270168198163221</v>
      </c>
      <c r="I143" s="13">
        <f t="shared" si="79"/>
        <v>3.6990690304358078</v>
      </c>
      <c r="J143" s="13">
        <f t="shared" si="79"/>
        <v>3.0304937108817884</v>
      </c>
      <c r="K143" s="13">
        <f t="shared" si="79"/>
        <v>2.3267150688813727</v>
      </c>
    </row>
    <row r="144" spans="1:17">
      <c r="A144" s="5" t="s">
        <v>5</v>
      </c>
      <c r="B144" s="5" t="str">
        <f t="shared" si="37"/>
        <v>SPS1</v>
      </c>
      <c r="C144" s="5" t="str">
        <f t="shared" si="38"/>
        <v>CH</v>
      </c>
      <c r="D144" t="s">
        <v>57</v>
      </c>
      <c r="E144" t="str">
        <f t="shared" si="76"/>
        <v>PJ/yr.</v>
      </c>
      <c r="F144" s="13">
        <f t="shared" ref="F144:K144" si="80">F130-F137</f>
        <v>0</v>
      </c>
      <c r="G144" s="13">
        <f t="shared" si="80"/>
        <v>0</v>
      </c>
      <c r="H144" s="13">
        <f t="shared" si="80"/>
        <v>0</v>
      </c>
      <c r="I144" s="13">
        <f t="shared" si="80"/>
        <v>0</v>
      </c>
      <c r="J144" s="13">
        <f t="shared" si="80"/>
        <v>0.7929209828052789</v>
      </c>
      <c r="K144" s="13">
        <f t="shared" si="80"/>
        <v>2.2220577307917626</v>
      </c>
    </row>
    <row r="145" spans="1:11">
      <c r="A145" s="5" t="s">
        <v>5</v>
      </c>
      <c r="B145" s="5" t="str">
        <f t="shared" si="37"/>
        <v>SPS1</v>
      </c>
      <c r="C145" s="5" t="str">
        <f t="shared" si="38"/>
        <v>CH</v>
      </c>
      <c r="D145" t="s">
        <v>58</v>
      </c>
      <c r="E145" t="str">
        <f t="shared" si="76"/>
        <v>PJ/yr.</v>
      </c>
      <c r="F145" s="13">
        <f t="shared" ref="F145:K145" si="81">F131-F138</f>
        <v>0.75882024543154913</v>
      </c>
      <c r="G145" s="13">
        <f t="shared" si="81"/>
        <v>0.71386121221871668</v>
      </c>
      <c r="H145" s="13">
        <f t="shared" si="81"/>
        <v>0.67167667685201948</v>
      </c>
      <c r="I145" s="13">
        <f t="shared" si="81"/>
        <v>0.70126504825630864</v>
      </c>
      <c r="J145" s="13">
        <f t="shared" si="81"/>
        <v>0.56134132372581691</v>
      </c>
      <c r="K145" s="13">
        <f t="shared" si="81"/>
        <v>0.34966502861441107</v>
      </c>
    </row>
    <row r="146" spans="1:11">
      <c r="A146" s="5" t="s">
        <v>5</v>
      </c>
      <c r="B146" s="5" t="str">
        <f t="shared" si="37"/>
        <v>SPS1</v>
      </c>
      <c r="C146" s="5" t="str">
        <f t="shared" si="38"/>
        <v>CH</v>
      </c>
      <c r="D146" t="s">
        <v>59</v>
      </c>
      <c r="E146" t="str">
        <f t="shared" si="76"/>
        <v>PJ/yr.</v>
      </c>
      <c r="F146" s="13">
        <f t="shared" ref="F146:K146" si="82">F132-F139</f>
        <v>0</v>
      </c>
      <c r="G146" s="13">
        <f t="shared" si="82"/>
        <v>0</v>
      </c>
      <c r="H146" s="13">
        <f t="shared" si="82"/>
        <v>0</v>
      </c>
      <c r="I146" s="13">
        <f t="shared" si="82"/>
        <v>0</v>
      </c>
      <c r="J146" s="13">
        <f t="shared" si="82"/>
        <v>0.13263504482180993</v>
      </c>
      <c r="K146" s="13">
        <f t="shared" si="82"/>
        <v>0.35587575153250067</v>
      </c>
    </row>
    <row r="147" spans="1:11">
      <c r="A147" s="5" t="s">
        <v>5</v>
      </c>
      <c r="B147" s="5" t="str">
        <f t="shared" si="37"/>
        <v>SPS1</v>
      </c>
      <c r="C147" s="5" t="str">
        <f t="shared" si="38"/>
        <v>CH</v>
      </c>
      <c r="D147" t="s">
        <v>54</v>
      </c>
      <c r="E147" t="str">
        <f t="shared" si="76"/>
        <v>PJ/yr.</v>
      </c>
      <c r="F147" s="13">
        <f t="shared" ref="F147:K147" si="83">F133-F140</f>
        <v>0.23004007986946667</v>
      </c>
      <c r="G147" s="13">
        <f t="shared" si="83"/>
        <v>0.2075395998481632</v>
      </c>
      <c r="H147" s="13">
        <f t="shared" si="83"/>
        <v>0.33670547578737114</v>
      </c>
      <c r="I147" s="13">
        <f t="shared" si="83"/>
        <v>0.33294516750130332</v>
      </c>
      <c r="J147" s="13">
        <f t="shared" si="83"/>
        <v>0.1899751635941746</v>
      </c>
      <c r="K147" s="13">
        <f t="shared" si="83"/>
        <v>0</v>
      </c>
    </row>
    <row r="148" spans="1:11">
      <c r="A148" s="5" t="s">
        <v>5</v>
      </c>
      <c r="B148" s="5" t="str">
        <f t="shared" ref="B148:B179" si="84">B147</f>
        <v>SPS1</v>
      </c>
      <c r="C148" s="5" t="str">
        <f t="shared" ref="C148:C179" si="85">C147</f>
        <v>CH</v>
      </c>
      <c r="D148" t="s">
        <v>55</v>
      </c>
      <c r="E148" t="str">
        <f t="shared" si="76"/>
        <v>PJ/yr.</v>
      </c>
      <c r="F148" s="13">
        <f t="shared" ref="F148:K148" si="86">F134-F141</f>
        <v>0</v>
      </c>
      <c r="G148" s="13">
        <f t="shared" si="86"/>
        <v>0</v>
      </c>
      <c r="H148" s="13">
        <f t="shared" si="86"/>
        <v>0</v>
      </c>
      <c r="I148" s="13">
        <f t="shared" si="86"/>
        <v>0</v>
      </c>
      <c r="J148" s="13">
        <f t="shared" si="86"/>
        <v>0.12379361782821342</v>
      </c>
      <c r="K148" s="13">
        <f t="shared" si="86"/>
        <v>0.59296383828231358</v>
      </c>
    </row>
    <row r="149" spans="1:11">
      <c r="A149" s="5" t="s">
        <v>5</v>
      </c>
      <c r="B149" s="5" t="str">
        <f t="shared" si="84"/>
        <v>SPS1</v>
      </c>
      <c r="C149" s="5" t="str">
        <f t="shared" si="85"/>
        <v>CH</v>
      </c>
      <c r="D149" t="s">
        <v>833</v>
      </c>
      <c r="E149" t="str">
        <f t="shared" si="76"/>
        <v>PJ/yr.</v>
      </c>
      <c r="F149" s="13">
        <f>SUM(F150:F156)</f>
        <v>0.5844814258142238</v>
      </c>
      <c r="G149" s="13">
        <f t="shared" ref="G149:K149" si="87">SUM(G150:G156)</f>
        <v>0.58448269636735983</v>
      </c>
      <c r="H149" s="13">
        <f t="shared" si="87"/>
        <v>1.1376397633962068</v>
      </c>
      <c r="I149" s="13">
        <f t="shared" si="87"/>
        <v>1.8385457178961142</v>
      </c>
      <c r="J149" s="13">
        <f t="shared" si="87"/>
        <v>4.5422541872957041</v>
      </c>
      <c r="K149" s="13">
        <f t="shared" si="87"/>
        <v>6.0707040109233708</v>
      </c>
    </row>
    <row r="150" spans="1:11">
      <c r="A150" s="5" t="s">
        <v>5</v>
      </c>
      <c r="B150" s="5" t="str">
        <f t="shared" si="84"/>
        <v>SPS1</v>
      </c>
      <c r="C150" s="5" t="str">
        <f t="shared" si="85"/>
        <v>CH</v>
      </c>
      <c r="D150" t="s">
        <v>66</v>
      </c>
      <c r="E150" t="str">
        <f>E84</f>
        <v>PJ/yr.</v>
      </c>
      <c r="F150" s="13">
        <f>'[1]Electricity and CHPs'!B25</f>
        <v>0.4120288480451112</v>
      </c>
      <c r="G150" s="13">
        <f>'[1]Electricity and CHPs'!C25</f>
        <v>1.6544772360841875E-5</v>
      </c>
      <c r="H150" s="13">
        <f>'[1]Electricity and CHPs'!D25</f>
        <v>8.5581149014901073E-4</v>
      </c>
      <c r="I150" s="13">
        <f>'[1]Electricity and CHPs'!E25</f>
        <v>2.8428885477258919E-4</v>
      </c>
      <c r="J150" s="13">
        <f>'[1]Electricity and CHPs'!F25</f>
        <v>0.12571994639223508</v>
      </c>
      <c r="K150" s="13">
        <f>'[1]Electricity and CHPs'!G25</f>
        <v>0.73594497259483516</v>
      </c>
    </row>
    <row r="151" spans="1:11">
      <c r="A151" s="5" t="s">
        <v>5</v>
      </c>
      <c r="B151" s="5" t="str">
        <f t="shared" si="84"/>
        <v>SPS1</v>
      </c>
      <c r="C151" s="5" t="str">
        <f t="shared" si="85"/>
        <v>CH</v>
      </c>
      <c r="D151" t="s">
        <v>67</v>
      </c>
      <c r="E151" t="str">
        <f>E168</f>
        <v>PJ/yr.</v>
      </c>
      <c r="F151" s="13">
        <f>'[1]Electricity and CHPs'!B31</f>
        <v>0</v>
      </c>
      <c r="G151" s="13">
        <f>'[1]Electricity and CHPs'!C31</f>
        <v>0</v>
      </c>
      <c r="H151" s="13">
        <f>'[1]Electricity and CHPs'!D31</f>
        <v>0</v>
      </c>
      <c r="I151" s="13">
        <f>'[1]Electricity and CHPs'!E31</f>
        <v>0</v>
      </c>
      <c r="J151" s="13">
        <f>'[1]Electricity and CHPs'!F31</f>
        <v>1.3917579925816123E-5</v>
      </c>
      <c r="K151" s="13">
        <f>'[1]Electricity and CHPs'!G31</f>
        <v>0.18398442291238482</v>
      </c>
    </row>
    <row r="152" spans="1:11">
      <c r="A152" s="5" t="s">
        <v>5</v>
      </c>
      <c r="B152" s="5" t="str">
        <f t="shared" si="84"/>
        <v>SPS1</v>
      </c>
      <c r="C152" s="5" t="str">
        <f t="shared" si="85"/>
        <v>CH</v>
      </c>
      <c r="D152" t="s">
        <v>68</v>
      </c>
      <c r="E152" t="str">
        <f>E75</f>
        <v>PJ/yr.</v>
      </c>
      <c r="F152" s="13">
        <f>'[1]Electricity and CHPs'!B42</f>
        <v>0.17245257776911257</v>
      </c>
      <c r="G152" s="13">
        <f>'[1]Electricity and CHPs'!C42</f>
        <v>0.58446615159499904</v>
      </c>
      <c r="H152" s="13">
        <f>'[1]Electricity and CHPs'!D42</f>
        <v>1.1367839519060579</v>
      </c>
      <c r="I152" s="13">
        <f>'[1]Electricity and CHPs'!E42</f>
        <v>1.8381945256006382</v>
      </c>
      <c r="J152" s="13">
        <f>'[1]Electricity and CHPs'!F42</f>
        <v>1.7126645984951328</v>
      </c>
      <c r="K152" s="13">
        <f>'[1]Electricity and CHPs'!G42</f>
        <v>0.91852939080639817</v>
      </c>
    </row>
    <row r="153" spans="1:11">
      <c r="A153" s="5" t="s">
        <v>5</v>
      </c>
      <c r="B153" s="5" t="str">
        <f t="shared" si="84"/>
        <v>SPS1</v>
      </c>
      <c r="C153" s="5" t="str">
        <f t="shared" si="85"/>
        <v>CH</v>
      </c>
      <c r="D153" t="s">
        <v>69</v>
      </c>
      <c r="E153" t="str">
        <f>E152</f>
        <v>PJ/yr.</v>
      </c>
      <c r="F153" s="13">
        <f>'[1]Electricity and CHPs'!B43</f>
        <v>0</v>
      </c>
      <c r="G153" s="13">
        <f>'[1]Electricity and CHPs'!C43</f>
        <v>0</v>
      </c>
      <c r="H153" s="13">
        <f>'[1]Electricity and CHPs'!D43</f>
        <v>0</v>
      </c>
      <c r="I153" s="13">
        <f>'[1]Electricity and CHPs'!E43</f>
        <v>0</v>
      </c>
      <c r="J153" s="13">
        <f>'[1]Electricity and CHPs'!F43</f>
        <v>2.7037077381314512</v>
      </c>
      <c r="K153" s="13">
        <f>'[1]Electricity and CHPs'!G43</f>
        <v>4.2321582705998138</v>
      </c>
    </row>
    <row r="154" spans="1:11">
      <c r="A154" s="5" t="s">
        <v>5</v>
      </c>
      <c r="B154" s="5" t="str">
        <f t="shared" si="84"/>
        <v>SPS1</v>
      </c>
      <c r="C154" s="5" t="str">
        <f t="shared" si="85"/>
        <v>CH</v>
      </c>
      <c r="D154" t="s">
        <v>70</v>
      </c>
      <c r="E154" t="str">
        <f>E90</f>
        <v>PJ/yr.</v>
      </c>
      <c r="F154" s="13">
        <f>'[1]Electricity and CHPs'!B50</f>
        <v>0</v>
      </c>
      <c r="G154" s="13">
        <f>'[1]Electricity and CHPs'!C50</f>
        <v>0</v>
      </c>
      <c r="H154" s="13">
        <f>'[1]Electricity and CHPs'!D50</f>
        <v>0</v>
      </c>
      <c r="I154" s="13">
        <f>'[1]Electricity and CHPs'!E50</f>
        <v>2.6262298043956618E-5</v>
      </c>
      <c r="J154" s="13">
        <f>'[1]Electricity and CHPs'!F50</f>
        <v>5.8241890452094316E-5</v>
      </c>
      <c r="K154" s="13">
        <f>'[1]Electricity and CHPs'!G50</f>
        <v>4.4928067680485891E-5</v>
      </c>
    </row>
    <row r="155" spans="1:11">
      <c r="A155" s="5" t="s">
        <v>5</v>
      </c>
      <c r="B155" s="5" t="str">
        <f t="shared" si="84"/>
        <v>SPS1</v>
      </c>
      <c r="C155" s="5" t="str">
        <f t="shared" si="85"/>
        <v>CH</v>
      </c>
      <c r="D155" t="s">
        <v>71</v>
      </c>
      <c r="E155" t="str">
        <f>E92</f>
        <v>PJ/yr.</v>
      </c>
      <c r="F155" s="13">
        <f>'[1]Electricity and CHPs'!B53</f>
        <v>0</v>
      </c>
      <c r="G155" s="13">
        <f>'[1]Electricity and CHPs'!C53</f>
        <v>0</v>
      </c>
      <c r="H155" s="13">
        <f>'[1]Electricity and CHPs'!D53</f>
        <v>0</v>
      </c>
      <c r="I155" s="13">
        <f>'[1]Electricity and CHPs'!E53</f>
        <v>0</v>
      </c>
      <c r="J155" s="13">
        <f>'[1]Electricity and CHPs'!F53</f>
        <v>0</v>
      </c>
      <c r="K155" s="13">
        <f>'[1]Electricity and CHPs'!G53</f>
        <v>0</v>
      </c>
    </row>
    <row r="156" spans="1:11">
      <c r="A156" s="5" t="s">
        <v>5</v>
      </c>
      <c r="B156" s="5" t="str">
        <f t="shared" si="84"/>
        <v>SPS1</v>
      </c>
      <c r="C156" s="5" t="str">
        <f t="shared" si="85"/>
        <v>CH</v>
      </c>
      <c r="D156" t="s">
        <v>298</v>
      </c>
      <c r="E156" t="str">
        <f>E94</f>
        <v>PJ/yr.</v>
      </c>
      <c r="F156" s="13">
        <f>'[1]Electricity and CHPs'!B56</f>
        <v>0</v>
      </c>
      <c r="G156" s="13">
        <f>'[1]Electricity and CHPs'!C56</f>
        <v>0</v>
      </c>
      <c r="H156" s="13">
        <f>'[1]Electricity and CHPs'!D56</f>
        <v>0</v>
      </c>
      <c r="I156" s="13">
        <f>'[1]Electricity and CHPs'!E56</f>
        <v>4.0641142659442411E-5</v>
      </c>
      <c r="J156" s="13">
        <f>'[1]Electricity and CHPs'!F56</f>
        <v>8.9744806506716188E-5</v>
      </c>
      <c r="K156" s="13">
        <f>'[1]Electricity and CHPs'!G56</f>
        <v>4.2025942258536006E-5</v>
      </c>
    </row>
    <row r="157" spans="1:11">
      <c r="A157" s="5" t="s">
        <v>5</v>
      </c>
      <c r="B157" s="5" t="str">
        <f t="shared" si="84"/>
        <v>SPS1</v>
      </c>
      <c r="C157" s="5" t="str">
        <f t="shared" si="85"/>
        <v>CH</v>
      </c>
      <c r="D157" t="s">
        <v>834</v>
      </c>
      <c r="E157" t="str">
        <f>E95</f>
        <v>PJ/yr.</v>
      </c>
      <c r="F157" s="13">
        <f>F158</f>
        <v>0.52400000000000047</v>
      </c>
      <c r="G157" s="13">
        <f t="shared" ref="G157:K157" si="88">G158</f>
        <v>0.55079999487740994</v>
      </c>
      <c r="H157" s="13">
        <f t="shared" si="88"/>
        <v>1.9353729882399184</v>
      </c>
      <c r="I157" s="13">
        <f t="shared" si="88"/>
        <v>6.3940299883357739</v>
      </c>
      <c r="J157" s="13">
        <f t="shared" si="88"/>
        <v>17.980165940397701</v>
      </c>
      <c r="K157" s="13">
        <f t="shared" si="88"/>
        <v>35.960145584703454</v>
      </c>
    </row>
    <row r="158" spans="1:11">
      <c r="A158" s="5" t="s">
        <v>5</v>
      </c>
      <c r="B158" s="5" t="str">
        <f t="shared" si="84"/>
        <v>SPS1</v>
      </c>
      <c r="C158" s="5" t="str">
        <f t="shared" si="85"/>
        <v>CH</v>
      </c>
      <c r="D158" t="s">
        <v>72</v>
      </c>
      <c r="E158" t="str">
        <f>E165</f>
        <v>PJ/yr.</v>
      </c>
      <c r="F158" s="13">
        <f>'[1]Electricity and CHPs'!B33</f>
        <v>0.52400000000000047</v>
      </c>
      <c r="G158" s="13">
        <f>'[1]Electricity and CHPs'!C33</f>
        <v>0.55079999487740994</v>
      </c>
      <c r="H158" s="13">
        <f>'[1]Electricity and CHPs'!D33</f>
        <v>1.9353729882399184</v>
      </c>
      <c r="I158" s="13">
        <f>'[1]Electricity and CHPs'!E33</f>
        <v>6.3940299883357739</v>
      </c>
      <c r="J158" s="13">
        <f>'[1]Electricity and CHPs'!F33</f>
        <v>17.980165940397701</v>
      </c>
      <c r="K158" s="13">
        <f>'[1]Electricity and CHPs'!G33</f>
        <v>35.960145584703454</v>
      </c>
    </row>
    <row r="159" spans="1:11">
      <c r="A159" s="5" t="s">
        <v>5</v>
      </c>
      <c r="B159" s="5" t="str">
        <f t="shared" si="84"/>
        <v>SPS1</v>
      </c>
      <c r="C159" s="5" t="str">
        <f t="shared" si="85"/>
        <v>CH</v>
      </c>
      <c r="D159" t="s">
        <v>835</v>
      </c>
      <c r="E159" t="str">
        <f>E169</f>
        <v>PJ/yr.</v>
      </c>
      <c r="F159" s="13">
        <f>SUM(F160:F164)</f>
        <v>9.3550000000000111</v>
      </c>
      <c r="G159" s="13">
        <f t="shared" ref="G159:K159" si="89">SUM(G160:G164)</f>
        <v>13.361083208983221</v>
      </c>
      <c r="H159" s="13">
        <f t="shared" si="89"/>
        <v>16.083419510350371</v>
      </c>
      <c r="I159" s="13">
        <f t="shared" si="89"/>
        <v>28.453918284622503</v>
      </c>
      <c r="J159" s="13">
        <f t="shared" si="89"/>
        <v>51.587496703212537</v>
      </c>
      <c r="K159" s="13">
        <f t="shared" si="89"/>
        <v>77.65627470191346</v>
      </c>
    </row>
    <row r="160" spans="1:11">
      <c r="A160" s="5" t="s">
        <v>5</v>
      </c>
      <c r="B160" s="5" t="str">
        <f t="shared" si="84"/>
        <v>SPS1</v>
      </c>
      <c r="C160" s="5" t="str">
        <f t="shared" si="85"/>
        <v>CH</v>
      </c>
      <c r="D160" t="s">
        <v>73</v>
      </c>
      <c r="E160" t="str">
        <f>E158</f>
        <v>PJ/yr.</v>
      </c>
      <c r="F160" s="13">
        <f>'[1]Electricity and CHPs'!B34</f>
        <v>0</v>
      </c>
      <c r="G160" s="13">
        <f>'[1]Electricity and CHPs'!C34</f>
        <v>0</v>
      </c>
      <c r="H160" s="13">
        <f>'[1]Electricity and CHPs'!D34</f>
        <v>0.14856511313790149</v>
      </c>
      <c r="I160" s="13">
        <f>'[1]Electricity and CHPs'!E34</f>
        <v>0.23805623020223662</v>
      </c>
      <c r="J160" s="13">
        <f>'[1]Electricity and CHPs'!F34</f>
        <v>1.4214467923366068</v>
      </c>
      <c r="K160" s="13">
        <f>'[1]Electricity and CHPs'!G34</f>
        <v>5.8672630348119483</v>
      </c>
    </row>
    <row r="161" spans="1:11">
      <c r="A161" s="5" t="s">
        <v>5</v>
      </c>
      <c r="B161" s="5" t="str">
        <f t="shared" si="84"/>
        <v>SPS1</v>
      </c>
      <c r="C161" s="5" t="str">
        <f t="shared" si="85"/>
        <v>CH</v>
      </c>
      <c r="D161" t="s">
        <v>74</v>
      </c>
      <c r="E161" t="str">
        <f>E160</f>
        <v>PJ/yr.</v>
      </c>
      <c r="F161" s="13">
        <f>'[1]Electricity and CHPs'!B35</f>
        <v>3.517953999707534</v>
      </c>
      <c r="G161" s="13">
        <f>'[1]Electricity and CHPs'!C35</f>
        <v>5.2836844775526357</v>
      </c>
      <c r="H161" s="13">
        <f>'[1]Electricity and CHPs'!D35</f>
        <v>6.9760031413777854</v>
      </c>
      <c r="I161" s="13">
        <f>'[1]Electricity and CHPs'!E35</f>
        <v>17.321232970106955</v>
      </c>
      <c r="J161" s="13">
        <f>'[1]Electricity and CHPs'!F35</f>
        <v>35.524595502046708</v>
      </c>
      <c r="K161" s="13">
        <f>'[1]Electricity and CHPs'!G35</f>
        <v>52.112117460693973</v>
      </c>
    </row>
    <row r="162" spans="1:11">
      <c r="A162" s="5" t="s">
        <v>5</v>
      </c>
      <c r="B162" s="5" t="str">
        <f t="shared" si="84"/>
        <v>SPS1</v>
      </c>
      <c r="C162" s="5" t="str">
        <f t="shared" si="85"/>
        <v>CH</v>
      </c>
      <c r="D162" t="s">
        <v>75</v>
      </c>
      <c r="E162" t="str">
        <f>E161</f>
        <v>PJ/yr.</v>
      </c>
      <c r="F162" s="13">
        <f>'[1]Electricity and CHPs'!B36</f>
        <v>2.1349390887346629</v>
      </c>
      <c r="G162" s="13">
        <f>'[1]Electricity and CHPs'!C36</f>
        <v>2.8857414319269008</v>
      </c>
      <c r="H162" s="13">
        <f>'[1]Electricity and CHPs'!D36</f>
        <v>3.4417841859344631</v>
      </c>
      <c r="I162" s="13">
        <f>'[1]Electricity and CHPs'!E36</f>
        <v>4.1854666701866581</v>
      </c>
      <c r="J162" s="13">
        <f>'[1]Electricity and CHPs'!F36</f>
        <v>5.6249100911044811</v>
      </c>
      <c r="K162" s="13">
        <f>'[1]Electricity and CHPs'!G36</f>
        <v>7.5594113678802097</v>
      </c>
    </row>
    <row r="163" spans="1:11">
      <c r="A163" s="5" t="s">
        <v>5</v>
      </c>
      <c r="B163" s="5" t="str">
        <f t="shared" si="84"/>
        <v>SPS1</v>
      </c>
      <c r="C163" s="5" t="str">
        <f t="shared" si="85"/>
        <v>CH</v>
      </c>
      <c r="D163" t="s">
        <v>76</v>
      </c>
      <c r="E163" t="str">
        <f>E162</f>
        <v>PJ/yr.</v>
      </c>
      <c r="F163" s="13">
        <f>'[1]Electricity and CHPs'!B37</f>
        <v>0.86248322578584768</v>
      </c>
      <c r="G163" s="13">
        <f>'[1]Electricity and CHPs'!C37</f>
        <v>1.4310617999735702</v>
      </c>
      <c r="H163" s="13">
        <f>'[1]Electricity and CHPs'!D37</f>
        <v>1.6425689397440268</v>
      </c>
      <c r="I163" s="13">
        <f>'[1]Electricity and CHPs'!E37</f>
        <v>1.9974865246625577</v>
      </c>
      <c r="J163" s="13">
        <f>'[1]Electricity and CHPs'!F37</f>
        <v>2.6844548398037285</v>
      </c>
      <c r="K163" s="13">
        <f>'[1]Electricity and CHPs'!G37</f>
        <v>3.60768296835061</v>
      </c>
    </row>
    <row r="164" spans="1:11">
      <c r="A164" s="5" t="s">
        <v>5</v>
      </c>
      <c r="B164" s="5" t="str">
        <f t="shared" si="84"/>
        <v>SPS1</v>
      </c>
      <c r="C164" s="5" t="str">
        <f t="shared" si="85"/>
        <v>CH</v>
      </c>
      <c r="D164" t="s">
        <v>87</v>
      </c>
      <c r="E164" t="str">
        <f>E163</f>
        <v>PJ/yr.</v>
      </c>
      <c r="F164" s="13">
        <f>'[1]Electricity and CHPs'!B38</f>
        <v>2.8396236857719668</v>
      </c>
      <c r="G164" s="13">
        <f>'[1]Electricity and CHPs'!C38</f>
        <v>3.760595499530115</v>
      </c>
      <c r="H164" s="13">
        <f>'[1]Electricity and CHPs'!D38</f>
        <v>3.8744981301561947</v>
      </c>
      <c r="I164" s="13">
        <f>'[1]Electricity and CHPs'!E38</f>
        <v>4.7116758894640949</v>
      </c>
      <c r="J164" s="13">
        <f>'[1]Electricity and CHPs'!F38</f>
        <v>6.3320894779210102</v>
      </c>
      <c r="K164" s="13">
        <f>'[1]Electricity and CHPs'!G38</f>
        <v>8.5097998701767015</v>
      </c>
    </row>
    <row r="165" spans="1:11">
      <c r="A165" s="5" t="s">
        <v>5</v>
      </c>
      <c r="B165" s="5" t="str">
        <f>B168</f>
        <v>SPS1</v>
      </c>
      <c r="C165" s="5" t="str">
        <f>C168</f>
        <v>CH</v>
      </c>
      <c r="D165" t="s">
        <v>836</v>
      </c>
      <c r="E165" t="str">
        <f>E151</f>
        <v>PJ/yr.</v>
      </c>
      <c r="F165" s="13">
        <f>'[1]Electricity and CHPs'!B32</f>
        <v>0</v>
      </c>
      <c r="G165" s="13">
        <f>'[1]Electricity and CHPs'!C32</f>
        <v>0</v>
      </c>
      <c r="H165" s="13">
        <f>'[1]Electricity and CHPs'!D32</f>
        <v>0</v>
      </c>
      <c r="I165" s="13">
        <f>'[1]Electricity and CHPs'!E32</f>
        <v>0</v>
      </c>
      <c r="J165" s="13">
        <f>'[1]Electricity and CHPs'!F32</f>
        <v>5.8409003546072507E-4</v>
      </c>
      <c r="K165" s="13">
        <f>'[1]Electricity and CHPs'!G32</f>
        <v>3.2041770316103531</v>
      </c>
    </row>
    <row r="166" spans="1:11">
      <c r="A166" s="5" t="s">
        <v>5</v>
      </c>
      <c r="B166" s="5" t="str">
        <f t="shared" ref="B166" si="90">B165</f>
        <v>SPS1</v>
      </c>
      <c r="C166" s="5" t="str">
        <f t="shared" ref="C166" si="91">C165</f>
        <v>CH</v>
      </c>
      <c r="D166" t="s">
        <v>91</v>
      </c>
      <c r="E166" t="str">
        <f>E152</f>
        <v>PJ/yr.</v>
      </c>
      <c r="F166" s="13">
        <f>F165</f>
        <v>0</v>
      </c>
      <c r="G166" s="13">
        <f t="shared" ref="G166:K166" si="92">G165</f>
        <v>0</v>
      </c>
      <c r="H166" s="13">
        <f t="shared" si="92"/>
        <v>0</v>
      </c>
      <c r="I166" s="13">
        <f t="shared" si="92"/>
        <v>0</v>
      </c>
      <c r="J166" s="13">
        <f t="shared" si="92"/>
        <v>5.8409003546072507E-4</v>
      </c>
      <c r="K166" s="13">
        <f t="shared" si="92"/>
        <v>3.2041770316103531</v>
      </c>
    </row>
    <row r="167" spans="1:11">
      <c r="A167" s="5" t="s">
        <v>5</v>
      </c>
      <c r="B167" s="5" t="str">
        <f>B164</f>
        <v>SPS1</v>
      </c>
      <c r="C167" s="5" t="str">
        <f>C164</f>
        <v>CH</v>
      </c>
      <c r="D167" t="s">
        <v>837</v>
      </c>
      <c r="E167" t="str">
        <f>E164</f>
        <v>PJ/yr.</v>
      </c>
      <c r="F167" s="13">
        <f t="shared" ref="F167:K167" si="93">SUM(F168:F170)</f>
        <v>0</v>
      </c>
      <c r="G167" s="13">
        <f t="shared" si="93"/>
        <v>0</v>
      </c>
      <c r="H167" s="13">
        <f t="shared" si="93"/>
        <v>0</v>
      </c>
      <c r="I167" s="13">
        <f t="shared" si="93"/>
        <v>1.2964039055411133E-4</v>
      </c>
      <c r="J167" s="13">
        <f t="shared" si="93"/>
        <v>5.4280647786315904E-4</v>
      </c>
      <c r="K167" s="13">
        <f t="shared" si="93"/>
        <v>0.51632072842694932</v>
      </c>
    </row>
    <row r="168" spans="1:11">
      <c r="A168" s="5" t="s">
        <v>5</v>
      </c>
      <c r="B168" s="5" t="str">
        <f t="shared" si="84"/>
        <v>SPS1</v>
      </c>
      <c r="C168" s="5" t="str">
        <f t="shared" si="85"/>
        <v>CH</v>
      </c>
      <c r="D168" t="s">
        <v>77</v>
      </c>
      <c r="E168" t="str">
        <f>E85</f>
        <v>PJ/yr.</v>
      </c>
      <c r="F168" s="13">
        <f>'[1]Electricity and CHPs'!B30</f>
        <v>0</v>
      </c>
      <c r="G168" s="13">
        <f>'[1]Electricity and CHPs'!C30</f>
        <v>0</v>
      </c>
      <c r="H168" s="13">
        <f>'[1]Electricity and CHPs'!D30</f>
        <v>0</v>
      </c>
      <c r="I168" s="13">
        <f>'[1]Electricity and CHPs'!E30</f>
        <v>0</v>
      </c>
      <c r="J168" s="13">
        <f>'[1]Electricity and CHPs'!F30</f>
        <v>1.5083355571333905E-5</v>
      </c>
      <c r="K168" s="13">
        <f>'[1]Electricity and CHPs'!G30</f>
        <v>4.7829162454984531E-2</v>
      </c>
    </row>
    <row r="169" spans="1:11">
      <c r="A169" s="5" t="s">
        <v>5</v>
      </c>
      <c r="B169" s="5" t="str">
        <f>B165</f>
        <v>SPS1</v>
      </c>
      <c r="C169" s="5" t="str">
        <f>C165</f>
        <v>CH</v>
      </c>
      <c r="D169" t="s">
        <v>78</v>
      </c>
      <c r="E169" t="str">
        <f>E134</f>
        <v>PJ/yr.</v>
      </c>
      <c r="F169" s="13">
        <f>'[1]Electricity and CHPs'!B46</f>
        <v>0</v>
      </c>
      <c r="G169" s="13">
        <f>'[1]Electricity and CHPs'!C46</f>
        <v>0</v>
      </c>
      <c r="H169" s="13">
        <f>'[1]Electricity and CHPs'!D46</f>
        <v>0</v>
      </c>
      <c r="I169" s="13">
        <f>'[1]Electricity and CHPs'!E46</f>
        <v>1.0181042810408226E-4</v>
      </c>
      <c r="J169" s="13">
        <f>'[1]Electricity and CHPs'!F46</f>
        <v>4.8333280924813882E-4</v>
      </c>
      <c r="K169" s="13">
        <f>'[1]Electricity and CHPs'!G46</f>
        <v>0.46843226986173725</v>
      </c>
    </row>
    <row r="170" spans="1:11">
      <c r="A170" s="5" t="s">
        <v>5</v>
      </c>
      <c r="B170" s="5" t="str">
        <f t="shared" si="84"/>
        <v>SPS1</v>
      </c>
      <c r="C170" s="5" t="str">
        <f t="shared" si="85"/>
        <v>CH</v>
      </c>
      <c r="D170" t="s">
        <v>236</v>
      </c>
      <c r="E170" t="str">
        <f t="shared" ref="E170:E178" si="94">E156</f>
        <v>PJ/yr.</v>
      </c>
      <c r="F170" s="13">
        <f>'[1]Electricity and CHPs'!B57</f>
        <v>0</v>
      </c>
      <c r="G170" s="13">
        <f>'[1]Electricity and CHPs'!C57</f>
        <v>0</v>
      </c>
      <c r="H170" s="13">
        <f>'[1]Electricity and CHPs'!D57</f>
        <v>0</v>
      </c>
      <c r="I170" s="13">
        <f>'[1]Electricity and CHPs'!E57</f>
        <v>2.7829962450029068E-5</v>
      </c>
      <c r="J170" s="13">
        <f>'[1]Electricity and CHPs'!F57</f>
        <v>4.4390313043686256E-5</v>
      </c>
      <c r="K170" s="13">
        <f>'[1]Electricity and CHPs'!G57</f>
        <v>5.929611022743657E-5</v>
      </c>
    </row>
    <row r="171" spans="1:11">
      <c r="A171" s="5" t="s">
        <v>5</v>
      </c>
      <c r="B171" s="5" t="str">
        <f t="shared" si="84"/>
        <v>SPS1</v>
      </c>
      <c r="C171" s="5" t="str">
        <f t="shared" si="85"/>
        <v>CH</v>
      </c>
      <c r="D171" t="s">
        <v>838</v>
      </c>
      <c r="E171" t="str">
        <f t="shared" si="94"/>
        <v>PJ/yr.</v>
      </c>
      <c r="F171" s="13">
        <f>SUM(F172:F178)</f>
        <v>9.4780383002227478E-2</v>
      </c>
      <c r="G171" s="13">
        <f t="shared" ref="G171:K171" si="95">SUM(G172:G178)</f>
        <v>6.3220218029740437E-3</v>
      </c>
      <c r="H171" s="13">
        <f t="shared" si="95"/>
        <v>3.8515762024040452E-2</v>
      </c>
      <c r="I171" s="13">
        <f t="shared" si="95"/>
        <v>4.2692836396232637E-3</v>
      </c>
      <c r="J171" s="13">
        <f t="shared" si="95"/>
        <v>0.16270624154282518</v>
      </c>
      <c r="K171" s="13">
        <f t="shared" si="95"/>
        <v>0.52113642310848929</v>
      </c>
    </row>
    <row r="172" spans="1:11">
      <c r="A172" s="5" t="s">
        <v>5</v>
      </c>
      <c r="B172" s="5" t="str">
        <f t="shared" si="84"/>
        <v>SPS1</v>
      </c>
      <c r="C172" s="5" t="str">
        <f t="shared" si="85"/>
        <v>CH</v>
      </c>
      <c r="D172" t="s">
        <v>79</v>
      </c>
      <c r="E172" t="str">
        <f t="shared" si="94"/>
        <v>PJ/yr.</v>
      </c>
      <c r="F172" s="13">
        <f>'[1]Electricity and CHPs'!B70</f>
        <v>9.4500252975572588E-2</v>
      </c>
      <c r="G172" s="13">
        <f>'[1]Electricity and CHPs'!C70</f>
        <v>6.0720923649635649E-3</v>
      </c>
      <c r="H172" s="13">
        <f>'[1]Electricity and CHPs'!D70</f>
        <v>3.8206563196244291E-2</v>
      </c>
      <c r="I172" s="13">
        <f>'[1]Electricity and CHPs'!E70</f>
        <v>1.9269994355891474E-5</v>
      </c>
      <c r="J172" s="13">
        <f>'[1]Electricity and CHPs'!F70</f>
        <v>7.5119992426337745E-4</v>
      </c>
      <c r="K172" s="13">
        <f>'[1]Electricity and CHPs'!G70</f>
        <v>4.3483732757662104E-2</v>
      </c>
    </row>
    <row r="173" spans="1:11">
      <c r="A173" s="5" t="s">
        <v>5</v>
      </c>
      <c r="B173" s="5" t="str">
        <f t="shared" si="84"/>
        <v>SPS1</v>
      </c>
      <c r="C173" s="5" t="str">
        <f t="shared" si="85"/>
        <v>CH</v>
      </c>
      <c r="D173" t="s">
        <v>80</v>
      </c>
      <c r="E173" t="str">
        <f t="shared" si="94"/>
        <v>PJ/yr.</v>
      </c>
      <c r="F173" s="13">
        <f>'[1]Electricity and CHPs'!B71</f>
        <v>7.0665640978477844E-5</v>
      </c>
      <c r="G173" s="13">
        <f>'[1]Electricity and CHPs'!C71</f>
        <v>5.5016466614366113E-5</v>
      </c>
      <c r="H173" s="13">
        <f>'[1]Electricity and CHPs'!D71</f>
        <v>7.1087989728701249E-5</v>
      </c>
      <c r="I173" s="13">
        <f>'[1]Electricity and CHPs'!E71</f>
        <v>0</v>
      </c>
      <c r="J173" s="13">
        <f>'[1]Electricity and CHPs'!F71</f>
        <v>0</v>
      </c>
      <c r="K173" s="13">
        <f>'[1]Electricity and CHPs'!G71</f>
        <v>0</v>
      </c>
    </row>
    <row r="174" spans="1:11">
      <c r="A174" s="5" t="s">
        <v>5</v>
      </c>
      <c r="B174" s="5" t="str">
        <f t="shared" si="84"/>
        <v>SPS1</v>
      </c>
      <c r="C174" s="5" t="str">
        <f t="shared" si="85"/>
        <v>CH</v>
      </c>
      <c r="D174" t="s">
        <v>81</v>
      </c>
      <c r="E174" t="str">
        <f t="shared" si="94"/>
        <v>PJ/yr.</v>
      </c>
      <c r="F174" s="13">
        <f>'[1]Electricity and CHPs'!B72</f>
        <v>6.4438962310693163E-5</v>
      </c>
      <c r="G174" s="13">
        <f>'[1]Electricity and CHPs'!C72</f>
        <v>5.0479184474412595E-5</v>
      </c>
      <c r="H174" s="13">
        <f>'[1]Electricity and CHPs'!D72</f>
        <v>6.4887300704795717E-5</v>
      </c>
      <c r="I174" s="13">
        <f>'[1]Electricity and CHPs'!E72</f>
        <v>0</v>
      </c>
      <c r="J174" s="13">
        <f>'[1]Electricity and CHPs'!F72</f>
        <v>0</v>
      </c>
      <c r="K174" s="13">
        <f>'[1]Electricity and CHPs'!G72</f>
        <v>0</v>
      </c>
    </row>
    <row r="175" spans="1:11">
      <c r="A175" s="5" t="s">
        <v>5</v>
      </c>
      <c r="B175" s="5" t="str">
        <f t="shared" si="84"/>
        <v>SPS1</v>
      </c>
      <c r="C175" s="5" t="str">
        <f t="shared" si="85"/>
        <v>CH</v>
      </c>
      <c r="D175" t="s">
        <v>82</v>
      </c>
      <c r="E175" t="str">
        <f t="shared" si="94"/>
        <v>PJ/yr.</v>
      </c>
      <c r="F175" s="13">
        <f>'[1]Electricity and CHPs'!B73</f>
        <v>2.2358256730935395E-5</v>
      </c>
      <c r="G175" s="13">
        <f>'[1]Electricity and CHPs'!C73</f>
        <v>2.2260367481351982E-5</v>
      </c>
      <c r="H175" s="13">
        <f>'[1]Electricity and CHPs'!D73</f>
        <v>3.3290310380604866E-5</v>
      </c>
      <c r="I175" s="13">
        <f>'[1]Electricity and CHPs'!E73</f>
        <v>8.1290350532223286E-5</v>
      </c>
      <c r="J175" s="13">
        <f>'[1]Electricity and CHPs'!F73</f>
        <v>1.4990380814111225E-4</v>
      </c>
      <c r="K175" s="13">
        <f>'[1]Electricity and CHPs'!G73</f>
        <v>1.0949446805113599E-4</v>
      </c>
    </row>
    <row r="176" spans="1:11">
      <c r="A176" s="5" t="s">
        <v>5</v>
      </c>
      <c r="B176" s="5" t="str">
        <f t="shared" si="84"/>
        <v>SPS1</v>
      </c>
      <c r="C176" s="5" t="str">
        <f t="shared" si="85"/>
        <v>CH</v>
      </c>
      <c r="D176" t="s">
        <v>83</v>
      </c>
      <c r="E176" t="str">
        <f t="shared" si="94"/>
        <v>PJ/yr.</v>
      </c>
      <c r="F176" s="13">
        <f>'[1]Electricity and CHPs'!B74</f>
        <v>5.2850176234752415E-5</v>
      </c>
      <c r="G176" s="13">
        <f>'[1]Electricity and CHPs'!C74</f>
        <v>5.2655454084406527E-5</v>
      </c>
      <c r="H176" s="13">
        <f>'[1]Electricity and CHPs'!D74</f>
        <v>5.9065186690420099E-5</v>
      </c>
      <c r="I176" s="13">
        <f>'[1]Electricity and CHPs'!E74</f>
        <v>2.1329110661248265E-3</v>
      </c>
      <c r="J176" s="13">
        <f>'[1]Electricity and CHPs'!F74</f>
        <v>1.2999833447724521E-2</v>
      </c>
      <c r="K176" s="13">
        <f>'[1]Electricity and CHPs'!G74</f>
        <v>0.10043219703473966</v>
      </c>
    </row>
    <row r="177" spans="1:11">
      <c r="A177" s="5" t="s">
        <v>5</v>
      </c>
      <c r="B177" s="5" t="str">
        <f t="shared" si="84"/>
        <v>SPS1</v>
      </c>
      <c r="C177" s="5" t="str">
        <f t="shared" si="85"/>
        <v>CH</v>
      </c>
      <c r="D177" t="s">
        <v>84</v>
      </c>
      <c r="E177" t="str">
        <f t="shared" si="94"/>
        <v>PJ/yr.</v>
      </c>
      <c r="F177" s="13">
        <f>'[1]Electricity and CHPs'!B75</f>
        <v>4.7368539022613963E-5</v>
      </c>
      <c r="G177" s="13">
        <f>'[1]Electricity and CHPs'!C75</f>
        <v>4.7166681654830389E-5</v>
      </c>
      <c r="H177" s="13">
        <f>'[1]Electricity and CHPs'!D75</f>
        <v>4.746454104281769E-5</v>
      </c>
      <c r="I177" s="13">
        <f>'[1]Electricity and CHPs'!E75</f>
        <v>1.9546020000808391E-3</v>
      </c>
      <c r="J177" s="13">
        <f>'[1]Electricity and CHPs'!F75</f>
        <v>0.148673743541721</v>
      </c>
      <c r="K177" s="13">
        <f>'[1]Electricity and CHPs'!G75</f>
        <v>0.37702504788378371</v>
      </c>
    </row>
    <row r="178" spans="1:11">
      <c r="A178" s="5" t="s">
        <v>5</v>
      </c>
      <c r="B178" s="5" t="str">
        <f t="shared" si="84"/>
        <v>SPS1</v>
      </c>
      <c r="C178" s="5" t="str">
        <f t="shared" si="85"/>
        <v>CH</v>
      </c>
      <c r="D178" t="s">
        <v>88</v>
      </c>
      <c r="E178" t="str">
        <f t="shared" si="94"/>
        <v>PJ/yr.</v>
      </c>
      <c r="F178" s="13">
        <f>'[1]Electricity and CHPs'!B76</f>
        <v>2.2448451377422343E-5</v>
      </c>
      <c r="G178" s="13">
        <f>'[1]Electricity and CHPs'!C76</f>
        <v>2.2351283701111696E-5</v>
      </c>
      <c r="H178" s="13">
        <f>'[1]Electricity and CHPs'!D76</f>
        <v>3.3403499248833347E-5</v>
      </c>
      <c r="I178" s="13">
        <f>'[1]Electricity and CHPs'!E76</f>
        <v>8.1210228529483142E-5</v>
      </c>
      <c r="J178" s="13">
        <f>'[1]Electricity and CHPs'!F76</f>
        <v>1.3156082097517493E-4</v>
      </c>
      <c r="K178" s="13">
        <f>'[1]Electricity and CHPs'!G76</f>
        <v>8.5950964252699024E-5</v>
      </c>
    </row>
    <row r="179" spans="1:11">
      <c r="A179" s="8" t="s">
        <v>5</v>
      </c>
      <c r="B179" s="8" t="str">
        <f t="shared" si="84"/>
        <v>SPS1</v>
      </c>
      <c r="C179" s="1" t="str">
        <f t="shared" si="85"/>
        <v>CH</v>
      </c>
      <c r="D179" s="1" t="s">
        <v>154</v>
      </c>
      <c r="E179" s="1" t="str">
        <f>E167</f>
        <v>PJ/yr.</v>
      </c>
      <c r="F179" s="16">
        <f>SUM(F180,F231)</f>
        <v>30.91965069279221</v>
      </c>
      <c r="G179" s="16">
        <f t="shared" ref="G179:K179" si="96">SUM(G180,G231)</f>
        <v>33.811143176611125</v>
      </c>
      <c r="H179" s="16">
        <f t="shared" si="96"/>
        <v>33.108676933951905</v>
      </c>
      <c r="I179" s="16">
        <f t="shared" si="96"/>
        <v>39.006816464487166</v>
      </c>
      <c r="J179" s="16">
        <f t="shared" si="96"/>
        <v>42.530636164029815</v>
      </c>
      <c r="K179" s="16">
        <f t="shared" si="96"/>
        <v>48.390230057664589</v>
      </c>
    </row>
    <row r="180" spans="1:11">
      <c r="A180" s="5" t="s">
        <v>5</v>
      </c>
      <c r="B180" s="5" t="s">
        <v>6</v>
      </c>
      <c r="C180" s="5" t="s">
        <v>7</v>
      </c>
      <c r="D180" t="s">
        <v>839</v>
      </c>
      <c r="E180" t="str">
        <f>E168</f>
        <v>PJ/yr.</v>
      </c>
      <c r="F180" s="13">
        <f t="shared" ref="F180:K180" si="97">F181+F208</f>
        <v>23.057841532389325</v>
      </c>
      <c r="G180" s="13">
        <f t="shared" si="97"/>
        <v>25.468139027729464</v>
      </c>
      <c r="H180" s="13">
        <f t="shared" si="97"/>
        <v>24.78979363974582</v>
      </c>
      <c r="I180" s="13">
        <f t="shared" si="97"/>
        <v>28.719349236565733</v>
      </c>
      <c r="J180" s="13">
        <f t="shared" si="97"/>
        <v>29.106397298611235</v>
      </c>
      <c r="K180" s="13">
        <f t="shared" si="97"/>
        <v>32.173167517853216</v>
      </c>
    </row>
    <row r="181" spans="1:11">
      <c r="A181" s="5" t="s">
        <v>5</v>
      </c>
      <c r="B181" s="5" t="s">
        <v>6</v>
      </c>
      <c r="C181" s="5" t="s">
        <v>7</v>
      </c>
      <c r="D181" t="s">
        <v>854</v>
      </c>
      <c r="E181" t="str">
        <f>E165</f>
        <v>PJ/yr.</v>
      </c>
      <c r="F181" s="13">
        <f t="shared" ref="F181:K181" si="98">SUM(F183,F187,F188,F196,F197,F205,F207)</f>
        <v>17.206261795038174</v>
      </c>
      <c r="G181" s="13">
        <f t="shared" si="98"/>
        <v>13.249432802888613</v>
      </c>
      <c r="H181" s="13">
        <f t="shared" si="98"/>
        <v>12.563024992757704</v>
      </c>
      <c r="I181" s="13">
        <f t="shared" si="98"/>
        <v>12.852489033192384</v>
      </c>
      <c r="J181" s="13">
        <f t="shared" si="98"/>
        <v>12.520342595563873</v>
      </c>
      <c r="K181" s="13">
        <f t="shared" si="98"/>
        <v>14.135962227741354</v>
      </c>
    </row>
    <row r="182" spans="1:11">
      <c r="A182" s="5" t="s">
        <v>5</v>
      </c>
      <c r="B182" s="5" t="s">
        <v>6</v>
      </c>
      <c r="C182" s="5" t="s">
        <v>7</v>
      </c>
      <c r="D182" t="s">
        <v>840</v>
      </c>
      <c r="E182" t="s">
        <v>8</v>
      </c>
      <c r="F182" s="13">
        <f>F183</f>
        <v>9.2574173124521826E-3</v>
      </c>
      <c r="G182" s="13">
        <f t="shared" ref="G182:K182" si="99">G183</f>
        <v>0</v>
      </c>
      <c r="H182" s="13">
        <f t="shared" si="99"/>
        <v>2.7642086082496197E-4</v>
      </c>
      <c r="I182" s="13">
        <f t="shared" si="99"/>
        <v>4.2887132275880609E-5</v>
      </c>
      <c r="J182" s="13">
        <f t="shared" si="99"/>
        <v>7.6597704966104114E-5</v>
      </c>
      <c r="K182" s="13">
        <f t="shared" si="99"/>
        <v>8.3495556831800029E-6</v>
      </c>
    </row>
    <row r="183" spans="1:11">
      <c r="A183" s="5" t="s">
        <v>5</v>
      </c>
      <c r="B183" s="5" t="s">
        <v>6</v>
      </c>
      <c r="C183" s="5" t="s">
        <v>7</v>
      </c>
      <c r="D183" t="s">
        <v>231</v>
      </c>
      <c r="E183" t="s">
        <v>8</v>
      </c>
      <c r="F183" s="13">
        <f>'[1]Electricity and CHPs'!B$94</f>
        <v>9.2574173124521826E-3</v>
      </c>
      <c r="G183" s="13">
        <f>'[1]Electricity and CHPs'!C$94</f>
        <v>0</v>
      </c>
      <c r="H183" s="13">
        <f>'[1]Electricity and CHPs'!D$94</f>
        <v>2.7642086082496197E-4</v>
      </c>
      <c r="I183" s="13">
        <f>'[1]Electricity and CHPs'!E$94</f>
        <v>4.2887132275880609E-5</v>
      </c>
      <c r="J183" s="13">
        <f>'[1]Electricity and CHPs'!F$94</f>
        <v>7.6597704966104114E-5</v>
      </c>
      <c r="K183" s="13">
        <f>'[1]Electricity and CHPs'!G$94</f>
        <v>8.3495556831800029E-6</v>
      </c>
    </row>
    <row r="184" spans="1:11">
      <c r="A184" s="5" t="s">
        <v>5</v>
      </c>
      <c r="B184" s="5" t="s">
        <v>6</v>
      </c>
      <c r="C184" s="5" t="s">
        <v>7</v>
      </c>
      <c r="D184" t="s">
        <v>522</v>
      </c>
      <c r="E184" t="s">
        <v>8</v>
      </c>
      <c r="F184" s="13">
        <f>F183-F185</f>
        <v>9.2574173124521826E-3</v>
      </c>
      <c r="G184" s="13">
        <f t="shared" ref="G184:K184" si="100">G183-G185</f>
        <v>0</v>
      </c>
      <c r="H184" s="13">
        <f t="shared" si="100"/>
        <v>2.7642086082496197E-4</v>
      </c>
      <c r="I184" s="13">
        <f t="shared" si="100"/>
        <v>4.2887132275880609E-5</v>
      </c>
      <c r="J184" s="13">
        <f t="shared" si="100"/>
        <v>7.6597704966104114E-5</v>
      </c>
      <c r="K184" s="13">
        <f t="shared" si="100"/>
        <v>8.3495556831800029E-6</v>
      </c>
    </row>
    <row r="185" spans="1:11">
      <c r="A185" s="5" t="s">
        <v>5</v>
      </c>
      <c r="B185" s="5" t="s">
        <v>6</v>
      </c>
      <c r="C185" s="5" t="s">
        <v>7</v>
      </c>
      <c r="D185" t="s">
        <v>546</v>
      </c>
      <c r="E185" t="s">
        <v>8</v>
      </c>
      <c r="F185" s="13">
        <f t="shared" ref="F185:K185" si="101">F183*IFERROR(F78/F74,0)</f>
        <v>0</v>
      </c>
      <c r="G185" s="13">
        <f t="shared" si="101"/>
        <v>0</v>
      </c>
      <c r="H185" s="13">
        <f t="shared" si="101"/>
        <v>0</v>
      </c>
      <c r="I185" s="13">
        <f t="shared" si="101"/>
        <v>0</v>
      </c>
      <c r="J185" s="13">
        <f t="shared" si="101"/>
        <v>0</v>
      </c>
      <c r="K185" s="13">
        <f t="shared" si="101"/>
        <v>0</v>
      </c>
    </row>
    <row r="186" spans="1:11">
      <c r="A186" s="5" t="s">
        <v>5</v>
      </c>
      <c r="B186" s="5" t="s">
        <v>6</v>
      </c>
      <c r="C186" s="5" t="s">
        <v>7</v>
      </c>
      <c r="D186" t="s">
        <v>841</v>
      </c>
      <c r="E186" t="s">
        <v>8</v>
      </c>
      <c r="F186" s="13">
        <f>SUM(F187:F188)</f>
        <v>1.8035498856199199</v>
      </c>
      <c r="G186" s="13">
        <f t="shared" ref="G186:K186" si="102">SUM(G187:G188)</f>
        <v>0</v>
      </c>
      <c r="H186" s="13">
        <f t="shared" si="102"/>
        <v>5.0450664626321702E-2</v>
      </c>
      <c r="I186" s="13">
        <f t="shared" si="102"/>
        <v>7.2069107790757467E-2</v>
      </c>
      <c r="J186" s="13">
        <f t="shared" si="102"/>
        <v>0.19049468581994403</v>
      </c>
      <c r="K186" s="13">
        <f t="shared" si="102"/>
        <v>3.7567945680059876E-5</v>
      </c>
    </row>
    <row r="187" spans="1:11">
      <c r="A187" s="5" t="s">
        <v>5</v>
      </c>
      <c r="B187" s="5" t="s">
        <v>6</v>
      </c>
      <c r="C187" s="5" t="s">
        <v>7</v>
      </c>
      <c r="D187" t="s">
        <v>155</v>
      </c>
      <c r="E187" t="s">
        <v>8</v>
      </c>
      <c r="F187" s="13">
        <f>'[1]Electricity and CHPs'!B$91</f>
        <v>1.8035498856199199</v>
      </c>
      <c r="G187" s="13">
        <f>'[1]Electricity and CHPs'!C$91</f>
        <v>0</v>
      </c>
      <c r="H187" s="13">
        <f>'[1]Electricity and CHPs'!D$91</f>
        <v>5.0450664626321702E-2</v>
      </c>
      <c r="I187" s="13">
        <f>'[1]Electricity and CHPs'!E$91</f>
        <v>7.2069107790757467E-2</v>
      </c>
      <c r="J187" s="13">
        <f>'[1]Electricity and CHPs'!F$91</f>
        <v>4.8087260008775563E-2</v>
      </c>
      <c r="K187" s="13">
        <f>'[1]Electricity and CHPs'!G$91</f>
        <v>1.1316567024432854E-5</v>
      </c>
    </row>
    <row r="188" spans="1:11">
      <c r="A188" s="5" t="s">
        <v>5</v>
      </c>
      <c r="B188" s="5" t="s">
        <v>6</v>
      </c>
      <c r="C188" s="5" t="s">
        <v>7</v>
      </c>
      <c r="D188" t="s">
        <v>156</v>
      </c>
      <c r="E188" t="s">
        <v>8</v>
      </c>
      <c r="F188" s="13">
        <f>'[1]Electricity and CHPs'!B$95</f>
        <v>0</v>
      </c>
      <c r="G188" s="13">
        <f>'[1]Electricity and CHPs'!C$95</f>
        <v>0</v>
      </c>
      <c r="H188" s="13">
        <f>'[1]Electricity and CHPs'!D$95</f>
        <v>0</v>
      </c>
      <c r="I188" s="13">
        <f>'[1]Electricity and CHPs'!E$95</f>
        <v>0</v>
      </c>
      <c r="J188" s="13">
        <f>'[1]Electricity and CHPs'!F$95</f>
        <v>0.14240742581116847</v>
      </c>
      <c r="K188" s="13">
        <f>'[1]Electricity and CHPs'!G$95</f>
        <v>2.6251378655627022E-5</v>
      </c>
    </row>
    <row r="189" spans="1:11">
      <c r="A189" s="5" t="s">
        <v>5</v>
      </c>
      <c r="B189" s="5" t="str">
        <f>B188</f>
        <v>SPS1</v>
      </c>
      <c r="C189" s="5" t="str">
        <f>C188</f>
        <v>CH</v>
      </c>
      <c r="D189" t="s">
        <v>842</v>
      </c>
      <c r="E189" t="s">
        <v>8</v>
      </c>
      <c r="F189" s="13">
        <f>SUM(F190:F191)</f>
        <v>1.7586974710909657</v>
      </c>
      <c r="G189" s="13">
        <f t="shared" ref="G189:K189" si="103">SUM(G190:G191)</f>
        <v>0</v>
      </c>
      <c r="H189" s="13">
        <f t="shared" si="103"/>
        <v>4.8665286676920036E-2</v>
      </c>
      <c r="I189" s="13">
        <f t="shared" si="103"/>
        <v>7.0841535997841418E-2</v>
      </c>
      <c r="J189" s="13">
        <f t="shared" si="103"/>
        <v>0.18905322590113524</v>
      </c>
      <c r="K189" s="13">
        <f t="shared" si="103"/>
        <v>2.640731686157418E-5</v>
      </c>
    </row>
    <row r="190" spans="1:11">
      <c r="A190" s="5" t="s">
        <v>5</v>
      </c>
      <c r="B190" s="5" t="s">
        <v>6</v>
      </c>
      <c r="C190" s="5" t="s">
        <v>7</v>
      </c>
      <c r="D190" t="s">
        <v>572</v>
      </c>
      <c r="E190" t="s">
        <v>8</v>
      </c>
      <c r="F190" s="13">
        <f>F187-F193</f>
        <v>1.7586974710909657</v>
      </c>
      <c r="G190" s="13">
        <f t="shared" ref="G190:K190" si="104">G187-G193</f>
        <v>0</v>
      </c>
      <c r="H190" s="13">
        <f t="shared" si="104"/>
        <v>4.8665286676920036E-2</v>
      </c>
      <c r="I190" s="13">
        <f t="shared" si="104"/>
        <v>7.0841535997841418E-2</v>
      </c>
      <c r="J190" s="13">
        <f t="shared" si="104"/>
        <v>4.7723387087021181E-2</v>
      </c>
      <c r="K190" s="13">
        <f t="shared" si="104"/>
        <v>7.9546583074958216E-6</v>
      </c>
    </row>
    <row r="191" spans="1:11">
      <c r="A191" s="5" t="s">
        <v>5</v>
      </c>
      <c r="B191" s="5" t="s">
        <v>6</v>
      </c>
      <c r="C191" s="5" t="s">
        <v>7</v>
      </c>
      <c r="D191" t="s">
        <v>573</v>
      </c>
      <c r="E191" t="s">
        <v>8</v>
      </c>
      <c r="F191" s="13">
        <f t="shared" ref="F191:K191" si="105">F188-F194</f>
        <v>0</v>
      </c>
      <c r="G191" s="13">
        <f t="shared" si="105"/>
        <v>0</v>
      </c>
      <c r="H191" s="13">
        <f t="shared" si="105"/>
        <v>0</v>
      </c>
      <c r="I191" s="13">
        <f t="shared" si="105"/>
        <v>0</v>
      </c>
      <c r="J191" s="13">
        <f t="shared" si="105"/>
        <v>0.14132983881411407</v>
      </c>
      <c r="K191" s="13">
        <f t="shared" si="105"/>
        <v>1.8452658554078358E-5</v>
      </c>
    </row>
    <row r="192" spans="1:11">
      <c r="A192" s="5" t="s">
        <v>5</v>
      </c>
      <c r="B192" s="5" t="s">
        <v>6</v>
      </c>
      <c r="C192" s="5" t="s">
        <v>7</v>
      </c>
      <c r="D192" t="s">
        <v>843</v>
      </c>
      <c r="E192" t="s">
        <v>8</v>
      </c>
      <c r="F192" s="13">
        <f>SUM(F193:F194)</f>
        <v>4.48524145289542E-2</v>
      </c>
      <c r="G192" s="13">
        <f t="shared" ref="G192:K192" si="106">SUM(G193:G194)</f>
        <v>0</v>
      </c>
      <c r="H192" s="13">
        <f t="shared" si="106"/>
        <v>1.7853779494016646E-3</v>
      </c>
      <c r="I192" s="13">
        <f t="shared" si="106"/>
        <v>1.2275717929160432E-3</v>
      </c>
      <c r="J192" s="13">
        <f t="shared" si="106"/>
        <v>1.4414599188087773E-3</v>
      </c>
      <c r="K192" s="13">
        <f t="shared" si="106"/>
        <v>1.1160628818485697E-5</v>
      </c>
    </row>
    <row r="193" spans="1:11">
      <c r="A193" s="5" t="s">
        <v>5</v>
      </c>
      <c r="B193" s="5" t="s">
        <v>6</v>
      </c>
      <c r="C193" s="5" t="s">
        <v>7</v>
      </c>
      <c r="D193" t="s">
        <v>633</v>
      </c>
      <c r="E193" t="s">
        <v>8</v>
      </c>
      <c r="F193" s="13">
        <f t="shared" ref="F193:K194" si="107">F187*IFERROR(F116/F84,0)</f>
        <v>4.48524145289542E-2</v>
      </c>
      <c r="G193" s="13">
        <f t="shared" si="107"/>
        <v>0</v>
      </c>
      <c r="H193" s="13">
        <f t="shared" si="107"/>
        <v>1.7853779494016646E-3</v>
      </c>
      <c r="I193" s="13">
        <f t="shared" si="107"/>
        <v>1.2275717929160432E-3</v>
      </c>
      <c r="J193" s="13">
        <f t="shared" si="107"/>
        <v>3.6387292175438251E-4</v>
      </c>
      <c r="K193" s="13">
        <f t="shared" si="107"/>
        <v>3.3619087169370325E-6</v>
      </c>
    </row>
    <row r="194" spans="1:11">
      <c r="A194" s="5" t="s">
        <v>5</v>
      </c>
      <c r="B194" s="5" t="s">
        <v>6</v>
      </c>
      <c r="C194" s="5" t="s">
        <v>7</v>
      </c>
      <c r="D194" t="s">
        <v>634</v>
      </c>
      <c r="E194" t="s">
        <v>8</v>
      </c>
      <c r="F194" s="13">
        <f t="shared" si="107"/>
        <v>0</v>
      </c>
      <c r="G194" s="13">
        <f t="shared" si="107"/>
        <v>0</v>
      </c>
      <c r="H194" s="13">
        <f t="shared" si="107"/>
        <v>0</v>
      </c>
      <c r="I194" s="13">
        <f t="shared" si="107"/>
        <v>0</v>
      </c>
      <c r="J194" s="13">
        <f t="shared" si="107"/>
        <v>1.0775869970543947E-3</v>
      </c>
      <c r="K194" s="13">
        <f t="shared" si="107"/>
        <v>7.7987201015486643E-6</v>
      </c>
    </row>
    <row r="195" spans="1:11">
      <c r="A195" s="5" t="s">
        <v>5</v>
      </c>
      <c r="B195" s="5" t="s">
        <v>6</v>
      </c>
      <c r="C195" s="5" t="s">
        <v>7</v>
      </c>
      <c r="D195" t="s">
        <v>844</v>
      </c>
      <c r="E195" t="s">
        <v>8</v>
      </c>
      <c r="F195" s="13">
        <f>SUM(F196:F197)</f>
        <v>14.159860289110192</v>
      </c>
      <c r="G195" s="13">
        <f t="shared" ref="G195:K195" si="108">SUM(G196:G197)</f>
        <v>13.249389018502455</v>
      </c>
      <c r="H195" s="13">
        <f t="shared" si="108"/>
        <v>12.337536423170322</v>
      </c>
      <c r="I195" s="13">
        <f t="shared" si="108"/>
        <v>12.779633570395882</v>
      </c>
      <c r="J195" s="13">
        <f t="shared" si="108"/>
        <v>12.000969040352778</v>
      </c>
      <c r="K195" s="13">
        <f t="shared" si="108"/>
        <v>10.757708551736368</v>
      </c>
    </row>
    <row r="196" spans="1:11">
      <c r="A196" s="5" t="s">
        <v>5</v>
      </c>
      <c r="B196" s="5" t="s">
        <v>6</v>
      </c>
      <c r="C196" s="5" t="s">
        <v>7</v>
      </c>
      <c r="D196" t="s">
        <v>157</v>
      </c>
      <c r="E196" t="s">
        <v>8</v>
      </c>
      <c r="F196" s="13">
        <f>'[1]Electricity and CHPs'!B$93-F197</f>
        <v>14.159860289110192</v>
      </c>
      <c r="G196" s="13">
        <f>'[1]Electricity and CHPs'!C$93-G197</f>
        <v>13.249389018502455</v>
      </c>
      <c r="H196" s="13">
        <f>'[1]Electricity and CHPs'!D$93-H197</f>
        <v>12.337536423170322</v>
      </c>
      <c r="I196" s="13">
        <f>'[1]Electricity and CHPs'!E$93-I197</f>
        <v>12.779633570395882</v>
      </c>
      <c r="J196" s="13">
        <f>'[1]Electricity and CHPs'!F$93-J197</f>
        <v>9.5120274428889271</v>
      </c>
      <c r="K196" s="13">
        <f>'[1]Electricity and CHPs'!G$93-K197</f>
        <v>4.4515902345804594</v>
      </c>
    </row>
    <row r="197" spans="1:11">
      <c r="A197" s="5" t="s">
        <v>5</v>
      </c>
      <c r="B197" s="5" t="s">
        <v>6</v>
      </c>
      <c r="C197" s="5" t="s">
        <v>7</v>
      </c>
      <c r="D197" t="s">
        <v>158</v>
      </c>
      <c r="E197" t="s">
        <v>8</v>
      </c>
      <c r="F197" s="13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3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3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3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3" cm="1">
        <f t="array" ref="J197">SUMPRODUCT(("CHPWSTCCS"=[1]OUT_Electricity_CHP!$B$1:$B$10000)*1,([1]OUT_Electricity_CHP!$C$1:$C$10000="Var_Fout")*1,([1]OUT_Electricity_CHP!$D$1:$D$10000="LTH")*1,[1]OUT_Electricity_CHP!I$1:I$10000)</f>
        <v>2.4889415974638518</v>
      </c>
      <c r="K197" s="13" cm="1">
        <f t="array" ref="K197">SUMPRODUCT(("CHPWSTCCS"=[1]OUT_Electricity_CHP!$B$1:$B$10000)*1,([1]OUT_Electricity_CHP!$C$1:$C$10000="Var_Fout")*1,([1]OUT_Electricity_CHP!$D$1:$D$10000="LTH")*1,[1]OUT_Electricity_CHP!J$1:J$10000)</f>
        <v>6.3061183171559083</v>
      </c>
    </row>
    <row r="198" spans="1:11">
      <c r="A198" s="5" t="s">
        <v>5</v>
      </c>
      <c r="B198" s="5" t="s">
        <v>6</v>
      </c>
      <c r="C198" s="5" t="s">
        <v>7</v>
      </c>
      <c r="D198" t="s">
        <v>845</v>
      </c>
      <c r="E198" t="s">
        <v>8</v>
      </c>
      <c r="F198" s="13">
        <f>SUM(F199:F200)</f>
        <v>7.0799301445550959</v>
      </c>
      <c r="G198" s="13">
        <f t="shared" ref="G198:K198" si="109">SUM(G199:G200)</f>
        <v>6.6246945092512295</v>
      </c>
      <c r="H198" s="13">
        <f t="shared" si="109"/>
        <v>6.168768211585161</v>
      </c>
      <c r="I198" s="13">
        <f t="shared" si="109"/>
        <v>6.3898167851979411</v>
      </c>
      <c r="J198" s="13">
        <f t="shared" si="109"/>
        <v>6.0004845201763892</v>
      </c>
      <c r="K198" s="13">
        <f t="shared" si="109"/>
        <v>5.3788542758681839</v>
      </c>
    </row>
    <row r="199" spans="1:11">
      <c r="A199" s="5" t="s">
        <v>5</v>
      </c>
      <c r="B199" s="5" t="s">
        <v>6</v>
      </c>
      <c r="C199" s="5" t="s">
        <v>7</v>
      </c>
      <c r="D199" t="s">
        <v>159</v>
      </c>
      <c r="E199" t="s">
        <v>8</v>
      </c>
      <c r="F199" s="13">
        <f t="shared" ref="F199:K199" si="110">F196*F138/F131</f>
        <v>7.0799301445550959</v>
      </c>
      <c r="G199" s="13">
        <f t="shared" si="110"/>
        <v>6.6246945092512295</v>
      </c>
      <c r="H199" s="13">
        <f t="shared" si="110"/>
        <v>6.168768211585161</v>
      </c>
      <c r="I199" s="13">
        <f t="shared" si="110"/>
        <v>6.3898167851979411</v>
      </c>
      <c r="J199" s="13">
        <f t="shared" si="110"/>
        <v>4.7560137214444635</v>
      </c>
      <c r="K199" s="13">
        <f t="shared" si="110"/>
        <v>2.2257951172902297</v>
      </c>
    </row>
    <row r="200" spans="1:11">
      <c r="A200" s="5" t="s">
        <v>5</v>
      </c>
      <c r="B200" s="5" t="s">
        <v>6</v>
      </c>
      <c r="C200" s="5" t="s">
        <v>7</v>
      </c>
      <c r="D200" t="s">
        <v>160</v>
      </c>
      <c r="E200" t="s">
        <v>8</v>
      </c>
      <c r="F200" s="13">
        <f t="shared" ref="F200:K200" si="111">F197*IFERROR(F139/F132,0)</f>
        <v>0</v>
      </c>
      <c r="G200" s="13">
        <f t="shared" si="111"/>
        <v>0</v>
      </c>
      <c r="H200" s="13">
        <f t="shared" si="111"/>
        <v>0</v>
      </c>
      <c r="I200" s="13">
        <f t="shared" si="111"/>
        <v>0</v>
      </c>
      <c r="J200" s="13">
        <f t="shared" si="111"/>
        <v>1.2444707987319259</v>
      </c>
      <c r="K200" s="13">
        <f t="shared" si="111"/>
        <v>3.1530591585779537</v>
      </c>
    </row>
    <row r="201" spans="1:11">
      <c r="A201" s="5" t="s">
        <v>5</v>
      </c>
      <c r="B201" s="5" t="s">
        <v>6</v>
      </c>
      <c r="C201" s="5" t="s">
        <v>7</v>
      </c>
      <c r="D201" t="s">
        <v>846</v>
      </c>
      <c r="E201" t="s">
        <v>8</v>
      </c>
      <c r="F201" s="13">
        <f>SUM(F202:F203)</f>
        <v>7.0799301445550959</v>
      </c>
      <c r="G201" s="13">
        <f t="shared" ref="G201:K201" si="112">SUM(G202:G203)</f>
        <v>6.6246945092512259</v>
      </c>
      <c r="H201" s="13">
        <f t="shared" si="112"/>
        <v>6.168768211585161</v>
      </c>
      <c r="I201" s="13">
        <f t="shared" si="112"/>
        <v>6.3898167851979411</v>
      </c>
      <c r="J201" s="13">
        <f t="shared" si="112"/>
        <v>6.0004845201763892</v>
      </c>
      <c r="K201" s="13">
        <f t="shared" si="112"/>
        <v>5.3788542758681839</v>
      </c>
    </row>
    <row r="202" spans="1:11">
      <c r="A202" s="5" t="s">
        <v>5</v>
      </c>
      <c r="B202" s="5" t="s">
        <v>6</v>
      </c>
      <c r="C202" s="5" t="s">
        <v>7</v>
      </c>
      <c r="D202" t="s">
        <v>161</v>
      </c>
      <c r="E202" t="s">
        <v>8</v>
      </c>
      <c r="F202" s="13">
        <f t="shared" ref="F202:K203" si="113">F196-F199</f>
        <v>7.0799301445550959</v>
      </c>
      <c r="G202" s="13">
        <f t="shared" si="113"/>
        <v>6.6246945092512259</v>
      </c>
      <c r="H202" s="13">
        <f t="shared" si="113"/>
        <v>6.168768211585161</v>
      </c>
      <c r="I202" s="13">
        <f t="shared" si="113"/>
        <v>6.3898167851979411</v>
      </c>
      <c r="J202" s="13">
        <f t="shared" si="113"/>
        <v>4.7560137214444635</v>
      </c>
      <c r="K202" s="13">
        <f t="shared" si="113"/>
        <v>2.2257951172902297</v>
      </c>
    </row>
    <row r="203" spans="1:11">
      <c r="A203" s="5" t="s">
        <v>5</v>
      </c>
      <c r="B203" s="5" t="s">
        <v>6</v>
      </c>
      <c r="C203" s="5" t="s">
        <v>7</v>
      </c>
      <c r="D203" t="s">
        <v>162</v>
      </c>
      <c r="E203" t="s">
        <v>8</v>
      </c>
      <c r="F203" s="13">
        <f t="shared" si="113"/>
        <v>0</v>
      </c>
      <c r="G203" s="13">
        <f t="shared" si="113"/>
        <v>0</v>
      </c>
      <c r="H203" s="13">
        <f t="shared" si="113"/>
        <v>0</v>
      </c>
      <c r="I203" s="13">
        <f t="shared" si="113"/>
        <v>0</v>
      </c>
      <c r="J203" s="13">
        <f t="shared" si="113"/>
        <v>1.2444707987319259</v>
      </c>
      <c r="K203" s="13">
        <f t="shared" si="113"/>
        <v>3.1530591585779546</v>
      </c>
    </row>
    <row r="204" spans="1:11">
      <c r="A204" s="5" t="s">
        <v>5</v>
      </c>
      <c r="B204" s="5" t="s">
        <v>6</v>
      </c>
      <c r="C204" s="5" t="s">
        <v>7</v>
      </c>
      <c r="D204" t="s">
        <v>847</v>
      </c>
      <c r="E204" t="s">
        <v>8</v>
      </c>
      <c r="F204" s="13">
        <f>F205</f>
        <v>1.2335942029956095</v>
      </c>
      <c r="G204" s="13">
        <f t="shared" ref="G204:K204" si="114">G205</f>
        <v>4.3784386157888705E-5</v>
      </c>
      <c r="H204" s="13">
        <f t="shared" si="114"/>
        <v>0.17476148410023515</v>
      </c>
      <c r="I204" s="13">
        <f t="shared" si="114"/>
        <v>7.4346787346790504E-4</v>
      </c>
      <c r="J204" s="13">
        <f t="shared" si="114"/>
        <v>0.32878395618299078</v>
      </c>
      <c r="K204" s="13">
        <f t="shared" si="114"/>
        <v>3.3178519106437596</v>
      </c>
    </row>
    <row r="205" spans="1:11">
      <c r="A205" s="5" t="s">
        <v>5</v>
      </c>
      <c r="B205" s="5" t="s">
        <v>6</v>
      </c>
      <c r="C205" s="5" t="s">
        <v>7</v>
      </c>
      <c r="D205" t="s">
        <v>163</v>
      </c>
      <c r="E205" t="s">
        <v>8</v>
      </c>
      <c r="F205" s="13">
        <f>'[1]Electricity and CHPs'!B$92</f>
        <v>1.2335942029956095</v>
      </c>
      <c r="G205" s="13">
        <f>'[1]Electricity and CHPs'!C$92</f>
        <v>4.3784386157888705E-5</v>
      </c>
      <c r="H205" s="13">
        <f>'[1]Electricity and CHPs'!D$92</f>
        <v>0.17476148410023515</v>
      </c>
      <c r="I205" s="13">
        <f>'[1]Electricity and CHPs'!E$92</f>
        <v>7.4346787346790504E-4</v>
      </c>
      <c r="J205" s="13">
        <f>'[1]Electricity and CHPs'!F$92</f>
        <v>0.32878395618299078</v>
      </c>
      <c r="K205" s="13">
        <f>'[1]Electricity and CHPs'!G$92</f>
        <v>3.3178519106437596</v>
      </c>
    </row>
    <row r="206" spans="1:11">
      <c r="A206" s="5" t="s">
        <v>5</v>
      </c>
      <c r="B206" s="5" t="s">
        <v>6</v>
      </c>
      <c r="C206" s="5" t="s">
        <v>7</v>
      </c>
      <c r="D206" t="s">
        <v>848</v>
      </c>
      <c r="E206" t="s">
        <v>8</v>
      </c>
      <c r="F206" s="13">
        <f>+F207</f>
        <v>0</v>
      </c>
      <c r="G206" s="13">
        <f t="shared" ref="G206:K206" si="115">+G207</f>
        <v>0</v>
      </c>
      <c r="H206" s="13">
        <f t="shared" si="115"/>
        <v>0</v>
      </c>
      <c r="I206" s="13">
        <f t="shared" si="115"/>
        <v>0</v>
      </c>
      <c r="J206" s="13">
        <f t="shared" si="115"/>
        <v>1.8315503193762547E-5</v>
      </c>
      <c r="K206" s="13">
        <f t="shared" si="115"/>
        <v>6.035584785986129E-2</v>
      </c>
    </row>
    <row r="207" spans="1:11">
      <c r="A207" s="5" t="s">
        <v>5</v>
      </c>
      <c r="B207" s="5" t="s">
        <v>6</v>
      </c>
      <c r="C207" s="5" t="s">
        <v>7</v>
      </c>
      <c r="D207" t="s">
        <v>164</v>
      </c>
      <c r="E207" t="s">
        <v>8</v>
      </c>
      <c r="F207" s="13">
        <f>'[1]Electricity and CHPs'!B$96</f>
        <v>0</v>
      </c>
      <c r="G207" s="13">
        <f>'[1]Electricity and CHPs'!C$96</f>
        <v>0</v>
      </c>
      <c r="H207" s="13">
        <f>'[1]Electricity and CHPs'!D$96</f>
        <v>0</v>
      </c>
      <c r="I207" s="13">
        <f>'[1]Electricity and CHPs'!E$96</f>
        <v>0</v>
      </c>
      <c r="J207" s="13">
        <f>'[1]Electricity and CHPs'!F$96</f>
        <v>1.8315503193762547E-5</v>
      </c>
      <c r="K207" s="13">
        <f>'[1]Electricity and CHPs'!G$96</f>
        <v>6.035584785986129E-2</v>
      </c>
    </row>
    <row r="208" spans="1:11">
      <c r="A208" s="5" t="s">
        <v>5</v>
      </c>
      <c r="B208" s="5" t="s">
        <v>6</v>
      </c>
      <c r="C208" s="5" t="s">
        <v>7</v>
      </c>
      <c r="D208" t="s">
        <v>849</v>
      </c>
      <c r="E208" t="str">
        <f>E165</f>
        <v>PJ/yr.</v>
      </c>
      <c r="F208" s="13">
        <f>SUM(F209,F215,F217,F223,F225,F227,F229)</f>
        <v>5.85157973735115</v>
      </c>
      <c r="G208" s="13">
        <f t="shared" ref="G208:K208" si="116">SUM(G209,G215,G217,G223,G225,G227,G229)</f>
        <v>12.218706224840851</v>
      </c>
      <c r="H208" s="13">
        <f t="shared" si="116"/>
        <v>12.226768646988116</v>
      </c>
      <c r="I208" s="13">
        <f t="shared" si="116"/>
        <v>15.866860203373349</v>
      </c>
      <c r="J208" s="13">
        <f t="shared" si="116"/>
        <v>16.58605470304736</v>
      </c>
      <c r="K208" s="13">
        <f t="shared" si="116"/>
        <v>18.037205290111864</v>
      </c>
    </row>
    <row r="209" spans="1:11">
      <c r="A209" s="5" t="s">
        <v>5</v>
      </c>
      <c r="B209" s="5" t="s">
        <v>6</v>
      </c>
      <c r="C209" s="5" t="s">
        <v>7</v>
      </c>
      <c r="D209" t="s">
        <v>850</v>
      </c>
      <c r="E209" t="str">
        <f>E168</f>
        <v>PJ/yr.</v>
      </c>
      <c r="F209" s="13">
        <f>+F210</f>
        <v>2.6346713418451655</v>
      </c>
      <c r="G209" s="13">
        <f t="shared" ref="G209:K209" si="117">+G210</f>
        <v>0</v>
      </c>
      <c r="H209" s="13">
        <f t="shared" si="117"/>
        <v>4.6117894268654874E-5</v>
      </c>
      <c r="I209" s="13">
        <f t="shared" si="117"/>
        <v>0.38545320651397713</v>
      </c>
      <c r="J209" s="13">
        <f t="shared" si="117"/>
        <v>4.0302497920935291E-4</v>
      </c>
      <c r="K209" s="13">
        <f t="shared" si="117"/>
        <v>2.5283431351154088E-7</v>
      </c>
    </row>
    <row r="210" spans="1:11">
      <c r="A210" s="5" t="s">
        <v>5</v>
      </c>
      <c r="B210" s="5" t="s">
        <v>6</v>
      </c>
      <c r="C210" s="5" t="s">
        <v>7</v>
      </c>
      <c r="D210" t="s">
        <v>165</v>
      </c>
      <c r="E210" t="str">
        <f>E169</f>
        <v>PJ/yr.</v>
      </c>
      <c r="F210" s="13">
        <f>'[1]Electricity and CHPs'!B$97+F214</f>
        <v>2.6346713418451655</v>
      </c>
      <c r="G210" s="13">
        <f>'[1]Electricity and CHPs'!C$97+G214</f>
        <v>0</v>
      </c>
      <c r="H210" s="13">
        <f>'[1]Electricity and CHPs'!D$97+H214</f>
        <v>4.6117894268654874E-5</v>
      </c>
      <c r="I210" s="13">
        <f>'[1]Electricity and CHPs'!E$97+I214</f>
        <v>0.38545320651397713</v>
      </c>
      <c r="J210" s="13">
        <f>'[1]Electricity and CHPs'!F$97+J214</f>
        <v>4.0302497920935291E-4</v>
      </c>
      <c r="K210" s="13">
        <f>'[1]Electricity and CHPs'!G$97+K214</f>
        <v>2.5283431351154088E-7</v>
      </c>
    </row>
    <row r="211" spans="1:11">
      <c r="A211" s="5" t="s">
        <v>5</v>
      </c>
      <c r="B211" s="5" t="str">
        <f>B210</f>
        <v>SPS1</v>
      </c>
      <c r="C211" s="5" t="str">
        <f>C210</f>
        <v>CH</v>
      </c>
      <c r="D211" t="s">
        <v>853</v>
      </c>
      <c r="E211" t="str">
        <f>E170</f>
        <v>PJ/yr.</v>
      </c>
      <c r="F211" s="13">
        <f>F212</f>
        <v>1.7328976890027548</v>
      </c>
      <c r="G211" s="13">
        <f t="shared" ref="G211:K211" si="118">G212</f>
        <v>0</v>
      </c>
      <c r="H211" s="13">
        <f t="shared" si="118"/>
        <v>3.4307711038139725E-5</v>
      </c>
      <c r="I211" s="13">
        <f t="shared" si="118"/>
        <v>0.38544788010574027</v>
      </c>
      <c r="J211" s="13">
        <f t="shared" si="118"/>
        <v>3.9711475910534998E-4</v>
      </c>
      <c r="K211" s="13">
        <f t="shared" si="118"/>
        <v>0</v>
      </c>
    </row>
    <row r="212" spans="1:11">
      <c r="A212" s="5" t="s">
        <v>5</v>
      </c>
      <c r="B212" s="5" t="s">
        <v>6</v>
      </c>
      <c r="C212" s="5" t="s">
        <v>7</v>
      </c>
      <c r="D212" t="s">
        <v>851</v>
      </c>
      <c r="E212" t="str">
        <f>E169</f>
        <v>PJ/yr.</v>
      </c>
      <c r="F212" s="13">
        <f>F210-F214</f>
        <v>1.7328976890027548</v>
      </c>
      <c r="G212" s="13">
        <f t="shared" ref="G212:K212" si="119">G210-G214</f>
        <v>0</v>
      </c>
      <c r="H212" s="13">
        <f t="shared" si="119"/>
        <v>3.4307711038139725E-5</v>
      </c>
      <c r="I212" s="13">
        <f t="shared" si="119"/>
        <v>0.38544788010574027</v>
      </c>
      <c r="J212" s="13">
        <f t="shared" si="119"/>
        <v>3.9711475910534998E-4</v>
      </c>
      <c r="K212" s="13">
        <f t="shared" si="119"/>
        <v>0</v>
      </c>
    </row>
    <row r="213" spans="1:11">
      <c r="A213" s="5" t="s">
        <v>5</v>
      </c>
      <c r="B213" s="5" t="str">
        <f>B212</f>
        <v>SPS1</v>
      </c>
      <c r="C213" s="5" t="str">
        <f>C212</f>
        <v>CH</v>
      </c>
      <c r="D213" t="s">
        <v>855</v>
      </c>
      <c r="E213" t="str">
        <f>E170</f>
        <v>PJ/yr.</v>
      </c>
      <c r="F213" s="13">
        <f>F214</f>
        <v>0.90177365284241062</v>
      </c>
      <c r="G213" s="13">
        <f t="shared" ref="G213:K213" si="120">G214</f>
        <v>0</v>
      </c>
      <c r="H213" s="13">
        <f t="shared" si="120"/>
        <v>1.1810183230515152E-5</v>
      </c>
      <c r="I213" s="13">
        <f t="shared" si="120"/>
        <v>5.3264082368551926E-6</v>
      </c>
      <c r="J213" s="13">
        <f t="shared" si="120"/>
        <v>5.9102201040029272E-6</v>
      </c>
      <c r="K213" s="13">
        <f t="shared" si="120"/>
        <v>2.5283431351154088E-7</v>
      </c>
    </row>
    <row r="214" spans="1:11">
      <c r="A214" s="5" t="s">
        <v>5</v>
      </c>
      <c r="B214" s="5" t="s">
        <v>6</v>
      </c>
      <c r="C214" s="5" t="s">
        <v>7</v>
      </c>
      <c r="D214" t="s">
        <v>852</v>
      </c>
      <c r="E214" t="str">
        <f>E170</f>
        <v>PJ/yr.</v>
      </c>
      <c r="F214" s="13">
        <f>'[1]Electricity and CHPs'!B$98</f>
        <v>0.90177365284241062</v>
      </c>
      <c r="G214" s="13">
        <f>'[1]Electricity and CHPs'!C$98</f>
        <v>0</v>
      </c>
      <c r="H214" s="13">
        <f>'[1]Electricity and CHPs'!D$98</f>
        <v>1.1810183230515152E-5</v>
      </c>
      <c r="I214" s="13">
        <f>'[1]Electricity and CHPs'!E$98</f>
        <v>5.3264082368551926E-6</v>
      </c>
      <c r="J214" s="13">
        <f>'[1]Electricity and CHPs'!F$98</f>
        <v>5.9102201040029272E-6</v>
      </c>
      <c r="K214" s="13">
        <f>'[1]Electricity and CHPs'!G$98</f>
        <v>2.5283431351154088E-7</v>
      </c>
    </row>
    <row r="215" spans="1:11">
      <c r="A215" s="5" t="s">
        <v>5</v>
      </c>
      <c r="B215" s="5" t="s">
        <v>6</v>
      </c>
      <c r="C215" s="5" t="s">
        <v>7</v>
      </c>
      <c r="D215" t="s">
        <v>856</v>
      </c>
      <c r="E215" t="str">
        <f>E170</f>
        <v>PJ/yr.</v>
      </c>
      <c r="F215" s="13">
        <f>+F216</f>
        <v>1.4500001058889773</v>
      </c>
      <c r="G215" s="13">
        <f t="shared" ref="G215:K215" si="121">+G216</f>
        <v>3.801939893519914</v>
      </c>
      <c r="H215" s="13">
        <f t="shared" si="121"/>
        <v>3.8019218733786198</v>
      </c>
      <c r="I215" s="13">
        <f t="shared" si="121"/>
        <v>1.0696875536632149</v>
      </c>
      <c r="J215" s="13">
        <f t="shared" si="121"/>
        <v>0</v>
      </c>
      <c r="K215" s="13">
        <f t="shared" si="121"/>
        <v>0</v>
      </c>
    </row>
    <row r="216" spans="1:11">
      <c r="A216" s="5" t="s">
        <v>5</v>
      </c>
      <c r="B216" s="5" t="s">
        <v>6</v>
      </c>
      <c r="C216" s="5" t="s">
        <v>7</v>
      </c>
      <c r="D216" t="s">
        <v>166</v>
      </c>
      <c r="E216" t="str">
        <f>E171</f>
        <v>PJ/yr.</v>
      </c>
      <c r="F216" s="13">
        <f>'[1]Electricity and CHPs'!B$99</f>
        <v>1.4500001058889773</v>
      </c>
      <c r="G216" s="13">
        <f>'[1]Electricity and CHPs'!C$99</f>
        <v>3.801939893519914</v>
      </c>
      <c r="H216" s="13">
        <f>'[1]Electricity and CHPs'!D$99</f>
        <v>3.8019218733786198</v>
      </c>
      <c r="I216" s="13">
        <f>'[1]Electricity and CHPs'!E$99</f>
        <v>1.0696875536632149</v>
      </c>
      <c r="J216" s="13">
        <f>'[1]Electricity and CHPs'!F$99</f>
        <v>0</v>
      </c>
      <c r="K216" s="13">
        <f>'[1]Electricity and CHPs'!G$99</f>
        <v>0</v>
      </c>
    </row>
    <row r="217" spans="1:11">
      <c r="A217" s="5" t="s">
        <v>5</v>
      </c>
      <c r="B217" s="5" t="s">
        <v>6</v>
      </c>
      <c r="C217" s="5" t="s">
        <v>7</v>
      </c>
      <c r="D217" t="s">
        <v>857</v>
      </c>
      <c r="E217" t="str">
        <f>E171</f>
        <v>PJ/yr.</v>
      </c>
      <c r="F217" s="13">
        <f>+F218</f>
        <v>0.18406364536559505</v>
      </c>
      <c r="G217" s="13">
        <f t="shared" ref="G217:K217" si="122">+G218</f>
        <v>0</v>
      </c>
      <c r="H217" s="13">
        <f t="shared" si="122"/>
        <v>2.5641584669635386E-5</v>
      </c>
      <c r="I217" s="13">
        <f t="shared" si="122"/>
        <v>1.2075287667758592E-5</v>
      </c>
      <c r="J217" s="13">
        <f t="shared" si="122"/>
        <v>6.4174120074509576E-6</v>
      </c>
      <c r="K217" s="13">
        <f t="shared" si="122"/>
        <v>0</v>
      </c>
    </row>
    <row r="218" spans="1:11">
      <c r="A218" s="5" t="s">
        <v>5</v>
      </c>
      <c r="B218" s="5" t="s">
        <v>6</v>
      </c>
      <c r="C218" s="5" t="s">
        <v>7</v>
      </c>
      <c r="D218" t="s">
        <v>167</v>
      </c>
      <c r="E218" t="str">
        <f>E172</f>
        <v>PJ/yr.</v>
      </c>
      <c r="F218" s="13">
        <f>'[1]Electricity and CHPs'!B$100</f>
        <v>0.18406364536559505</v>
      </c>
      <c r="G218" s="13">
        <f>'[1]Electricity and CHPs'!C$100</f>
        <v>0</v>
      </c>
      <c r="H218" s="13">
        <f>'[1]Electricity and CHPs'!D$100</f>
        <v>2.5641584669635386E-5</v>
      </c>
      <c r="I218" s="13">
        <f>'[1]Electricity and CHPs'!E$100</f>
        <v>1.2075287667758592E-5</v>
      </c>
      <c r="J218" s="13">
        <f>'[1]Electricity and CHPs'!F$100</f>
        <v>6.4174120074509576E-6</v>
      </c>
      <c r="K218" s="13">
        <f>'[1]Electricity and CHPs'!G$100</f>
        <v>0</v>
      </c>
    </row>
    <row r="219" spans="1:11">
      <c r="A219" s="5" t="s">
        <v>5</v>
      </c>
      <c r="B219" s="5" t="s">
        <v>6</v>
      </c>
      <c r="C219" s="5" t="s">
        <v>7</v>
      </c>
      <c r="D219" t="s">
        <v>858</v>
      </c>
      <c r="E219" t="str">
        <f>E171</f>
        <v>PJ/yr.</v>
      </c>
      <c r="F219" s="13">
        <f>F220</f>
        <v>0.18406364536559505</v>
      </c>
      <c r="G219" s="13">
        <f t="shared" ref="G219:K219" si="123">G220</f>
        <v>0</v>
      </c>
      <c r="H219" s="13">
        <f t="shared" si="123"/>
        <v>2.5641584669635386E-5</v>
      </c>
      <c r="I219" s="13">
        <f t="shared" si="123"/>
        <v>1.2075287667758592E-5</v>
      </c>
      <c r="J219" s="13">
        <f t="shared" si="123"/>
        <v>6.4174120074509576E-6</v>
      </c>
      <c r="K219" s="13">
        <f t="shared" si="123"/>
        <v>0</v>
      </c>
    </row>
    <row r="220" spans="1:11">
      <c r="A220" s="5" t="s">
        <v>5</v>
      </c>
      <c r="B220" s="5" t="s">
        <v>6</v>
      </c>
      <c r="C220" s="5" t="s">
        <v>7</v>
      </c>
      <c r="D220" t="s">
        <v>523</v>
      </c>
      <c r="E220" t="str">
        <f>E172</f>
        <v>PJ/yr.</v>
      </c>
      <c r="F220" s="13">
        <f>F218-F222</f>
        <v>0.18406364536559505</v>
      </c>
      <c r="G220" s="13">
        <f t="shared" ref="G220:K220" si="124">G218-G222</f>
        <v>0</v>
      </c>
      <c r="H220" s="13">
        <f t="shared" si="124"/>
        <v>2.5641584669635386E-5</v>
      </c>
      <c r="I220" s="13">
        <f t="shared" si="124"/>
        <v>1.2075287667758592E-5</v>
      </c>
      <c r="J220" s="13">
        <f t="shared" si="124"/>
        <v>6.4174120074509576E-6</v>
      </c>
      <c r="K220" s="13">
        <f t="shared" si="124"/>
        <v>0</v>
      </c>
    </row>
    <row r="221" spans="1:11">
      <c r="A221" s="5" t="s">
        <v>5</v>
      </c>
      <c r="B221" s="5" t="s">
        <v>6</v>
      </c>
      <c r="C221" s="5" t="s">
        <v>7</v>
      </c>
      <c r="D221" t="s">
        <v>859</v>
      </c>
      <c r="E221" t="str">
        <f>E172</f>
        <v>PJ/yr.</v>
      </c>
      <c r="F221" s="13">
        <f>F222</f>
        <v>0</v>
      </c>
      <c r="G221" s="13">
        <f t="shared" ref="G221:K221" si="125">G222</f>
        <v>0</v>
      </c>
      <c r="H221" s="13">
        <f t="shared" si="125"/>
        <v>0</v>
      </c>
      <c r="I221" s="13">
        <f t="shared" si="125"/>
        <v>0</v>
      </c>
      <c r="J221" s="13">
        <f t="shared" si="125"/>
        <v>0</v>
      </c>
      <c r="K221" s="13">
        <f t="shared" si="125"/>
        <v>0</v>
      </c>
    </row>
    <row r="222" spans="1:11">
      <c r="A222" s="5" t="s">
        <v>5</v>
      </c>
      <c r="B222" s="5" t="s">
        <v>6</v>
      </c>
      <c r="C222" s="5" t="s">
        <v>7</v>
      </c>
      <c r="D222" t="s">
        <v>547</v>
      </c>
      <c r="E222" t="str">
        <f>E173</f>
        <v>PJ/yr.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</row>
    <row r="223" spans="1:11">
      <c r="A223" s="5" t="s">
        <v>5</v>
      </c>
      <c r="B223" s="5" t="s">
        <v>6</v>
      </c>
      <c r="C223" s="5" t="s">
        <v>7</v>
      </c>
      <c r="D223" t="s">
        <v>860</v>
      </c>
      <c r="E223" t="str">
        <f>E172</f>
        <v>PJ/yr.</v>
      </c>
      <c r="F223" s="13">
        <f>+F224</f>
        <v>1.5828446442514124</v>
      </c>
      <c r="G223" s="13">
        <f t="shared" ref="G223:K223" si="126">+G224</f>
        <v>1.4285172449586985</v>
      </c>
      <c r="H223" s="13">
        <f t="shared" si="126"/>
        <v>1.2247749912392329</v>
      </c>
      <c r="I223" s="13">
        <f t="shared" si="126"/>
        <v>0.94770755688350861</v>
      </c>
      <c r="J223" s="13">
        <f t="shared" si="126"/>
        <v>0.56742755369270081</v>
      </c>
      <c r="K223" s="13">
        <f t="shared" si="126"/>
        <v>0.33973958688319567</v>
      </c>
    </row>
    <row r="224" spans="1:11">
      <c r="A224" s="5" t="s">
        <v>5</v>
      </c>
      <c r="B224" s="5" t="s">
        <v>6</v>
      </c>
      <c r="C224" s="5" t="s">
        <v>7</v>
      </c>
      <c r="D224" t="s">
        <v>168</v>
      </c>
      <c r="E224" t="str">
        <f>E173</f>
        <v>PJ/yr.</v>
      </c>
      <c r="F224" s="13">
        <f>'[1]Electricity and CHPs'!B$101</f>
        <v>1.5828446442514124</v>
      </c>
      <c r="G224" s="13">
        <f>'[1]Electricity and CHPs'!C$101</f>
        <v>1.4285172449586985</v>
      </c>
      <c r="H224" s="13">
        <f>'[1]Electricity and CHPs'!D$101</f>
        <v>1.2247749912392329</v>
      </c>
      <c r="I224" s="13">
        <f>'[1]Electricity and CHPs'!E$101</f>
        <v>0.94770755688350861</v>
      </c>
      <c r="J224" s="13">
        <f>'[1]Electricity and CHPs'!F$101</f>
        <v>0.56742755369270081</v>
      </c>
      <c r="K224" s="13">
        <f>'[1]Electricity and CHPs'!G$101</f>
        <v>0.33973958688319567</v>
      </c>
    </row>
    <row r="225" spans="1:11">
      <c r="A225" s="5" t="s">
        <v>5</v>
      </c>
      <c r="B225" s="5" t="s">
        <v>6</v>
      </c>
      <c r="C225" s="5" t="s">
        <v>7</v>
      </c>
      <c r="D225" t="s">
        <v>861</v>
      </c>
      <c r="E225" t="str">
        <f>E173</f>
        <v>PJ/yr.</v>
      </c>
      <c r="F225" s="13">
        <f>+F226</f>
        <v>0</v>
      </c>
      <c r="G225" s="13">
        <f t="shared" ref="G225:K225" si="127">+G226</f>
        <v>0</v>
      </c>
      <c r="H225" s="13">
        <f t="shared" si="127"/>
        <v>0</v>
      </c>
      <c r="I225" s="13">
        <f t="shared" si="127"/>
        <v>0</v>
      </c>
      <c r="J225" s="13">
        <f t="shared" si="127"/>
        <v>0</v>
      </c>
      <c r="K225" s="13">
        <f t="shared" si="127"/>
        <v>0</v>
      </c>
    </row>
    <row r="226" spans="1:11">
      <c r="A226" s="5" t="s">
        <v>5</v>
      </c>
      <c r="B226" s="5" t="s">
        <v>6</v>
      </c>
      <c r="C226" s="5" t="s">
        <v>7</v>
      </c>
      <c r="D226" t="s">
        <v>169</v>
      </c>
      <c r="E226" t="str">
        <f>E174</f>
        <v>PJ/yr.</v>
      </c>
      <c r="F226" s="13">
        <f>'[1]Electricity and CHPs'!B$102</f>
        <v>0</v>
      </c>
      <c r="G226" s="13">
        <f>'[1]Electricity and CHPs'!C$102</f>
        <v>0</v>
      </c>
      <c r="H226" s="13">
        <f>'[1]Electricity and CHPs'!D$102</f>
        <v>0</v>
      </c>
      <c r="I226" s="13">
        <f>'[1]Electricity and CHPs'!E$102</f>
        <v>0</v>
      </c>
      <c r="J226" s="13">
        <f>'[1]Electricity and CHPs'!F$102</f>
        <v>0</v>
      </c>
      <c r="K226" s="13">
        <f>'[1]Electricity and CHPs'!G$102</f>
        <v>0</v>
      </c>
    </row>
    <row r="227" spans="1:11">
      <c r="A227" s="5" t="s">
        <v>5</v>
      </c>
      <c r="B227" s="5" t="s">
        <v>6</v>
      </c>
      <c r="C227" s="5" t="s">
        <v>7</v>
      </c>
      <c r="D227" t="s">
        <v>862</v>
      </c>
      <c r="E227" t="str">
        <f>E174</f>
        <v>PJ/yr.</v>
      </c>
      <c r="F227" s="13">
        <f>+F228</f>
        <v>0</v>
      </c>
      <c r="G227" s="13">
        <f t="shared" ref="G227:K227" si="128">+G228</f>
        <v>0</v>
      </c>
      <c r="H227" s="13">
        <f t="shared" si="128"/>
        <v>0</v>
      </c>
      <c r="I227" s="13">
        <f t="shared" si="128"/>
        <v>0</v>
      </c>
      <c r="J227" s="13">
        <f t="shared" si="128"/>
        <v>6.4130596595807785E-7</v>
      </c>
      <c r="K227" s="13">
        <f t="shared" si="128"/>
        <v>4.0686259470128893E-7</v>
      </c>
    </row>
    <row r="228" spans="1:11">
      <c r="A228" s="5" t="s">
        <v>5</v>
      </c>
      <c r="B228" s="5" t="s">
        <v>6</v>
      </c>
      <c r="C228" s="5" t="s">
        <v>7</v>
      </c>
      <c r="D228" t="s">
        <v>235</v>
      </c>
      <c r="E228" t="str">
        <f>E175</f>
        <v>PJ/yr.</v>
      </c>
      <c r="F228" s="13">
        <f>'[1]Electricity and CHPs'!B$90</f>
        <v>0</v>
      </c>
      <c r="G228" s="13">
        <f>'[1]Electricity and CHPs'!C$90</f>
        <v>0</v>
      </c>
      <c r="H228" s="13">
        <f>'[1]Electricity and CHPs'!D$90</f>
        <v>0</v>
      </c>
      <c r="I228" s="13">
        <f>'[1]Electricity and CHPs'!E$90</f>
        <v>0</v>
      </c>
      <c r="J228" s="13">
        <f>'[1]Electricity and CHPs'!F$90</f>
        <v>6.4130596595807785E-7</v>
      </c>
      <c r="K228" s="13">
        <f>'[1]Electricity and CHPs'!G$90</f>
        <v>4.0686259470128893E-7</v>
      </c>
    </row>
    <row r="229" spans="1:11">
      <c r="A229" s="5" t="s">
        <v>5</v>
      </c>
      <c r="B229" s="5" t="s">
        <v>6</v>
      </c>
      <c r="C229" s="5" t="s">
        <v>7</v>
      </c>
      <c r="D229" t="s">
        <v>863</v>
      </c>
      <c r="E229" t="str">
        <f>E174</f>
        <v>PJ/yr.</v>
      </c>
      <c r="F229" s="13">
        <f>+F230</f>
        <v>0</v>
      </c>
      <c r="G229" s="13">
        <f t="shared" ref="G229:K229" si="129">+G230</f>
        <v>6.9882490863622388</v>
      </c>
      <c r="H229" s="13">
        <f t="shared" si="129"/>
        <v>7.2000000228913263</v>
      </c>
      <c r="I229" s="13">
        <f t="shared" si="129"/>
        <v>13.46399981102498</v>
      </c>
      <c r="J229" s="13">
        <f t="shared" si="129"/>
        <v>16.018217065657478</v>
      </c>
      <c r="K229" s="13">
        <f t="shared" si="129"/>
        <v>17.697465043531761</v>
      </c>
    </row>
    <row r="230" spans="1:11">
      <c r="A230" s="5" t="s">
        <v>5</v>
      </c>
      <c r="B230" s="5" t="s">
        <v>6</v>
      </c>
      <c r="C230" s="5" t="s">
        <v>7</v>
      </c>
      <c r="D230" t="s">
        <v>864</v>
      </c>
      <c r="E230" t="str">
        <f>E175</f>
        <v>PJ/yr.</v>
      </c>
      <c r="F230" s="13">
        <f>'[1]Electricity and CHPs'!B$123</f>
        <v>0</v>
      </c>
      <c r="G230" s="13">
        <f>'[1]Electricity and CHPs'!C$123</f>
        <v>6.9882490863622388</v>
      </c>
      <c r="H230" s="13">
        <f>'[1]Electricity and CHPs'!D$123</f>
        <v>7.2000000228913263</v>
      </c>
      <c r="I230" s="13">
        <f>'[1]Electricity and CHPs'!E$123</f>
        <v>13.46399981102498</v>
      </c>
      <c r="J230" s="13">
        <f>'[1]Electricity and CHPs'!F$123</f>
        <v>16.018217065657478</v>
      </c>
      <c r="K230" s="13">
        <f>'[1]Electricity and CHPs'!G$123</f>
        <v>17.697465043531761</v>
      </c>
    </row>
    <row r="231" spans="1:11">
      <c r="A231" s="5" t="s">
        <v>5</v>
      </c>
      <c r="B231" s="5" t="s">
        <v>6</v>
      </c>
      <c r="C231" s="5" t="s">
        <v>7</v>
      </c>
      <c r="D231" t="s">
        <v>865</v>
      </c>
      <c r="E231" t="str">
        <f>E169</f>
        <v>PJ/yr.</v>
      </c>
      <c r="F231" s="13">
        <f>SUM(F232,F238,F271,F280,F286)</f>
        <v>7.861809160402883</v>
      </c>
      <c r="G231" s="13">
        <f t="shared" ref="G231:K231" si="130">SUM(G232,G238,G271,G280,G286)</f>
        <v>8.3430041488816613</v>
      </c>
      <c r="H231" s="13">
        <f t="shared" si="130"/>
        <v>8.3188832942060866</v>
      </c>
      <c r="I231" s="13">
        <f t="shared" si="130"/>
        <v>10.287467227921432</v>
      </c>
      <c r="J231" s="13">
        <f t="shared" si="130"/>
        <v>13.424238865418577</v>
      </c>
      <c r="K231" s="13">
        <f t="shared" si="130"/>
        <v>16.217062539811373</v>
      </c>
    </row>
    <row r="232" spans="1:11">
      <c r="A232" s="5" t="s">
        <v>5</v>
      </c>
      <c r="B232" s="5" t="s">
        <v>6</v>
      </c>
      <c r="C232" s="5" t="s">
        <v>7</v>
      </c>
      <c r="D232" t="s">
        <v>866</v>
      </c>
      <c r="E232" t="str">
        <f>E169</f>
        <v>PJ/yr.</v>
      </c>
      <c r="F232" s="13">
        <f>+F233</f>
        <v>0.92931890049443122</v>
      </c>
      <c r="G232" s="13">
        <f t="shared" ref="G232:K232" si="131">+G233</f>
        <v>2.0729635468487739</v>
      </c>
      <c r="H232" s="13">
        <f t="shared" si="131"/>
        <v>3.0648687249485964E-2</v>
      </c>
      <c r="I232" s="13">
        <f t="shared" si="131"/>
        <v>1.3204719837478649</v>
      </c>
      <c r="J232" s="13">
        <f t="shared" si="131"/>
        <v>1.4688632820935419E-2</v>
      </c>
      <c r="K232" s="13">
        <f t="shared" si="131"/>
        <v>3.347383055513178E-3</v>
      </c>
    </row>
    <row r="233" spans="1:11">
      <c r="A233" s="5" t="s">
        <v>5</v>
      </c>
      <c r="B233" s="5" t="s">
        <v>6</v>
      </c>
      <c r="C233" s="5" t="s">
        <v>7</v>
      </c>
      <c r="D233" t="s">
        <v>170</v>
      </c>
      <c r="E233" t="str">
        <f>E170</f>
        <v>PJ/yr.</v>
      </c>
      <c r="F233" s="13">
        <f>'[1]Electricity and CHPs'!B$104</f>
        <v>0.92931890049443122</v>
      </c>
      <c r="G233" s="13">
        <f>'[1]Electricity and CHPs'!C$104</f>
        <v>2.0729635468487739</v>
      </c>
      <c r="H233" s="13">
        <f>'[1]Electricity and CHPs'!D$104</f>
        <v>3.0648687249485964E-2</v>
      </c>
      <c r="I233" s="13">
        <f>'[1]Electricity and CHPs'!E$104</f>
        <v>1.3204719837478649</v>
      </c>
      <c r="J233" s="13">
        <f>'[1]Electricity and CHPs'!F$104</f>
        <v>1.4688632820935419E-2</v>
      </c>
      <c r="K233" s="13">
        <f>'[1]Electricity and CHPs'!G$104</f>
        <v>3.347383055513178E-3</v>
      </c>
    </row>
    <row r="234" spans="1:11">
      <c r="A234" s="5" t="s">
        <v>5</v>
      </c>
      <c r="B234" s="5" t="s">
        <v>6</v>
      </c>
      <c r="C234" s="5" t="s">
        <v>7</v>
      </c>
      <c r="D234" t="s">
        <v>867</v>
      </c>
      <c r="E234" t="str">
        <f>E169</f>
        <v>PJ/yr.</v>
      </c>
      <c r="F234" s="13">
        <f>F235</f>
        <v>0.92931890049443122</v>
      </c>
      <c r="G234" s="13">
        <f t="shared" ref="G234:K234" si="132">G235</f>
        <v>2.0729635468487739</v>
      </c>
      <c r="H234" s="13">
        <f t="shared" si="132"/>
        <v>3.0648687249485964E-2</v>
      </c>
      <c r="I234" s="13">
        <f t="shared" si="132"/>
        <v>1.3204719837478649</v>
      </c>
      <c r="J234" s="13">
        <f t="shared" si="132"/>
        <v>1.4688632820935419E-2</v>
      </c>
      <c r="K234" s="13">
        <f t="shared" si="132"/>
        <v>3.347383055513178E-3</v>
      </c>
    </row>
    <row r="235" spans="1:11">
      <c r="A235" s="5" t="s">
        <v>5</v>
      </c>
      <c r="B235" s="5" t="s">
        <v>6</v>
      </c>
      <c r="C235" s="5" t="s">
        <v>7</v>
      </c>
      <c r="D235" t="s">
        <v>524</v>
      </c>
      <c r="E235" t="str">
        <f>E170</f>
        <v>PJ/yr.</v>
      </c>
      <c r="F235" s="13">
        <f>F233-F237</f>
        <v>0.92931890049443122</v>
      </c>
      <c r="G235" s="13">
        <f t="shared" ref="G235:K235" si="133">G233-G237</f>
        <v>2.0729635468487739</v>
      </c>
      <c r="H235" s="13">
        <f t="shared" si="133"/>
        <v>3.0648687249485964E-2</v>
      </c>
      <c r="I235" s="13">
        <f t="shared" si="133"/>
        <v>1.3204719837478649</v>
      </c>
      <c r="J235" s="13">
        <f t="shared" si="133"/>
        <v>1.4688632820935419E-2</v>
      </c>
      <c r="K235" s="13">
        <f t="shared" si="133"/>
        <v>3.347383055513178E-3</v>
      </c>
    </row>
    <row r="236" spans="1:11">
      <c r="A236" s="5" t="s">
        <v>5</v>
      </c>
      <c r="B236" s="5" t="s">
        <v>6</v>
      </c>
      <c r="C236" s="5" t="s">
        <v>7</v>
      </c>
      <c r="D236" t="s">
        <v>868</v>
      </c>
      <c r="E236" t="str">
        <f>E170</f>
        <v>PJ/yr.</v>
      </c>
      <c r="F236" s="13">
        <f>F237</f>
        <v>0</v>
      </c>
      <c r="G236" s="13">
        <f t="shared" ref="G236:K236" si="134">G237</f>
        <v>0</v>
      </c>
      <c r="H236" s="13">
        <f t="shared" si="134"/>
        <v>0</v>
      </c>
      <c r="I236" s="13">
        <f t="shared" si="134"/>
        <v>0</v>
      </c>
      <c r="J236" s="13">
        <f t="shared" si="134"/>
        <v>0</v>
      </c>
      <c r="K236" s="13">
        <f t="shared" si="134"/>
        <v>0</v>
      </c>
    </row>
    <row r="237" spans="1:11">
      <c r="A237" s="5" t="s">
        <v>5</v>
      </c>
      <c r="B237" s="5" t="s">
        <v>6</v>
      </c>
      <c r="C237" s="5" t="s">
        <v>7</v>
      </c>
      <c r="D237" t="s">
        <v>548</v>
      </c>
      <c r="E237" t="str">
        <f>E171</f>
        <v>PJ/yr.</v>
      </c>
      <c r="F237" s="13">
        <f t="shared" ref="F237:K237" si="135">F233*IFERROR(F79/F75,0)</f>
        <v>0</v>
      </c>
      <c r="G237" s="13">
        <f t="shared" si="135"/>
        <v>0</v>
      </c>
      <c r="H237" s="13">
        <f t="shared" si="135"/>
        <v>0</v>
      </c>
      <c r="I237" s="13">
        <f t="shared" si="135"/>
        <v>0</v>
      </c>
      <c r="J237" s="13">
        <f t="shared" si="135"/>
        <v>0</v>
      </c>
      <c r="K237" s="13">
        <f t="shared" si="135"/>
        <v>0</v>
      </c>
    </row>
    <row r="238" spans="1:11">
      <c r="A238" s="5" t="s">
        <v>5</v>
      </c>
      <c r="B238" s="5" t="s">
        <v>6</v>
      </c>
      <c r="C238" s="5" t="s">
        <v>7</v>
      </c>
      <c r="D238" t="s">
        <v>869</v>
      </c>
      <c r="E238" t="str">
        <f>E171</f>
        <v>PJ/yr.</v>
      </c>
      <c r="F238" s="13">
        <f>SUM(F239:F248)</f>
        <v>4.3381640169948907</v>
      </c>
      <c r="G238" s="13">
        <f t="shared" ref="G238:K238" si="136">SUM(G239:G248)</f>
        <v>2.5584642329687677</v>
      </c>
      <c r="H238" s="13">
        <f t="shared" si="136"/>
        <v>2.3617955581629384</v>
      </c>
      <c r="I238" s="13">
        <f t="shared" si="136"/>
        <v>2.8349175793286001</v>
      </c>
      <c r="J238" s="13">
        <f t="shared" si="136"/>
        <v>2.4773136550387886</v>
      </c>
      <c r="K238" s="13">
        <f t="shared" si="136"/>
        <v>3.0720874125667788</v>
      </c>
    </row>
    <row r="239" spans="1:11">
      <c r="A239" s="5" t="s">
        <v>5</v>
      </c>
      <c r="B239" s="5" t="s">
        <v>6</v>
      </c>
      <c r="C239" s="5" t="s">
        <v>7</v>
      </c>
      <c r="D239" t="s">
        <v>171</v>
      </c>
      <c r="E239" t="str">
        <f>E172</f>
        <v>PJ/yr.</v>
      </c>
      <c r="F239" s="13">
        <f>'[1]Electricity and CHPs'!B$103-F240</f>
        <v>2.085011001407342</v>
      </c>
      <c r="G239" s="13">
        <f>'[1]Electricity and CHPs'!C$103-G240</f>
        <v>0.22648253152292336</v>
      </c>
      <c r="H239" s="13">
        <f>'[1]Electricity and CHPs'!D$103-H240</f>
        <v>0.12937828424155898</v>
      </c>
      <c r="I239" s="13">
        <f>'[1]Electricity and CHPs'!E$103-I240</f>
        <v>0.23434845216027739</v>
      </c>
      <c r="J239" s="13">
        <f>'[1]Electricity and CHPs'!F$103-J240</f>
        <v>1.5476444079463383E-2</v>
      </c>
      <c r="K239" s="13">
        <f>'[1]Electricity and CHPs'!G$103-K240</f>
        <v>0.18147679116686852</v>
      </c>
    </row>
    <row r="240" spans="1:11">
      <c r="A240" s="5" t="s">
        <v>5</v>
      </c>
      <c r="B240" s="5" t="s">
        <v>6</v>
      </c>
      <c r="C240" s="5" t="s">
        <v>7</v>
      </c>
      <c r="D240" t="s">
        <v>172</v>
      </c>
      <c r="E240" t="str">
        <f>E173</f>
        <v>PJ/yr.</v>
      </c>
      <c r="F240" s="13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3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3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3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3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2.5591472874397763E-5</v>
      </c>
      <c r="K240" s="13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0.10492900379799011</v>
      </c>
    </row>
    <row r="241" spans="1:11">
      <c r="A241" s="5" t="s">
        <v>5</v>
      </c>
      <c r="B241" s="5" t="s">
        <v>6</v>
      </c>
      <c r="C241" s="5" t="s">
        <v>7</v>
      </c>
      <c r="D241" t="s">
        <v>173</v>
      </c>
      <c r="E241" t="str">
        <f>E174</f>
        <v>PJ/yr.</v>
      </c>
      <c r="F241" s="13">
        <f>'[1]Electricity and CHPs'!B$107</f>
        <v>0</v>
      </c>
      <c r="G241" s="13">
        <f>'[1]Electricity and CHPs'!C$107</f>
        <v>0</v>
      </c>
      <c r="H241" s="13">
        <f>'[1]Electricity and CHPs'!D$107</f>
        <v>0</v>
      </c>
      <c r="I241" s="13">
        <f>'[1]Electricity and CHPs'!E$107</f>
        <v>5.7240447712859715E-6</v>
      </c>
      <c r="J241" s="13">
        <f>'[1]Electricity and CHPs'!F$107</f>
        <v>1.773331716665078E-5</v>
      </c>
      <c r="K241" s="13">
        <f>'[1]Electricity and CHPs'!G$107</f>
        <v>6.4574781708892726E-6</v>
      </c>
    </row>
    <row r="242" spans="1:11">
      <c r="A242" s="5" t="s">
        <v>5</v>
      </c>
      <c r="B242" s="5" t="s">
        <v>6</v>
      </c>
      <c r="C242" s="5" t="s">
        <v>7</v>
      </c>
      <c r="D242" t="s">
        <v>174</v>
      </c>
      <c r="E242" t="str">
        <f>E197</f>
        <v>PJ/yr.</v>
      </c>
      <c r="F242" s="13">
        <f>'[1]Electricity and CHPs'!B$109</f>
        <v>3.0396918636573206E-2</v>
      </c>
      <c r="G242" s="13">
        <f>'[1]Electricity and CHPs'!C$109</f>
        <v>8.8437119179602763E-4</v>
      </c>
      <c r="H242" s="13">
        <f>'[1]Electricity and CHPs'!D$109</f>
        <v>1.0724315105740368E-3</v>
      </c>
      <c r="I242" s="13">
        <f>'[1]Electricity and CHPs'!E$109</f>
        <v>1.055283509810833E-3</v>
      </c>
      <c r="J242" s="13">
        <f>'[1]Electricity and CHPs'!F$109</f>
        <v>2.0377593760857876E-3</v>
      </c>
      <c r="K242" s="13">
        <f>'[1]Electricity and CHPs'!G$109</f>
        <v>1.479695683039557E-3</v>
      </c>
    </row>
    <row r="243" spans="1:11">
      <c r="A243" s="5" t="s">
        <v>5</v>
      </c>
      <c r="B243" s="5" t="s">
        <v>6</v>
      </c>
      <c r="C243" s="5" t="s">
        <v>7</v>
      </c>
      <c r="D243" t="s">
        <v>175</v>
      </c>
      <c r="E243" t="str">
        <f>E199</f>
        <v>PJ/yr.</v>
      </c>
      <c r="F243" s="13">
        <f>'[1]Electricity and CHPs'!B$111</f>
        <v>0</v>
      </c>
      <c r="G243" s="13">
        <f>'[1]Electricity and CHPs'!C$111</f>
        <v>0</v>
      </c>
      <c r="H243" s="13">
        <f>'[1]Electricity and CHPs'!D$111</f>
        <v>0</v>
      </c>
      <c r="I243" s="13">
        <f>'[1]Electricity and CHPs'!E$111</f>
        <v>0</v>
      </c>
      <c r="J243" s="13">
        <f>'[1]Electricity and CHPs'!F$111</f>
        <v>0</v>
      </c>
      <c r="K243" s="13">
        <f>'[1]Electricity and CHPs'!G$111</f>
        <v>0</v>
      </c>
    </row>
    <row r="244" spans="1:11">
      <c r="A244" s="5" t="s">
        <v>5</v>
      </c>
      <c r="B244" s="5" t="s">
        <v>6</v>
      </c>
      <c r="C244" s="5" t="s">
        <v>7</v>
      </c>
      <c r="D244" t="s">
        <v>176</v>
      </c>
      <c r="E244" t="str">
        <f>E200</f>
        <v>PJ/yr.</v>
      </c>
      <c r="F244" s="13">
        <f>'[1]Electricity and CHPs'!B$112</f>
        <v>0.10587416375017747</v>
      </c>
      <c r="G244" s="13">
        <f>'[1]Electricity and CHPs'!C$112</f>
        <v>2.5976093187042816E-3</v>
      </c>
      <c r="H244" s="13">
        <f>'[1]Electricity and CHPs'!D$112</f>
        <v>3.8896247858571458E-3</v>
      </c>
      <c r="I244" s="13">
        <f>'[1]Electricity and CHPs'!E$112</f>
        <v>0.52799983590683797</v>
      </c>
      <c r="J244" s="13">
        <f>'[1]Electricity and CHPs'!F$112</f>
        <v>0.80891890776995234</v>
      </c>
      <c r="K244" s="13">
        <f>'[1]Electricity and CHPs'!G$112</f>
        <v>0.8360520197964979</v>
      </c>
    </row>
    <row r="245" spans="1:11">
      <c r="A245" s="5" t="s">
        <v>5</v>
      </c>
      <c r="B245" s="5" t="s">
        <v>6</v>
      </c>
      <c r="C245" s="5" t="s">
        <v>7</v>
      </c>
      <c r="D245" t="s">
        <v>177</v>
      </c>
      <c r="E245" t="str">
        <f>E202</f>
        <v>PJ/yr.</v>
      </c>
      <c r="F245" s="13">
        <f>'[1]Electricity and CHPs'!B$114</f>
        <v>0</v>
      </c>
      <c r="G245" s="13">
        <f>'[1]Electricity and CHPs'!C$114</f>
        <v>0</v>
      </c>
      <c r="H245" s="13">
        <f>'[1]Electricity and CHPs'!D$114</f>
        <v>0</v>
      </c>
      <c r="I245" s="13">
        <f>'[1]Electricity and CHPs'!E$114</f>
        <v>0</v>
      </c>
      <c r="J245" s="13">
        <f>'[1]Electricity and CHPs'!F$114</f>
        <v>0</v>
      </c>
      <c r="K245" s="13">
        <f>'[1]Electricity and CHPs'!G$114</f>
        <v>0</v>
      </c>
    </row>
    <row r="246" spans="1:11">
      <c r="A246" s="5" t="s">
        <v>5</v>
      </c>
      <c r="B246" s="5" t="s">
        <v>6</v>
      </c>
      <c r="C246" s="5" t="s">
        <v>7</v>
      </c>
      <c r="D246" t="s">
        <v>178</v>
      </c>
      <c r="E246" t="str">
        <f>E226</f>
        <v>PJ/yr.</v>
      </c>
      <c r="F246" s="13">
        <f>'[1]Electricity and CHPs'!B$115</f>
        <v>1.4243075484212893</v>
      </c>
      <c r="G246" s="13">
        <f>'[1]Electricity and CHPs'!C$115</f>
        <v>1.5783093694596859</v>
      </c>
      <c r="H246" s="13">
        <f>'[1]Electricity and CHPs'!D$115</f>
        <v>1.573292959941242</v>
      </c>
      <c r="I246" s="13">
        <f>'[1]Electricity and CHPs'!E$115</f>
        <v>1.404599928691767</v>
      </c>
      <c r="J246" s="13">
        <f>'[1]Electricity and CHPs'!F$115</f>
        <v>1.3735260758193411</v>
      </c>
      <c r="K246" s="13">
        <f>'[1]Electricity and CHPs'!G$115</f>
        <v>1.9480340695657885</v>
      </c>
    </row>
    <row r="247" spans="1:11">
      <c r="A247" s="5" t="s">
        <v>5</v>
      </c>
      <c r="B247" s="5" t="s">
        <v>6</v>
      </c>
      <c r="C247" s="5" t="s">
        <v>7</v>
      </c>
      <c r="D247" t="s">
        <v>179</v>
      </c>
      <c r="E247" t="str">
        <f>E228</f>
        <v>PJ/yr.</v>
      </c>
      <c r="F247" s="13">
        <f>'[1]Electricity and CHPs'!B$116</f>
        <v>0.69257438477950906</v>
      </c>
      <c r="G247" s="13">
        <f>'[1]Electricity and CHPs'!C$116</f>
        <v>0.75019035147565793</v>
      </c>
      <c r="H247" s="13">
        <f>'[1]Electricity and CHPs'!D$116</f>
        <v>0.65416225768370639</v>
      </c>
      <c r="I247" s="13">
        <f>'[1]Electricity and CHPs'!E$116</f>
        <v>0.66690564620455528</v>
      </c>
      <c r="J247" s="13">
        <f>'[1]Electricity and CHPs'!F$116</f>
        <v>0.27730166713569726</v>
      </c>
      <c r="K247" s="13">
        <f>'[1]Electricity and CHPs'!G$116</f>
        <v>1.0565115297247381E-4</v>
      </c>
    </row>
    <row r="248" spans="1:11">
      <c r="A248" s="5" t="s">
        <v>5</v>
      </c>
      <c r="B248" s="5" t="s">
        <v>6</v>
      </c>
      <c r="C248" s="5" t="s">
        <v>7</v>
      </c>
      <c r="D248" t="s">
        <v>180</v>
      </c>
      <c r="E248" t="str">
        <f>E230</f>
        <v>PJ/yr.</v>
      </c>
      <c r="F248" s="13">
        <f>'[1]Electricity and CHPs'!B$118</f>
        <v>0</v>
      </c>
      <c r="G248" s="13">
        <f>'[1]Electricity and CHPs'!C$118</f>
        <v>0</v>
      </c>
      <c r="H248" s="13">
        <f>'[1]Electricity and CHPs'!D$118</f>
        <v>0</v>
      </c>
      <c r="I248" s="13">
        <f>'[1]Electricity and CHPs'!E$118</f>
        <v>2.7088105804188176E-6</v>
      </c>
      <c r="J248" s="13">
        <f>'[1]Electricity and CHPs'!F$118</f>
        <v>9.4760682080786678E-6</v>
      </c>
      <c r="K248" s="13">
        <f>'[1]Electricity and CHPs'!G$118</f>
        <v>3.7239254504994968E-6</v>
      </c>
    </row>
    <row r="249" spans="1:11">
      <c r="A249" s="5" t="s">
        <v>5</v>
      </c>
      <c r="B249" s="5" t="s">
        <v>6</v>
      </c>
      <c r="C249" s="5" t="s">
        <v>7</v>
      </c>
      <c r="D249" t="s">
        <v>870</v>
      </c>
      <c r="E249" t="str">
        <f>E172</f>
        <v>PJ/yr.</v>
      </c>
      <c r="F249" s="13">
        <f>SUM(F250:F259)</f>
        <v>2.8413918812348293</v>
      </c>
      <c r="G249" s="13">
        <f t="shared" ref="G249:K249" si="137">SUM(G250:G259)</f>
        <v>0.83397490359798343</v>
      </c>
      <c r="H249" s="13">
        <f t="shared" si="137"/>
        <v>0.76059860206350804</v>
      </c>
      <c r="I249" s="13">
        <f t="shared" si="137"/>
        <v>1.4059546793630735</v>
      </c>
      <c r="J249" s="13">
        <f t="shared" si="137"/>
        <v>1.0954352960705749</v>
      </c>
      <c r="K249" s="13">
        <f t="shared" si="137"/>
        <v>0.79012126589860321</v>
      </c>
    </row>
    <row r="250" spans="1:11">
      <c r="A250" s="5" t="s">
        <v>5</v>
      </c>
      <c r="B250" s="5" t="s">
        <v>6</v>
      </c>
      <c r="C250" s="5" t="s">
        <v>7</v>
      </c>
      <c r="D250" t="s">
        <v>574</v>
      </c>
      <c r="E250" t="str">
        <f>E172</f>
        <v>PJ/yr.</v>
      </c>
      <c r="F250" s="13">
        <f t="shared" ref="F250:K252" si="138">F239-F261</f>
        <v>2.0331589409358304</v>
      </c>
      <c r="G250" s="13">
        <f t="shared" si="138"/>
        <v>0.1927050045104502</v>
      </c>
      <c r="H250" s="13">
        <f t="shared" si="138"/>
        <v>0.12479976902224141</v>
      </c>
      <c r="I250" s="13">
        <f t="shared" si="138"/>
        <v>0.23035673423280242</v>
      </c>
      <c r="J250" s="13">
        <f t="shared" si="138"/>
        <v>1.5359334913240668E-2</v>
      </c>
      <c r="K250" s="13">
        <f t="shared" si="138"/>
        <v>0.12756393890094619</v>
      </c>
    </row>
    <row r="251" spans="1:11">
      <c r="A251" s="5" t="s">
        <v>5</v>
      </c>
      <c r="B251" s="5" t="s">
        <v>6</v>
      </c>
      <c r="C251" s="5" t="s">
        <v>7</v>
      </c>
      <c r="D251" t="s">
        <v>575</v>
      </c>
      <c r="E251" t="str">
        <f>E173</f>
        <v>PJ/yr.</v>
      </c>
      <c r="F251" s="13">
        <f t="shared" si="138"/>
        <v>0</v>
      </c>
      <c r="G251" s="13">
        <f t="shared" si="138"/>
        <v>0</v>
      </c>
      <c r="H251" s="13">
        <f t="shared" si="138"/>
        <v>0</v>
      </c>
      <c r="I251" s="13">
        <f t="shared" si="138"/>
        <v>0</v>
      </c>
      <c r="J251" s="13">
        <f t="shared" si="138"/>
        <v>2.5397823995149793E-5</v>
      </c>
      <c r="K251" s="13">
        <f t="shared" si="138"/>
        <v>7.3756853112507723E-2</v>
      </c>
    </row>
    <row r="252" spans="1:11">
      <c r="A252" s="5" t="s">
        <v>5</v>
      </c>
      <c r="B252" s="5" t="s">
        <v>6</v>
      </c>
      <c r="C252" s="5" t="s">
        <v>7</v>
      </c>
      <c r="D252" t="s">
        <v>576</v>
      </c>
      <c r="E252" t="str">
        <f>E174</f>
        <v>PJ/yr.</v>
      </c>
      <c r="F252" s="13">
        <f t="shared" si="138"/>
        <v>0</v>
      </c>
      <c r="G252" s="13">
        <f t="shared" si="138"/>
        <v>0</v>
      </c>
      <c r="H252" s="13">
        <f t="shared" si="138"/>
        <v>0</v>
      </c>
      <c r="I252" s="13">
        <f t="shared" si="138"/>
        <v>5.6265456330557577E-6</v>
      </c>
      <c r="J252" s="13">
        <f t="shared" si="138"/>
        <v>1.7599130400163173E-5</v>
      </c>
      <c r="K252" s="13">
        <f t="shared" si="138"/>
        <v>4.5391002648271425E-6</v>
      </c>
    </row>
    <row r="253" spans="1:11">
      <c r="A253" s="5" t="s">
        <v>5</v>
      </c>
      <c r="B253" s="5" t="s">
        <v>6</v>
      </c>
      <c r="C253" s="5" t="s">
        <v>7</v>
      </c>
      <c r="D253" t="s">
        <v>577</v>
      </c>
      <c r="E253" t="str">
        <f>E197</f>
        <v>PJ/yr.</v>
      </c>
      <c r="F253" s="13">
        <f>F242-F264</f>
        <v>2.96409788059309E-2</v>
      </c>
      <c r="G253" s="13">
        <f t="shared" ref="G253:K253" si="139">G242-G264</f>
        <v>7.5247637580700755E-4</v>
      </c>
      <c r="H253" s="13">
        <f t="shared" si="139"/>
        <v>1.0344796701888966E-3</v>
      </c>
      <c r="I253" s="13">
        <f t="shared" si="139"/>
        <v>1.0373085922645478E-3</v>
      </c>
      <c r="J253" s="13">
        <f t="shared" si="139"/>
        <v>2.0223397938955484E-3</v>
      </c>
      <c r="K253" s="13">
        <f t="shared" si="139"/>
        <v>1.0401099142737778E-3</v>
      </c>
    </row>
    <row r="254" spans="1:11">
      <c r="A254" s="5" t="s">
        <v>5</v>
      </c>
      <c r="B254" s="5" t="s">
        <v>6</v>
      </c>
      <c r="C254" s="5" t="s">
        <v>7</v>
      </c>
      <c r="D254" t="s">
        <v>578</v>
      </c>
      <c r="E254" t="str">
        <f>E199</f>
        <v>PJ/yr.</v>
      </c>
      <c r="F254" s="13">
        <f t="shared" ref="F254:K254" si="140">F243-F265</f>
        <v>0</v>
      </c>
      <c r="G254" s="13">
        <f t="shared" si="140"/>
        <v>0</v>
      </c>
      <c r="H254" s="13">
        <f t="shared" si="140"/>
        <v>0</v>
      </c>
      <c r="I254" s="13">
        <f t="shared" si="140"/>
        <v>0</v>
      </c>
      <c r="J254" s="13">
        <f t="shared" si="140"/>
        <v>0</v>
      </c>
      <c r="K254" s="13">
        <f t="shared" si="140"/>
        <v>0</v>
      </c>
    </row>
    <row r="255" spans="1:11">
      <c r="A255" s="5" t="s">
        <v>5</v>
      </c>
      <c r="B255" s="5" t="s">
        <v>6</v>
      </c>
      <c r="C255" s="5" t="s">
        <v>7</v>
      </c>
      <c r="D255" t="s">
        <v>579</v>
      </c>
      <c r="E255" t="str">
        <f>E201</f>
        <v>PJ/yr.</v>
      </c>
      <c r="F255" s="13">
        <f t="shared" ref="F255:K255" si="141">F244-F266</f>
        <v>0.10324118313883325</v>
      </c>
      <c r="G255" s="13">
        <f t="shared" si="141"/>
        <v>2.2102027565275195E-3</v>
      </c>
      <c r="H255" s="13">
        <f t="shared" si="141"/>
        <v>3.7519764441444701E-3</v>
      </c>
      <c r="I255" s="13">
        <f t="shared" si="141"/>
        <v>0.51900627784718545</v>
      </c>
      <c r="J255" s="13">
        <f t="shared" si="141"/>
        <v>0.80279787516424972</v>
      </c>
      <c r="K255" s="13">
        <f t="shared" si="141"/>
        <v>0.58767894277603794</v>
      </c>
    </row>
    <row r="256" spans="1:11">
      <c r="A256" s="5" t="s">
        <v>5</v>
      </c>
      <c r="B256" s="5" t="s">
        <v>6</v>
      </c>
      <c r="C256" s="5" t="s">
        <v>7</v>
      </c>
      <c r="D256" t="s">
        <v>580</v>
      </c>
      <c r="E256" t="str">
        <f>E202</f>
        <v>PJ/yr.</v>
      </c>
      <c r="F256" s="13">
        <f t="shared" ref="F256:K257" si="142">F245-F267</f>
        <v>0</v>
      </c>
      <c r="G256" s="13">
        <f t="shared" si="142"/>
        <v>0</v>
      </c>
      <c r="H256" s="13">
        <f t="shared" si="142"/>
        <v>0</v>
      </c>
      <c r="I256" s="13">
        <f t="shared" si="142"/>
        <v>0</v>
      </c>
      <c r="J256" s="13">
        <f t="shared" si="142"/>
        <v>0</v>
      </c>
      <c r="K256" s="13">
        <f t="shared" si="142"/>
        <v>0</v>
      </c>
    </row>
    <row r="257" spans="1:18">
      <c r="A257" s="5" t="s">
        <v>5</v>
      </c>
      <c r="B257" s="5" t="s">
        <v>6</v>
      </c>
      <c r="C257" s="5" t="s">
        <v>7</v>
      </c>
      <c r="D257" t="s">
        <v>581</v>
      </c>
      <c r="E257" t="str">
        <f>E239</f>
        <v>PJ/yr.</v>
      </c>
      <c r="F257" s="13">
        <f t="shared" si="142"/>
        <v>0</v>
      </c>
      <c r="G257" s="13">
        <f t="shared" ref="G257:K257" si="143">G246-G268</f>
        <v>0</v>
      </c>
      <c r="H257" s="13">
        <f t="shared" si="143"/>
        <v>0</v>
      </c>
      <c r="I257" s="13">
        <f t="shared" si="143"/>
        <v>0</v>
      </c>
      <c r="J257" s="13">
        <f t="shared" si="143"/>
        <v>0</v>
      </c>
      <c r="K257" s="13">
        <f t="shared" si="143"/>
        <v>0</v>
      </c>
    </row>
    <row r="258" spans="1:18">
      <c r="A258" s="5" t="s">
        <v>5</v>
      </c>
      <c r="B258" s="5" t="s">
        <v>6</v>
      </c>
      <c r="C258" s="5" t="s">
        <v>7</v>
      </c>
      <c r="D258" t="s">
        <v>582</v>
      </c>
      <c r="E258" t="str">
        <f>E241</f>
        <v>PJ/yr.</v>
      </c>
      <c r="F258" s="13">
        <f t="shared" ref="F258:K258" si="144">F247-F269</f>
        <v>0.67535077835423474</v>
      </c>
      <c r="G258" s="13">
        <f t="shared" si="144"/>
        <v>0.63830721995519868</v>
      </c>
      <c r="H258" s="13">
        <f t="shared" si="144"/>
        <v>0.63101237692693324</v>
      </c>
      <c r="I258" s="13">
        <f t="shared" si="144"/>
        <v>0.65554606947448024</v>
      </c>
      <c r="J258" s="13">
        <f t="shared" si="144"/>
        <v>0.27520334488132858</v>
      </c>
      <c r="K258" s="13">
        <f t="shared" si="144"/>
        <v>7.4264467296001311E-5</v>
      </c>
    </row>
    <row r="259" spans="1:18">
      <c r="A259" s="5" t="s">
        <v>5</v>
      </c>
      <c r="B259" s="5" t="s">
        <v>6</v>
      </c>
      <c r="C259" s="5" t="s">
        <v>7</v>
      </c>
      <c r="D259" t="s">
        <v>583</v>
      </c>
      <c r="E259" t="str">
        <f>E243</f>
        <v>PJ/yr.</v>
      </c>
      <c r="F259" s="13">
        <f t="shared" ref="F259:K259" si="145">F248-F270</f>
        <v>0</v>
      </c>
      <c r="G259" s="13">
        <f t="shared" si="145"/>
        <v>0</v>
      </c>
      <c r="H259" s="13">
        <f t="shared" si="145"/>
        <v>0</v>
      </c>
      <c r="I259" s="13">
        <f t="shared" si="145"/>
        <v>2.6626707076937506E-6</v>
      </c>
      <c r="J259" s="13">
        <f t="shared" si="145"/>
        <v>9.4043634649723207E-6</v>
      </c>
      <c r="K259" s="13">
        <f t="shared" si="145"/>
        <v>2.6176272766603896E-6</v>
      </c>
    </row>
    <row r="260" spans="1:18">
      <c r="A260" s="5" t="s">
        <v>5</v>
      </c>
      <c r="B260" s="5" t="s">
        <v>6</v>
      </c>
      <c r="C260" s="5" t="s">
        <v>7</v>
      </c>
      <c r="D260" t="s">
        <v>871</v>
      </c>
      <c r="E260" t="str">
        <f>E173</f>
        <v>PJ/yr.</v>
      </c>
      <c r="F260" s="13">
        <f>SUM(F261:F270)</f>
        <v>1.4967721357600616</v>
      </c>
      <c r="G260" s="13">
        <f t="shared" ref="G260:K260" si="146">SUM(G261:G270)</f>
        <v>1.7244893293707839</v>
      </c>
      <c r="H260" s="13">
        <f t="shared" si="146"/>
        <v>1.6011969560994306</v>
      </c>
      <c r="I260" s="13">
        <f t="shared" si="146"/>
        <v>1.4289628999655268</v>
      </c>
      <c r="J260" s="13">
        <f t="shared" si="146"/>
        <v>1.3818783589682142</v>
      </c>
      <c r="K260" s="13">
        <f t="shared" si="146"/>
        <v>2.2819661466681751</v>
      </c>
      <c r="M260" s="2"/>
      <c r="N260" s="2"/>
      <c r="O260" s="2"/>
      <c r="P260" s="2"/>
      <c r="Q260" s="2"/>
      <c r="R260" s="2"/>
    </row>
    <row r="261" spans="1:18">
      <c r="A261" s="5" t="s">
        <v>5</v>
      </c>
      <c r="B261" s="5" t="s">
        <v>6</v>
      </c>
      <c r="C261" s="5" t="s">
        <v>7</v>
      </c>
      <c r="D261" t="s">
        <v>635</v>
      </c>
      <c r="E261" t="str">
        <f>E175</f>
        <v>PJ/yr.</v>
      </c>
      <c r="F261" s="13">
        <f t="shared" ref="F261:K270" si="147">F239*IFERROR(F118/F86,0)</f>
        <v>5.1852060471511655E-2</v>
      </c>
      <c r="G261" s="13">
        <f t="shared" si="147"/>
        <v>3.3777527012473177E-2</v>
      </c>
      <c r="H261" s="13">
        <f t="shared" si="147"/>
        <v>4.5785152193175659E-3</v>
      </c>
      <c r="I261" s="13">
        <f t="shared" si="147"/>
        <v>3.9917179274749515E-3</v>
      </c>
      <c r="J261" s="13">
        <f t="shared" si="147"/>
        <v>1.1710916622271591E-4</v>
      </c>
      <c r="K261" s="13">
        <f t="shared" si="147"/>
        <v>5.391285226592233E-2</v>
      </c>
    </row>
    <row r="262" spans="1:18">
      <c r="A262" s="5" t="s">
        <v>5</v>
      </c>
      <c r="B262" s="5" t="s">
        <v>6</v>
      </c>
      <c r="C262" s="5" t="s">
        <v>7</v>
      </c>
      <c r="D262" t="s">
        <v>636</v>
      </c>
      <c r="E262" t="str">
        <f>E176</f>
        <v>PJ/yr.</v>
      </c>
      <c r="F262" s="13">
        <f t="shared" si="147"/>
        <v>0</v>
      </c>
      <c r="G262" s="13">
        <f t="shared" si="147"/>
        <v>0</v>
      </c>
      <c r="H262" s="13">
        <f t="shared" si="147"/>
        <v>0</v>
      </c>
      <c r="I262" s="13">
        <f t="shared" si="147"/>
        <v>0</v>
      </c>
      <c r="J262" s="13">
        <f t="shared" si="147"/>
        <v>1.9364887924797051E-7</v>
      </c>
      <c r="K262" s="13">
        <f t="shared" si="147"/>
        <v>3.1172150685482385E-2</v>
      </c>
    </row>
    <row r="263" spans="1:18">
      <c r="A263" s="5" t="s">
        <v>5</v>
      </c>
      <c r="B263" s="5" t="s">
        <v>6</v>
      </c>
      <c r="C263" s="5" t="s">
        <v>7</v>
      </c>
      <c r="D263" t="s">
        <v>637</v>
      </c>
      <c r="E263" t="str">
        <f>E177</f>
        <v>PJ/yr.</v>
      </c>
      <c r="F263" s="13">
        <f t="shared" si="147"/>
        <v>0</v>
      </c>
      <c r="G263" s="13">
        <f t="shared" si="147"/>
        <v>0</v>
      </c>
      <c r="H263" s="13">
        <f t="shared" si="147"/>
        <v>0</v>
      </c>
      <c r="I263" s="13">
        <f t="shared" si="147"/>
        <v>9.7499138230213552E-8</v>
      </c>
      <c r="J263" s="13">
        <f t="shared" si="147"/>
        <v>1.3418676648760617E-7</v>
      </c>
      <c r="K263" s="13">
        <f t="shared" si="147"/>
        <v>1.9183779060621301E-6</v>
      </c>
    </row>
    <row r="264" spans="1:18">
      <c r="A264" s="5" t="s">
        <v>5</v>
      </c>
      <c r="B264" s="5" t="s">
        <v>6</v>
      </c>
      <c r="C264" s="5" t="s">
        <v>7</v>
      </c>
      <c r="D264" t="s">
        <v>638</v>
      </c>
      <c r="E264" t="str">
        <f>E203</f>
        <v>PJ/yr.</v>
      </c>
      <c r="F264" s="13">
        <f t="shared" si="147"/>
        <v>7.5593983064230718E-4</v>
      </c>
      <c r="G264" s="13">
        <f t="shared" si="147"/>
        <v>1.3189481598902011E-4</v>
      </c>
      <c r="H264" s="13">
        <f t="shared" si="147"/>
        <v>3.7951840385140264E-5</v>
      </c>
      <c r="I264" s="13">
        <f t="shared" si="147"/>
        <v>1.7974917546285388E-5</v>
      </c>
      <c r="J264" s="13">
        <f t="shared" si="147"/>
        <v>1.5419582190239322E-5</v>
      </c>
      <c r="K264" s="13">
        <f t="shared" si="147"/>
        <v>4.3958576876577927E-4</v>
      </c>
    </row>
    <row r="265" spans="1:18">
      <c r="A265" s="5" t="s">
        <v>5</v>
      </c>
      <c r="B265" s="5" t="s">
        <v>6</v>
      </c>
      <c r="C265" s="5" t="s">
        <v>7</v>
      </c>
      <c r="D265" t="s">
        <v>639</v>
      </c>
      <c r="E265" t="str">
        <f>E205</f>
        <v>PJ/yr.</v>
      </c>
      <c r="F265" s="13">
        <f t="shared" si="147"/>
        <v>0</v>
      </c>
      <c r="G265" s="13">
        <f t="shared" si="147"/>
        <v>0</v>
      </c>
      <c r="H265" s="13">
        <f t="shared" si="147"/>
        <v>0</v>
      </c>
      <c r="I265" s="13">
        <f t="shared" si="147"/>
        <v>0</v>
      </c>
      <c r="J265" s="13">
        <f t="shared" si="147"/>
        <v>0</v>
      </c>
      <c r="K265" s="13">
        <f t="shared" si="147"/>
        <v>0</v>
      </c>
    </row>
    <row r="266" spans="1:18">
      <c r="A266" s="5" t="s">
        <v>5</v>
      </c>
      <c r="B266" s="5" t="s">
        <v>6</v>
      </c>
      <c r="C266" s="5" t="s">
        <v>7</v>
      </c>
      <c r="D266" t="s">
        <v>640</v>
      </c>
      <c r="E266" t="str">
        <f>E207</f>
        <v>PJ/yr.</v>
      </c>
      <c r="F266" s="13">
        <f t="shared" si="147"/>
        <v>2.6329806113442209E-3</v>
      </c>
      <c r="G266" s="13">
        <f t="shared" si="147"/>
        <v>3.874065621767622E-4</v>
      </c>
      <c r="H266" s="13">
        <f t="shared" si="147"/>
        <v>1.376483417126755E-4</v>
      </c>
      <c r="I266" s="13">
        <f t="shared" si="147"/>
        <v>8.9935580596525299E-3</v>
      </c>
      <c r="J266" s="13">
        <f t="shared" si="147"/>
        <v>6.1210326057026532E-3</v>
      </c>
      <c r="K266" s="13">
        <f t="shared" si="147"/>
        <v>0.24837307702045996</v>
      </c>
    </row>
    <row r="267" spans="1:18">
      <c r="A267" s="5" t="s">
        <v>5</v>
      </c>
      <c r="B267" s="5" t="s">
        <v>6</v>
      </c>
      <c r="C267" s="5" t="s">
        <v>7</v>
      </c>
      <c r="D267" t="s">
        <v>641</v>
      </c>
      <c r="E267" t="str">
        <f>E208</f>
        <v>PJ/yr.</v>
      </c>
      <c r="F267" s="13">
        <f t="shared" si="147"/>
        <v>0</v>
      </c>
      <c r="G267" s="13">
        <f t="shared" si="147"/>
        <v>0</v>
      </c>
      <c r="H267" s="13">
        <f t="shared" si="147"/>
        <v>0</v>
      </c>
      <c r="I267" s="13">
        <f t="shared" si="147"/>
        <v>0</v>
      </c>
      <c r="J267" s="13">
        <f t="shared" si="147"/>
        <v>0</v>
      </c>
      <c r="K267" s="13">
        <f t="shared" si="147"/>
        <v>0</v>
      </c>
    </row>
    <row r="268" spans="1:18">
      <c r="A268" s="5" t="s">
        <v>5</v>
      </c>
      <c r="B268" s="5" t="s">
        <v>6</v>
      </c>
      <c r="C268" s="5" t="s">
        <v>7</v>
      </c>
      <c r="D268" t="s">
        <v>642</v>
      </c>
      <c r="E268" t="str">
        <f>E231</f>
        <v>PJ/yr.</v>
      </c>
      <c r="F268" s="13">
        <f t="shared" si="147"/>
        <v>1.4243075484212893</v>
      </c>
      <c r="G268" s="13">
        <f t="shared" si="147"/>
        <v>1.5783093694596859</v>
      </c>
      <c r="H268" s="13">
        <f t="shared" si="147"/>
        <v>1.573292959941242</v>
      </c>
      <c r="I268" s="13">
        <f t="shared" si="147"/>
        <v>1.404599928691767</v>
      </c>
      <c r="J268" s="13">
        <f t="shared" si="147"/>
        <v>1.3735260758193411</v>
      </c>
      <c r="K268" s="13">
        <f t="shared" si="147"/>
        <v>1.9480340695657885</v>
      </c>
    </row>
    <row r="269" spans="1:18">
      <c r="A269" s="5" t="s">
        <v>5</v>
      </c>
      <c r="B269" s="5" t="s">
        <v>6</v>
      </c>
      <c r="C269" s="5" t="s">
        <v>7</v>
      </c>
      <c r="D269" t="s">
        <v>643</v>
      </c>
      <c r="E269" t="str">
        <f>E233</f>
        <v>PJ/yr.</v>
      </c>
      <c r="F269" s="13">
        <f t="shared" si="147"/>
        <v>1.7223606425274294E-2</v>
      </c>
      <c r="G269" s="13">
        <f t="shared" si="147"/>
        <v>0.11188313152045921</v>
      </c>
      <c r="H269" s="13">
        <f t="shared" si="147"/>
        <v>2.3149880756773118E-2</v>
      </c>
      <c r="I269" s="13">
        <f t="shared" si="147"/>
        <v>1.135957673007504E-2</v>
      </c>
      <c r="J269" s="13">
        <f t="shared" si="147"/>
        <v>2.0983222543686925E-3</v>
      </c>
      <c r="K269" s="13">
        <f t="shared" si="147"/>
        <v>3.138668567647249E-5</v>
      </c>
    </row>
    <row r="270" spans="1:18">
      <c r="A270" s="5" t="s">
        <v>5</v>
      </c>
      <c r="B270" s="5" t="s">
        <v>6</v>
      </c>
      <c r="C270" s="5" t="s">
        <v>7</v>
      </c>
      <c r="D270" t="s">
        <v>644</v>
      </c>
      <c r="E270" t="str">
        <f>E237</f>
        <v>PJ/yr.</v>
      </c>
      <c r="F270" s="13">
        <f t="shared" si="147"/>
        <v>0</v>
      </c>
      <c r="G270" s="13">
        <f t="shared" si="147"/>
        <v>0</v>
      </c>
      <c r="H270" s="13">
        <f t="shared" si="147"/>
        <v>0</v>
      </c>
      <c r="I270" s="13">
        <f t="shared" si="147"/>
        <v>4.6139872725066887E-8</v>
      </c>
      <c r="J270" s="13">
        <f t="shared" si="147"/>
        <v>7.1704743106347753E-8</v>
      </c>
      <c r="K270" s="13">
        <f t="shared" si="147"/>
        <v>1.1062981738391072E-6</v>
      </c>
    </row>
    <row r="271" spans="1:18">
      <c r="A271" s="5" t="s">
        <v>5</v>
      </c>
      <c r="B271" s="5" t="s">
        <v>6</v>
      </c>
      <c r="C271" s="5" t="s">
        <v>7</v>
      </c>
      <c r="D271" t="s">
        <v>872</v>
      </c>
      <c r="E271" t="str">
        <f>E177</f>
        <v>PJ/yr.</v>
      </c>
      <c r="F271" s="13">
        <f>SUM(F272:F273)</f>
        <v>1.9347802049834564</v>
      </c>
      <c r="G271" s="13">
        <f t="shared" ref="G271:K271" si="148">SUM(G272:G273)</f>
        <v>1.6761030665119234</v>
      </c>
      <c r="H271" s="13">
        <f t="shared" si="148"/>
        <v>2.5502835006504729</v>
      </c>
      <c r="I271" s="13">
        <f t="shared" si="148"/>
        <v>2.2433281282237751</v>
      </c>
      <c r="J271" s="13">
        <f t="shared" si="148"/>
        <v>1.5892511039071953</v>
      </c>
      <c r="K271" s="13">
        <f t="shared" si="148"/>
        <v>2.0114835772920605</v>
      </c>
    </row>
    <row r="272" spans="1:18">
      <c r="A272" s="5" t="s">
        <v>5</v>
      </c>
      <c r="B272" s="5" t="s">
        <v>6</v>
      </c>
      <c r="C272" s="5" t="s">
        <v>7</v>
      </c>
      <c r="D272" t="s">
        <v>181</v>
      </c>
      <c r="E272" t="str">
        <f>E178</f>
        <v>PJ/yr.</v>
      </c>
      <c r="F272" s="13">
        <f>'[1]Electricity and CHPs'!B$106-F273</f>
        <v>1.9347802049834564</v>
      </c>
      <c r="G272" s="13">
        <f>'[1]Electricity and CHPs'!C$106-G273</f>
        <v>1.6761030665119234</v>
      </c>
      <c r="H272" s="13">
        <f>'[1]Electricity and CHPs'!D$106-H273</f>
        <v>2.5502835006504729</v>
      </c>
      <c r="I272" s="13">
        <f>'[1]Electricity and CHPs'!E$106-I273</f>
        <v>2.2433281282237751</v>
      </c>
      <c r="J272" s="13">
        <f>'[1]Electricity and CHPs'!F$106-J273</f>
        <v>0.96223160997336332</v>
      </c>
      <c r="K272" s="13">
        <f>'[1]Electricity and CHPs'!G$106-K273</f>
        <v>3.6013633604170536E-6</v>
      </c>
    </row>
    <row r="273" spans="1:11">
      <c r="A273" s="5" t="s">
        <v>5</v>
      </c>
      <c r="B273" s="5" t="s">
        <v>6</v>
      </c>
      <c r="C273" s="5" t="s">
        <v>7</v>
      </c>
      <c r="D273" t="s">
        <v>182</v>
      </c>
      <c r="E273" t="str">
        <f>E179</f>
        <v>PJ/yr.</v>
      </c>
      <c r="F273" s="17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7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7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7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7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0.62701949393383194</v>
      </c>
      <c r="K273" s="17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2.0114799759287001</v>
      </c>
    </row>
    <row r="274" spans="1:11">
      <c r="A274" s="5" t="s">
        <v>5</v>
      </c>
      <c r="B274" s="5" t="s">
        <v>6</v>
      </c>
      <c r="C274" s="5" t="s">
        <v>7</v>
      </c>
      <c r="D274" t="s">
        <v>873</v>
      </c>
      <c r="E274" t="str">
        <f>E179</f>
        <v>PJ/yr.</v>
      </c>
      <c r="F274" s="17">
        <f>SUM(F275:F276)</f>
        <v>0</v>
      </c>
      <c r="G274" s="17">
        <f t="shared" ref="G274:K274" si="149">SUM(G275:G276)</f>
        <v>0</v>
      </c>
      <c r="H274" s="17">
        <f t="shared" si="149"/>
        <v>0</v>
      </c>
      <c r="I274" s="17">
        <f t="shared" si="149"/>
        <v>0</v>
      </c>
      <c r="J274" s="17">
        <f t="shared" si="149"/>
        <v>0</v>
      </c>
      <c r="K274" s="17">
        <f t="shared" si="149"/>
        <v>0</v>
      </c>
    </row>
    <row r="275" spans="1:11">
      <c r="A275" s="5" t="s">
        <v>5</v>
      </c>
      <c r="B275" s="5" t="s">
        <v>6</v>
      </c>
      <c r="C275" s="5" t="s">
        <v>7</v>
      </c>
      <c r="D275" t="s">
        <v>183</v>
      </c>
      <c r="E275" t="str">
        <f>E180</f>
        <v>PJ/yr.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</row>
    <row r="276" spans="1:11">
      <c r="A276" s="5" t="s">
        <v>5</v>
      </c>
      <c r="B276" s="5" t="s">
        <v>6</v>
      </c>
      <c r="C276" s="5" t="s">
        <v>7</v>
      </c>
      <c r="D276" t="s">
        <v>184</v>
      </c>
      <c r="E276" t="str">
        <f>E181</f>
        <v>PJ/yr.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</row>
    <row r="277" spans="1:11">
      <c r="A277" s="5" t="s">
        <v>5</v>
      </c>
      <c r="B277" s="5" t="s">
        <v>6</v>
      </c>
      <c r="C277" s="5" t="s">
        <v>7</v>
      </c>
      <c r="D277" t="s">
        <v>874</v>
      </c>
      <c r="E277" t="str">
        <f>E182</f>
        <v>PJ/yr.</v>
      </c>
      <c r="F277" s="13">
        <f>SUM(F278:F279)</f>
        <v>1.9347802049834564</v>
      </c>
      <c r="G277" s="13">
        <f t="shared" ref="G277:K277" si="150">SUM(G278:G279)</f>
        <v>1.6761030665119234</v>
      </c>
      <c r="H277" s="13">
        <f t="shared" si="150"/>
        <v>2.5502835006504729</v>
      </c>
      <c r="I277" s="13">
        <f t="shared" si="150"/>
        <v>2.2433281282237751</v>
      </c>
      <c r="J277" s="13">
        <f t="shared" si="150"/>
        <v>1.5892511039071953</v>
      </c>
      <c r="K277" s="13">
        <f t="shared" si="150"/>
        <v>2.0114835772920605</v>
      </c>
    </row>
    <row r="278" spans="1:11">
      <c r="A278" s="5" t="s">
        <v>5</v>
      </c>
      <c r="B278" s="5" t="s">
        <v>6</v>
      </c>
      <c r="C278" s="5" t="s">
        <v>7</v>
      </c>
      <c r="D278" t="s">
        <v>185</v>
      </c>
      <c r="E278" t="str">
        <f>E183</f>
        <v>PJ/yr.</v>
      </c>
      <c r="F278" s="13">
        <f>F272</f>
        <v>1.9347802049834564</v>
      </c>
      <c r="G278" s="13">
        <f t="shared" ref="G278:K278" si="151">G272</f>
        <v>1.6761030665119234</v>
      </c>
      <c r="H278" s="13">
        <f t="shared" si="151"/>
        <v>2.5502835006504729</v>
      </c>
      <c r="I278" s="13">
        <f t="shared" si="151"/>
        <v>2.2433281282237751</v>
      </c>
      <c r="J278" s="13">
        <f t="shared" si="151"/>
        <v>0.96223160997336332</v>
      </c>
      <c r="K278" s="13">
        <f t="shared" si="151"/>
        <v>3.6013633604170536E-6</v>
      </c>
    </row>
    <row r="279" spans="1:11">
      <c r="A279" s="5" t="s">
        <v>5</v>
      </c>
      <c r="B279" s="5" t="s">
        <v>6</v>
      </c>
      <c r="C279" s="5" t="s">
        <v>7</v>
      </c>
      <c r="D279" t="s">
        <v>186</v>
      </c>
      <c r="E279" t="str">
        <f>E185</f>
        <v>PJ/yr.</v>
      </c>
      <c r="F279" s="13">
        <f t="shared" ref="F279:K279" si="152">F273</f>
        <v>0</v>
      </c>
      <c r="G279" s="13">
        <f t="shared" si="152"/>
        <v>0</v>
      </c>
      <c r="H279" s="13">
        <f t="shared" si="152"/>
        <v>0</v>
      </c>
      <c r="I279" s="13">
        <f t="shared" si="152"/>
        <v>0</v>
      </c>
      <c r="J279" s="13">
        <f t="shared" si="152"/>
        <v>0.62701949393383194</v>
      </c>
      <c r="K279" s="13">
        <f t="shared" si="152"/>
        <v>2.0114799759287001</v>
      </c>
    </row>
    <row r="280" spans="1:11">
      <c r="A280" s="5" t="s">
        <v>5</v>
      </c>
      <c r="B280" s="5" t="s">
        <v>6</v>
      </c>
      <c r="C280" s="5" t="s">
        <v>7</v>
      </c>
      <c r="D280" t="s">
        <v>875</v>
      </c>
      <c r="E280" t="str">
        <f>E186</f>
        <v>PJ/yr.</v>
      </c>
      <c r="F280" s="13">
        <f>SUM(F281:F285)</f>
        <v>0.65954603793010458</v>
      </c>
      <c r="G280" s="13">
        <f t="shared" ref="G280:K280" si="153">SUM(G281:G285)</f>
        <v>2.0354733025521958</v>
      </c>
      <c r="H280" s="13">
        <f t="shared" si="153"/>
        <v>3.3761555481431889</v>
      </c>
      <c r="I280" s="13">
        <f t="shared" si="153"/>
        <v>3.8886525938371372</v>
      </c>
      <c r="J280" s="13">
        <f t="shared" si="153"/>
        <v>9.3426676680934744</v>
      </c>
      <c r="K280" s="13">
        <f t="shared" si="153"/>
        <v>10.895894516773415</v>
      </c>
    </row>
    <row r="281" spans="1:11">
      <c r="A281" s="5" t="s">
        <v>5</v>
      </c>
      <c r="B281" s="5" t="s">
        <v>6</v>
      </c>
      <c r="C281" s="5" t="s">
        <v>7</v>
      </c>
      <c r="D281" t="s">
        <v>187</v>
      </c>
      <c r="E281" t="str">
        <f>E187</f>
        <v>PJ/yr.</v>
      </c>
      <c r="F281" s="13">
        <f>'[1]Electricity and CHPs'!B$105-F282</f>
        <v>0.65953251346108632</v>
      </c>
      <c r="G281" s="13">
        <f>'[1]Electricity and CHPs'!C$105-G282</f>
        <v>2.0354732389492485</v>
      </c>
      <c r="H281" s="13">
        <f>'[1]Electricity and CHPs'!D$105-H282</f>
        <v>3.3761419820773262</v>
      </c>
      <c r="I281" s="13">
        <f>'[1]Electricity and CHPs'!E$105-I282</f>
        <v>3.8884884195398186</v>
      </c>
      <c r="J281" s="13">
        <f>'[1]Electricity and CHPs'!F$105-J282</f>
        <v>3.6229443529834864</v>
      </c>
      <c r="K281" s="13">
        <f>'[1]Electricity and CHPs'!G$105-K282</f>
        <v>1.9430430290155378</v>
      </c>
    </row>
    <row r="282" spans="1:11">
      <c r="A282" s="5" t="s">
        <v>5</v>
      </c>
      <c r="B282" s="5" t="s">
        <v>6</v>
      </c>
      <c r="C282" s="5" t="s">
        <v>7</v>
      </c>
      <c r="D282" t="s">
        <v>188</v>
      </c>
      <c r="E282" t="str">
        <f>E188</f>
        <v>PJ/yr.</v>
      </c>
      <c r="F282" s="13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3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3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3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3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5.7193817537396203</v>
      </c>
      <c r="K282" s="13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8.9526424954996298</v>
      </c>
    </row>
    <row r="283" spans="1:11">
      <c r="A283" s="5" t="s">
        <v>5</v>
      </c>
      <c r="B283" s="5" t="s">
        <v>6</v>
      </c>
      <c r="C283" s="5" t="s">
        <v>7</v>
      </c>
      <c r="D283" t="s">
        <v>189</v>
      </c>
      <c r="E283" t="str">
        <f>E210</f>
        <v>PJ/yr.</v>
      </c>
      <c r="F283" s="13">
        <f>'[1]Electricity and CHPs'!B$110</f>
        <v>6.0585036649286609E-6</v>
      </c>
      <c r="G283" s="13">
        <f>'[1]Electricity and CHPs'!C$110</f>
        <v>3.1807834133619496E-8</v>
      </c>
      <c r="H283" s="13">
        <f>'[1]Electricity and CHPs'!D$110</f>
        <v>5.9954688529161971E-6</v>
      </c>
      <c r="I283" s="13">
        <f>'[1]Electricity and CHPs'!E$110</f>
        <v>9.9222906715774084E-5</v>
      </c>
      <c r="J283" s="13">
        <f>'[1]Electricity and CHPs'!F$110</f>
        <v>2.0415018156710844E-4</v>
      </c>
      <c r="K283" s="13">
        <f>'[1]Electricity and CHPs'!G$110</f>
        <v>1.4413271151502601E-4</v>
      </c>
    </row>
    <row r="284" spans="1:11">
      <c r="A284" s="5" t="s">
        <v>5</v>
      </c>
      <c r="B284" s="5" t="s">
        <v>6</v>
      </c>
      <c r="C284" s="5" t="s">
        <v>7</v>
      </c>
      <c r="D284" t="s">
        <v>190</v>
      </c>
      <c r="E284" t="str">
        <f>E214</f>
        <v>PJ/yr.</v>
      </c>
      <c r="F284" s="13">
        <f>'[1]Electricity and CHPs'!B$113</f>
        <v>7.4659653532743372E-6</v>
      </c>
      <c r="G284" s="13">
        <f>'[1]Electricity and CHPs'!C$113</f>
        <v>3.1795113412387626E-8</v>
      </c>
      <c r="H284" s="13">
        <f>'[1]Electricity and CHPs'!D$113</f>
        <v>7.5705970099237458E-6</v>
      </c>
      <c r="I284" s="13">
        <f>'[1]Electricity and CHPs'!E$113</f>
        <v>0</v>
      </c>
      <c r="J284" s="13">
        <f>'[1]Electricity and CHPs'!F$113</f>
        <v>1.6608537584490224E-7</v>
      </c>
      <c r="K284" s="13">
        <f>'[1]Electricity and CHPs'!G$113</f>
        <v>3.1404135506559964E-6</v>
      </c>
    </row>
    <row r="285" spans="1:11">
      <c r="A285" s="5" t="s">
        <v>5</v>
      </c>
      <c r="B285" s="5" t="s">
        <v>6</v>
      </c>
      <c r="C285" s="5" t="s">
        <v>7</v>
      </c>
      <c r="D285" t="s">
        <v>237</v>
      </c>
      <c r="E285" t="str">
        <f>E239</f>
        <v>PJ/yr.</v>
      </c>
      <c r="F285" s="13">
        <f>'[1]Electricity and CHPs'!B$117</f>
        <v>0</v>
      </c>
      <c r="G285" s="13">
        <f>'[1]Electricity and CHPs'!C$117</f>
        <v>0</v>
      </c>
      <c r="H285" s="13">
        <f>'[1]Electricity and CHPs'!D$117</f>
        <v>0</v>
      </c>
      <c r="I285" s="13">
        <f>'[1]Electricity and CHPs'!E$117</f>
        <v>6.4951390602704934E-5</v>
      </c>
      <c r="J285" s="13">
        <f>'[1]Electricity and CHPs'!F$117</f>
        <v>1.3724510342452738E-4</v>
      </c>
      <c r="K285" s="13">
        <f>'[1]Electricity and CHPs'!G$117</f>
        <v>6.1719133181408999E-5</v>
      </c>
    </row>
    <row r="286" spans="1:11">
      <c r="A286" s="5" t="s">
        <v>5</v>
      </c>
      <c r="B286" s="5" t="s">
        <v>6</v>
      </c>
      <c r="C286" s="5" t="s">
        <v>7</v>
      </c>
      <c r="D286" t="s">
        <v>876</v>
      </c>
      <c r="E286" t="str">
        <f>E193</f>
        <v>PJ/yr.</v>
      </c>
      <c r="F286" s="13">
        <f>SUM(F287:F288)</f>
        <v>0</v>
      </c>
      <c r="G286" s="13">
        <f t="shared" ref="G286:K286" si="154">SUM(G287:G288)</f>
        <v>0</v>
      </c>
      <c r="H286" s="13">
        <f t="shared" si="154"/>
        <v>0</v>
      </c>
      <c r="I286" s="13">
        <f t="shared" si="154"/>
        <v>9.6942784053795516E-5</v>
      </c>
      <c r="J286" s="13">
        <f t="shared" si="154"/>
        <v>3.1780555818347649E-4</v>
      </c>
      <c r="K286" s="13">
        <f t="shared" si="154"/>
        <v>0.23424965012360588</v>
      </c>
    </row>
    <row r="287" spans="1:11">
      <c r="A287" s="5" t="s">
        <v>5</v>
      </c>
      <c r="B287" s="5" t="s">
        <v>6</v>
      </c>
      <c r="C287" s="5" t="s">
        <v>7</v>
      </c>
      <c r="D287" t="s">
        <v>191</v>
      </c>
      <c r="E287" t="str">
        <f>E194</f>
        <v>PJ/yr.</v>
      </c>
      <c r="F287" s="13">
        <f>'[1]Electricity and CHPs'!B$108</f>
        <v>0</v>
      </c>
      <c r="G287" s="13">
        <f>'[1]Electricity and CHPs'!C$108</f>
        <v>0</v>
      </c>
      <c r="H287" s="13">
        <f>'[1]Electricity and CHPs'!D$108</f>
        <v>0</v>
      </c>
      <c r="I287" s="13">
        <f>'[1]Electricity and CHPs'!E$108</f>
        <v>7.6100724037394838E-5</v>
      </c>
      <c r="J287" s="13">
        <f>'[1]Electricity and CHPs'!F$108</f>
        <v>2.8999968554888311E-4</v>
      </c>
      <c r="K287" s="13">
        <f>'[1]Electricity and CHPs'!G$108</f>
        <v>0.23421613493086862</v>
      </c>
    </row>
    <row r="288" spans="1:11">
      <c r="A288" s="5" t="s">
        <v>5</v>
      </c>
      <c r="B288" s="5" t="s">
        <v>6</v>
      </c>
      <c r="C288" s="5" t="s">
        <v>7</v>
      </c>
      <c r="D288" t="s">
        <v>238</v>
      </c>
      <c r="E288" t="str">
        <f>E241</f>
        <v>PJ/yr.</v>
      </c>
      <c r="F288" s="13">
        <f>'[1]Electricity and CHPs'!B$119</f>
        <v>0</v>
      </c>
      <c r="G288" s="13">
        <f>'[1]Electricity and CHPs'!C$119</f>
        <v>0</v>
      </c>
      <c r="H288" s="13">
        <f>'[1]Electricity and CHPs'!D$119</f>
        <v>0</v>
      </c>
      <c r="I288" s="13">
        <f>'[1]Electricity and CHPs'!E$119</f>
        <v>2.0842060016400681E-5</v>
      </c>
      <c r="J288" s="13">
        <f>'[1]Electricity and CHPs'!F$119</f>
        <v>2.7805872634593368E-5</v>
      </c>
      <c r="K288" s="13">
        <f>'[1]Electricity and CHPs'!G$119</f>
        <v>3.351519273724679E-5</v>
      </c>
    </row>
    <row r="289" spans="1:13">
      <c r="A289" s="5" t="s">
        <v>5</v>
      </c>
      <c r="B289" s="8" t="s">
        <v>6</v>
      </c>
      <c r="C289" s="8" t="s">
        <v>7</v>
      </c>
      <c r="D289" s="1" t="s">
        <v>92</v>
      </c>
      <c r="E289" s="1" t="str">
        <f>E287</f>
        <v>PJ/yr.</v>
      </c>
      <c r="F289" s="16">
        <f>SUM(F290,F292,F296,F308,F356,F377,F385,F387,F395,F399,F393)</f>
        <v>437.17738056694088</v>
      </c>
      <c r="G289" s="16">
        <f t="shared" ref="G289" si="155">SUM(G290,G292,G300,G308,G356,G377,G385,G387,G395,G399,G393)</f>
        <v>419.69913312177829</v>
      </c>
      <c r="H289" s="16">
        <f t="shared" ref="H289" si="156">SUM(H290,H292,H300,H308,H356,H377,H385,H387,H395,H399,H393)</f>
        <v>397.26502274940793</v>
      </c>
      <c r="I289" s="16">
        <f t="shared" ref="I289" si="157">SUM(I290,I292,I300,I308,I356,I377,I385,I387,I395,I399,I393)</f>
        <v>426.49821646801519</v>
      </c>
      <c r="J289" s="16">
        <f t="shared" ref="J289" si="158">SUM(J290,J292,J300,J308,J356,J377,J385,J387,J395,J399,J393)</f>
        <v>353.84304822160573</v>
      </c>
      <c r="K289" s="16">
        <f t="shared" ref="K289" si="159">SUM(K290,K292,K300,K308,K356,K377,K385,K387,K395,K399,K393)</f>
        <v>310.12447258207732</v>
      </c>
    </row>
    <row r="290" spans="1:13">
      <c r="A290" s="5" t="s">
        <v>5</v>
      </c>
      <c r="B290" s="5" t="s">
        <v>6</v>
      </c>
      <c r="C290" s="5" t="s">
        <v>7</v>
      </c>
      <c r="D290" t="s">
        <v>877</v>
      </c>
      <c r="E290" t="str">
        <f>E288</f>
        <v>PJ/yr.</v>
      </c>
      <c r="F290" s="13">
        <f>F291</f>
        <v>250.94816993910663</v>
      </c>
      <c r="G290" s="13">
        <f t="shared" ref="G290:K290" si="160">G291</f>
        <v>253.30010753605379</v>
      </c>
      <c r="H290" s="13">
        <f t="shared" si="160"/>
        <v>211.79437589419959</v>
      </c>
      <c r="I290" s="13">
        <f t="shared" si="160"/>
        <v>211.90230401996928</v>
      </c>
      <c r="J290" s="13">
        <f t="shared" si="160"/>
        <v>98.945499486224335</v>
      </c>
      <c r="K290" s="13">
        <f t="shared" si="160"/>
        <v>0</v>
      </c>
    </row>
    <row r="291" spans="1:13">
      <c r="A291" s="5" t="s">
        <v>5</v>
      </c>
      <c r="B291" s="5" t="s">
        <v>6</v>
      </c>
      <c r="C291" s="5" t="s">
        <v>7</v>
      </c>
      <c r="D291" t="s">
        <v>93</v>
      </c>
      <c r="E291" t="str">
        <f>E290</f>
        <v>PJ/yr.</v>
      </c>
      <c r="F291" s="13">
        <f>'[1]Electricity and CHPs_IN'!B$14</f>
        <v>250.94816993910663</v>
      </c>
      <c r="G291" s="13">
        <f>'[1]Electricity and CHPs_IN'!C$14</f>
        <v>253.30010753605379</v>
      </c>
      <c r="H291" s="13">
        <f>'[1]Electricity and CHPs_IN'!D$14</f>
        <v>211.79437589419959</v>
      </c>
      <c r="I291" s="13">
        <f>'[1]Electricity and CHPs_IN'!E$14</f>
        <v>211.90230401996928</v>
      </c>
      <c r="J291" s="13">
        <f>'[1]Electricity and CHPs_IN'!F$14</f>
        <v>98.945499486224335</v>
      </c>
      <c r="K291" s="13">
        <f>'[1]Electricity and CHPs_IN'!G$14</f>
        <v>0</v>
      </c>
    </row>
    <row r="292" spans="1:13">
      <c r="A292" s="5" t="s">
        <v>5</v>
      </c>
      <c r="B292" s="5" t="s">
        <v>6</v>
      </c>
      <c r="C292" s="5" t="s">
        <v>7</v>
      </c>
      <c r="D292" t="s">
        <v>878</v>
      </c>
      <c r="E292" t="str">
        <f t="shared" ref="E292:E355" si="161">E291</f>
        <v>PJ/yr.</v>
      </c>
      <c r="F292" s="13">
        <f>SUM(F293:F295)</f>
        <v>149.43048018182139</v>
      </c>
      <c r="G292" s="13">
        <f t="shared" ref="G292:K292" si="162">SUM(G293:G295)</f>
        <v>124.98819719769081</v>
      </c>
      <c r="H292" s="13">
        <f t="shared" si="162"/>
        <v>137.42259519743726</v>
      </c>
      <c r="I292" s="13">
        <f t="shared" si="162"/>
        <v>150.38755881829405</v>
      </c>
      <c r="J292" s="13">
        <f t="shared" si="162"/>
        <v>151.48524830901579</v>
      </c>
      <c r="K292" s="13">
        <f t="shared" si="162"/>
        <v>152.09899407015146</v>
      </c>
    </row>
    <row r="293" spans="1:13">
      <c r="A293" s="5" t="s">
        <v>5</v>
      </c>
      <c r="B293" s="5" t="s">
        <v>6</v>
      </c>
      <c r="C293" s="5" t="s">
        <v>7</v>
      </c>
      <c r="D293" t="s">
        <v>94</v>
      </c>
      <c r="E293" t="str">
        <f t="shared" si="161"/>
        <v>PJ/yr.</v>
      </c>
      <c r="F293" s="13">
        <f>'[1]Electricity and CHPs_IN'!B$15</f>
        <v>66.745680000968164</v>
      </c>
      <c r="G293" s="13">
        <f>'[1]Electricity and CHPs_IN'!C$15</f>
        <v>49.182940005258239</v>
      </c>
      <c r="H293" s="13">
        <f>'[1]Electricity and CHPs_IN'!D$15</f>
        <v>68.537787966700805</v>
      </c>
      <c r="I293" s="13">
        <f>'[1]Electricity and CHPs_IN'!E$15</f>
        <v>70.236607180315332</v>
      </c>
      <c r="J293" s="13">
        <f>'[1]Electricity and CHPs_IN'!F$15</f>
        <v>73.020285337032291</v>
      </c>
      <c r="K293" s="13">
        <f>'[1]Electricity and CHPs_IN'!G$15</f>
        <v>69.178229752170594</v>
      </c>
    </row>
    <row r="294" spans="1:13">
      <c r="A294" s="5" t="s">
        <v>5</v>
      </c>
      <c r="B294" s="5" t="s">
        <v>6</v>
      </c>
      <c r="C294" s="5" t="s">
        <v>7</v>
      </c>
      <c r="D294" t="s">
        <v>95</v>
      </c>
      <c r="E294" t="str">
        <f t="shared" si="161"/>
        <v>PJ/yr.</v>
      </c>
      <c r="F294" s="13">
        <f>'[1]Electricity and CHPs_IN'!B$16</f>
        <v>66.632400083472731</v>
      </c>
      <c r="G294" s="13">
        <f>'[1]Electricity and CHPs_IN'!C$16</f>
        <v>55.764000065769004</v>
      </c>
      <c r="H294" s="13">
        <f>'[1]Electricity and CHPs_IN'!D$16</f>
        <v>65.547550949863876</v>
      </c>
      <c r="I294" s="13">
        <f>'[1]Electricity and CHPs_IN'!E$16</f>
        <v>64.46266238111555</v>
      </c>
      <c r="J294" s="13">
        <f>'[1]Electricity and CHPs_IN'!F$16</f>
        <v>62.292915065927907</v>
      </c>
      <c r="K294" s="13">
        <f>'[1]Electricity and CHPs_IN'!G$16</f>
        <v>66.134970443047848</v>
      </c>
    </row>
    <row r="295" spans="1:13">
      <c r="A295" s="5" t="s">
        <v>5</v>
      </c>
      <c r="B295" s="5" t="s">
        <v>6</v>
      </c>
      <c r="C295" s="5" t="s">
        <v>7</v>
      </c>
      <c r="D295" t="s">
        <v>96</v>
      </c>
      <c r="E295" t="str">
        <f t="shared" si="161"/>
        <v>PJ/yr.</v>
      </c>
      <c r="F295" s="13">
        <f>'[1]Electricity and CHPs_IN'!B$13</f>
        <v>16.052400097380474</v>
      </c>
      <c r="G295" s="13">
        <f>'[1]Electricity and CHPs_IN'!C$13</f>
        <v>20.04125712666357</v>
      </c>
      <c r="H295" s="13">
        <f>'[1]Electricity and CHPs_IN'!D$13</f>
        <v>3.3372562808725541</v>
      </c>
      <c r="I295" s="13">
        <f>'[1]Electricity and CHPs_IN'!E$13</f>
        <v>15.688289256863193</v>
      </c>
      <c r="J295" s="13">
        <f>'[1]Electricity and CHPs_IN'!F$13</f>
        <v>16.172047906055575</v>
      </c>
      <c r="K295" s="13">
        <f>'[1]Electricity and CHPs_IN'!G$13</f>
        <v>16.785793874933027</v>
      </c>
    </row>
    <row r="296" spans="1:13">
      <c r="A296" s="5" t="s">
        <v>5</v>
      </c>
      <c r="B296" s="5" t="s">
        <v>6</v>
      </c>
      <c r="C296" s="5" t="s">
        <v>7</v>
      </c>
      <c r="D296" t="s">
        <v>879</v>
      </c>
      <c r="E296" t="str">
        <f t="shared" si="161"/>
        <v>PJ/yr.</v>
      </c>
      <c r="F296" s="13">
        <f>SUM(F297:F299)</f>
        <v>0.13623790668491714</v>
      </c>
      <c r="G296" s="13">
        <f t="shared" ref="G296:K296" si="163">SUM(G297:G299)</f>
        <v>5.3138328708173345E-2</v>
      </c>
      <c r="H296" s="13">
        <f t="shared" si="163"/>
        <v>1.5149924824525019E-3</v>
      </c>
      <c r="I296" s="13">
        <f t="shared" si="163"/>
        <v>7.4905661111575261E-2</v>
      </c>
      <c r="J296" s="13">
        <f t="shared" si="163"/>
        <v>8.0223996508054837E-3</v>
      </c>
      <c r="K296" s="13">
        <f t="shared" si="163"/>
        <v>1.8060562858773488E-3</v>
      </c>
    </row>
    <row r="297" spans="1:13">
      <c r="A297" s="5" t="s">
        <v>5</v>
      </c>
      <c r="B297" s="5" t="s">
        <v>6</v>
      </c>
      <c r="C297" s="5" t="s">
        <v>7</v>
      </c>
      <c r="D297" t="s">
        <v>97</v>
      </c>
      <c r="E297" t="str">
        <f t="shared" si="161"/>
        <v>PJ/yr.</v>
      </c>
      <c r="F297" s="13">
        <f>'[1]Electricity and CHPs_IN'!B$18</f>
        <v>0.1131784745791958</v>
      </c>
      <c r="G297" s="13">
        <f>'[1]Electricity and CHPs_IN'!C$18</f>
        <v>0</v>
      </c>
      <c r="H297" s="13">
        <f>'[1]Electricity and CHPs_IN'!D$18</f>
        <v>4.1725523218078176E-4</v>
      </c>
      <c r="I297" s="13">
        <f>'[1]Electricity and CHPs_IN'!E$18</f>
        <v>4.6407347237466114E-5</v>
      </c>
      <c r="J297" s="13">
        <f>'[1]Electricity and CHPs_IN'!F$18</f>
        <v>1.7696879841647966E-4</v>
      </c>
      <c r="K297" s="13">
        <f>'[1]Electricity and CHPs_IN'!G$18</f>
        <v>2.2991050677187802E-5</v>
      </c>
    </row>
    <row r="298" spans="1:13">
      <c r="A298" s="5" t="s">
        <v>5</v>
      </c>
      <c r="B298" s="5" t="s">
        <v>6</v>
      </c>
      <c r="C298" s="5" t="s">
        <v>7</v>
      </c>
      <c r="D298" t="s">
        <v>232</v>
      </c>
      <c r="E298" t="str">
        <f t="shared" si="161"/>
        <v>PJ/yr.</v>
      </c>
      <c r="F298" s="13">
        <f>IFERROR(F70/SUM(F70,F183),0)*'[1]Electricity and CHPs_IN'!B$28</f>
        <v>2.538949726066604E-3</v>
      </c>
      <c r="G298" s="13">
        <f>IFERROR(G70/SUM(G70,G183),0)*'[1]Electricity and CHPs_IN'!C$28</f>
        <v>0</v>
      </c>
      <c r="H298" s="13">
        <f>IFERROR(H70/SUM(H70,H183),0)*'[1]Electricity and CHPs_IN'!D$28</f>
        <v>8.0761079319026656E-5</v>
      </c>
      <c r="I298" s="13">
        <f>IFERROR(I70/SUM(I70,I183),0)*'[1]Electricity and CHPs_IN'!E$28</f>
        <v>1.3422958793621642E-5</v>
      </c>
      <c r="J298" s="13">
        <f>IFERROR(J70/SUM(J70,J183),0)*'[1]Electricity and CHPs_IN'!F$28</f>
        <v>2.2804034146166265E-5</v>
      </c>
      <c r="K298" s="13">
        <f>IFERROR(K70/SUM(K70,K183),0)*'[1]Electricity and CHPs_IN'!G$28</f>
        <v>0</v>
      </c>
      <c r="M298" s="2"/>
    </row>
    <row r="299" spans="1:13">
      <c r="A299" s="5" t="s">
        <v>5</v>
      </c>
      <c r="B299" s="5" t="s">
        <v>6</v>
      </c>
      <c r="C299" s="5" t="s">
        <v>7</v>
      </c>
      <c r="D299" t="s">
        <v>98</v>
      </c>
      <c r="E299" t="str">
        <f t="shared" si="161"/>
        <v>PJ/yr.</v>
      </c>
      <c r="F299" s="13">
        <f>IFERROR(F71/SUM(F71,F233),0)*'[1]Electricity and CHPs_IN'!B$41</f>
        <v>2.0520482379654738E-2</v>
      </c>
      <c r="G299" s="13">
        <f>IFERROR(G71/SUM(G71,G233),0)*'[1]Electricity and CHPs_IN'!C$41</f>
        <v>5.3138328708173345E-2</v>
      </c>
      <c r="H299" s="13">
        <f>IFERROR(H71/SUM(H71,H233),0)*'[1]Electricity and CHPs_IN'!D$41</f>
        <v>1.0169761709526936E-3</v>
      </c>
      <c r="I299" s="13">
        <f>IFERROR(I71/SUM(I71,I233),0)*'[1]Electricity and CHPs_IN'!E$41</f>
        <v>7.4845830805544175E-2</v>
      </c>
      <c r="J299" s="13">
        <f>IFERROR(J71/SUM(J71,J233),0)*'[1]Electricity and CHPs_IN'!F$41</f>
        <v>7.8226268182428373E-3</v>
      </c>
      <c r="K299" s="13">
        <f>IFERROR(K71/SUM(K71,K233),0)*'[1]Electricity and CHPs_IN'!G$41</f>
        <v>1.7830652352001609E-3</v>
      </c>
    </row>
    <row r="300" spans="1:13">
      <c r="A300" s="5" t="s">
        <v>5</v>
      </c>
      <c r="B300" s="5" t="s">
        <v>6</v>
      </c>
      <c r="C300" s="5" t="s">
        <v>7</v>
      </c>
      <c r="D300" t="s">
        <v>880</v>
      </c>
      <c r="E300" t="str">
        <f t="shared" si="161"/>
        <v>PJ/yr.</v>
      </c>
      <c r="F300" s="13">
        <f>F296</f>
        <v>0.13623790668491714</v>
      </c>
      <c r="G300" s="13">
        <f t="shared" ref="G300:K300" si="164">G296</f>
        <v>5.3138328708173345E-2</v>
      </c>
      <c r="H300" s="13">
        <f t="shared" si="164"/>
        <v>1.5149924824525019E-3</v>
      </c>
      <c r="I300" s="13">
        <f t="shared" si="164"/>
        <v>7.4905661111575261E-2</v>
      </c>
      <c r="J300" s="13">
        <f t="shared" si="164"/>
        <v>8.0223996508054837E-3</v>
      </c>
      <c r="K300" s="13">
        <f t="shared" si="164"/>
        <v>1.8060562858773488E-3</v>
      </c>
    </row>
    <row r="301" spans="1:13">
      <c r="A301" s="5" t="s">
        <v>5</v>
      </c>
      <c r="B301" s="5" t="s">
        <v>6</v>
      </c>
      <c r="C301" s="5" t="s">
        <v>7</v>
      </c>
      <c r="D301" t="s">
        <v>525</v>
      </c>
      <c r="E301" t="str">
        <f t="shared" si="161"/>
        <v>PJ/yr.</v>
      </c>
      <c r="F301" s="13">
        <f t="shared" ref="F301:K301" si="165">F297</f>
        <v>0.1131784745791958</v>
      </c>
      <c r="G301" s="13">
        <f t="shared" si="165"/>
        <v>0</v>
      </c>
      <c r="H301" s="13">
        <f t="shared" si="165"/>
        <v>4.1725523218078176E-4</v>
      </c>
      <c r="I301" s="13">
        <f t="shared" si="165"/>
        <v>4.6407347237466114E-5</v>
      </c>
      <c r="J301" s="13">
        <f t="shared" si="165"/>
        <v>1.7696879841647966E-4</v>
      </c>
      <c r="K301" s="13">
        <f t="shared" si="165"/>
        <v>2.2991050677187802E-5</v>
      </c>
    </row>
    <row r="302" spans="1:13">
      <c r="A302" s="5" t="s">
        <v>5</v>
      </c>
      <c r="B302" s="5" t="s">
        <v>6</v>
      </c>
      <c r="C302" s="5" t="s">
        <v>7</v>
      </c>
      <c r="D302" t="s">
        <v>526</v>
      </c>
      <c r="E302" t="str">
        <f t="shared" si="161"/>
        <v>PJ/yr.</v>
      </c>
      <c r="F302" s="13">
        <f t="shared" ref="F302:K302" si="166">F298</f>
        <v>2.538949726066604E-3</v>
      </c>
      <c r="G302" s="13">
        <f t="shared" si="166"/>
        <v>0</v>
      </c>
      <c r="H302" s="13">
        <f t="shared" si="166"/>
        <v>8.0761079319026656E-5</v>
      </c>
      <c r="I302" s="13">
        <f t="shared" si="166"/>
        <v>1.3422958793621642E-5</v>
      </c>
      <c r="J302" s="13">
        <f t="shared" si="166"/>
        <v>2.2804034146166265E-5</v>
      </c>
      <c r="K302" s="13">
        <f t="shared" si="166"/>
        <v>0</v>
      </c>
    </row>
    <row r="303" spans="1:13">
      <c r="A303" s="5" t="s">
        <v>5</v>
      </c>
      <c r="B303" s="5" t="s">
        <v>6</v>
      </c>
      <c r="C303" s="5" t="s">
        <v>7</v>
      </c>
      <c r="D303" t="s">
        <v>527</v>
      </c>
      <c r="E303" t="str">
        <f t="shared" si="161"/>
        <v>PJ/yr.</v>
      </c>
      <c r="F303" s="13">
        <f t="shared" ref="F303:K303" si="167">F299</f>
        <v>2.0520482379654738E-2</v>
      </c>
      <c r="G303" s="13">
        <f t="shared" si="167"/>
        <v>5.3138328708173345E-2</v>
      </c>
      <c r="H303" s="13">
        <f t="shared" si="167"/>
        <v>1.0169761709526936E-3</v>
      </c>
      <c r="I303" s="13">
        <f t="shared" si="167"/>
        <v>7.4845830805544175E-2</v>
      </c>
      <c r="J303" s="13">
        <f t="shared" si="167"/>
        <v>7.8226268182428373E-3</v>
      </c>
      <c r="K303" s="13">
        <f t="shared" si="167"/>
        <v>1.7830652352001609E-3</v>
      </c>
    </row>
    <row r="304" spans="1:13">
      <c r="A304" s="5" t="s">
        <v>5</v>
      </c>
      <c r="B304" s="5" t="s">
        <v>6</v>
      </c>
      <c r="C304" s="5" t="s">
        <v>7</v>
      </c>
      <c r="D304" t="s">
        <v>881</v>
      </c>
      <c r="E304" t="str">
        <f t="shared" si="161"/>
        <v>PJ/yr.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</row>
    <row r="305" spans="1:11">
      <c r="A305" s="5" t="s">
        <v>5</v>
      </c>
      <c r="B305" s="5" t="s">
        <v>6</v>
      </c>
      <c r="C305" s="5" t="s">
        <v>7</v>
      </c>
      <c r="D305" t="s">
        <v>549</v>
      </c>
      <c r="E305" t="str">
        <f t="shared" si="161"/>
        <v>PJ/yr.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</row>
    <row r="306" spans="1:11">
      <c r="A306" s="5" t="s">
        <v>5</v>
      </c>
      <c r="B306" s="5" t="s">
        <v>6</v>
      </c>
      <c r="C306" s="5" t="s">
        <v>7</v>
      </c>
      <c r="D306" t="s">
        <v>550</v>
      </c>
      <c r="E306" t="str">
        <f t="shared" si="161"/>
        <v>PJ/yr.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</row>
    <row r="307" spans="1:11">
      <c r="A307" s="5" t="s">
        <v>5</v>
      </c>
      <c r="B307" s="5" t="s">
        <v>6</v>
      </c>
      <c r="C307" s="5" t="s">
        <v>7</v>
      </c>
      <c r="D307" t="s">
        <v>551</v>
      </c>
      <c r="E307" t="str">
        <f t="shared" si="161"/>
        <v>PJ/yr.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</row>
    <row r="308" spans="1:11">
      <c r="A308" s="5" t="s">
        <v>5</v>
      </c>
      <c r="B308" s="5" t="s">
        <v>6</v>
      </c>
      <c r="C308" s="5" t="s">
        <v>7</v>
      </c>
      <c r="D308" t="s">
        <v>882</v>
      </c>
      <c r="E308" t="str">
        <f t="shared" si="161"/>
        <v>PJ/yr.</v>
      </c>
      <c r="F308" s="13">
        <f>SUM(F309:F323)</f>
        <v>3.6052560593716119</v>
      </c>
      <c r="G308" s="13">
        <f t="shared" ref="G308:K308" si="168">SUM(G309:G323)</f>
        <v>2.1038004234764651</v>
      </c>
      <c r="H308" s="13">
        <f t="shared" si="168"/>
        <v>2.0994695787793907</v>
      </c>
      <c r="I308" s="13">
        <f t="shared" si="168"/>
        <v>2.4668616604559079</v>
      </c>
      <c r="J308" s="13">
        <f t="shared" si="168"/>
        <v>3.0281529605123243</v>
      </c>
      <c r="K308" s="13">
        <f t="shared" si="168"/>
        <v>3.8687686048010188</v>
      </c>
    </row>
    <row r="309" spans="1:11">
      <c r="A309" s="5" t="s">
        <v>5</v>
      </c>
      <c r="B309" s="5" t="s">
        <v>6</v>
      </c>
      <c r="C309" s="5" t="s">
        <v>7</v>
      </c>
      <c r="D309" t="s">
        <v>99</v>
      </c>
      <c r="E309" t="str">
        <f t="shared" si="161"/>
        <v>PJ/yr.</v>
      </c>
      <c r="F309" s="13">
        <f>'[1]Electricity and CHPs_IN'!B$21</f>
        <v>0</v>
      </c>
      <c r="G309" s="13">
        <f>'[1]Electricity and CHPs_IN'!C$21</f>
        <v>0</v>
      </c>
      <c r="H309" s="13">
        <f>'[1]Electricity and CHPs_IN'!D$21</f>
        <v>0</v>
      </c>
      <c r="I309" s="13">
        <f>'[1]Electricity and CHPs_IN'!E$21</f>
        <v>0</v>
      </c>
      <c r="J309" s="13">
        <f>'[1]Electricity and CHPs_IN'!F$21</f>
        <v>8.7430220498967994E-4</v>
      </c>
      <c r="K309" s="13">
        <f>'[1]Electricity and CHPs_IN'!G$21</f>
        <v>4.1474305032746088E-5</v>
      </c>
    </row>
    <row r="310" spans="1:11">
      <c r="A310" s="5" t="s">
        <v>5</v>
      </c>
      <c r="B310" s="5" t="s">
        <v>6</v>
      </c>
      <c r="C310" s="5" t="s">
        <v>7</v>
      </c>
      <c r="D310" t="s">
        <v>100</v>
      </c>
      <c r="E310" t="str">
        <f t="shared" si="161"/>
        <v>PJ/yr.</v>
      </c>
      <c r="F310" s="13">
        <f>'[1]Electricity and CHPs_IN'!B$22</f>
        <v>0</v>
      </c>
      <c r="G310" s="13">
        <f>'[1]Electricity and CHPs_IN'!C$22</f>
        <v>0</v>
      </c>
      <c r="H310" s="13">
        <f>'[1]Electricity and CHPs_IN'!D$22</f>
        <v>3.4535876477715809E-4</v>
      </c>
      <c r="I310" s="13">
        <f>'[1]Electricity and CHPs_IN'!E$22</f>
        <v>1.5027097386649977E-4</v>
      </c>
      <c r="J310" s="13">
        <f>'[1]Electricity and CHPs_IN'!F$22</f>
        <v>0.12897656580046971</v>
      </c>
      <c r="K310" s="13">
        <f>'[1]Electricity and CHPs_IN'!G$22</f>
        <v>3.9108850275921155E-2</v>
      </c>
    </row>
    <row r="311" spans="1:11">
      <c r="A311" s="5" t="s">
        <v>5</v>
      </c>
      <c r="B311" s="5" t="s">
        <v>6</v>
      </c>
      <c r="C311" s="5" t="s">
        <v>7</v>
      </c>
      <c r="D311" t="s">
        <v>101</v>
      </c>
      <c r="E311" t="str">
        <f t="shared" si="161"/>
        <v>PJ/yr.</v>
      </c>
      <c r="F311" s="13">
        <f>'[1]Electricity and CHPs_IN'!B$23</f>
        <v>0</v>
      </c>
      <c r="G311" s="13">
        <f>'[1]Electricity and CHPs_IN'!C$23</f>
        <v>0</v>
      </c>
      <c r="H311" s="13">
        <f>'[1]Electricity and CHPs_IN'!D$23</f>
        <v>0</v>
      </c>
      <c r="I311" s="13">
        <f>'[1]Electricity and CHPs_IN'!E$23</f>
        <v>0</v>
      </c>
      <c r="J311" s="13">
        <f>'[1]Electricity and CHPs_IN'!F$23</f>
        <v>3.7263881327873489E-4</v>
      </c>
      <c r="K311" s="13">
        <f>'[1]Electricity and CHPs_IN'!G$23</f>
        <v>3.2610196059620038E-4</v>
      </c>
    </row>
    <row r="312" spans="1:11">
      <c r="A312" s="5" t="s">
        <v>5</v>
      </c>
      <c r="B312" s="5" t="s">
        <v>6</v>
      </c>
      <c r="C312" s="5" t="s">
        <v>7</v>
      </c>
      <c r="D312" t="s">
        <v>102</v>
      </c>
      <c r="E312" t="str">
        <f t="shared" si="161"/>
        <v>PJ/yr.</v>
      </c>
      <c r="F312" s="13">
        <f>IFERROR(F84/SUM(F84+F187),0)*'[1]Electricity and CHPs_IN'!B$24</f>
        <v>1.278453998880706</v>
      </c>
      <c r="G312" s="13">
        <f>IFERROR(G84/SUM(G84+G187),0)*'[1]Electricity and CHPs_IN'!C$24</f>
        <v>0</v>
      </c>
      <c r="H312" s="13">
        <f>IFERROR(H84/SUM(H84+H187),0)*'[1]Electricity and CHPs_IN'!D$24</f>
        <v>3.289430145886655E-2</v>
      </c>
      <c r="I312" s="13">
        <f>IFERROR(I84/SUM(I84+I187),0)*'[1]Electricity and CHPs_IN'!E$24</f>
        <v>4.3536269544744932E-2</v>
      </c>
      <c r="J312" s="13">
        <f>IFERROR(J84/SUM(J84+J187),0)*'[1]Electricity and CHPs_IN'!F$24</f>
        <v>2.9272567806206497E-2</v>
      </c>
      <c r="K312" s="13">
        <f>IFERROR(K84/SUM(K84+K187),0)*'[1]Electricity and CHPs_IN'!G$24</f>
        <v>7.932304907674685E-6</v>
      </c>
    </row>
    <row r="313" spans="1:11">
      <c r="A313" s="5" t="s">
        <v>5</v>
      </c>
      <c r="B313" s="5" t="s">
        <v>6</v>
      </c>
      <c r="C313" s="5" t="s">
        <v>7</v>
      </c>
      <c r="D313" t="s">
        <v>103</v>
      </c>
      <c r="E313" t="str">
        <f t="shared" si="161"/>
        <v>PJ/yr.</v>
      </c>
      <c r="F313" s="13">
        <f>IFERROR(F85/SUM(F85+F188),0)*'[1]Electricity and CHPs_IN'!B$29</f>
        <v>0</v>
      </c>
      <c r="G313" s="13">
        <f>IFERROR(G85/SUM(G85+G188),0)*'[1]Electricity and CHPs_IN'!C$29</f>
        <v>0</v>
      </c>
      <c r="H313" s="13">
        <f>IFERROR(H85/SUM(H85+H188),0)*'[1]Electricity and CHPs_IN'!D$29</f>
        <v>0</v>
      </c>
      <c r="I313" s="13">
        <f>IFERROR(I85/SUM(I85+I188),0)*'[1]Electricity and CHPs_IN'!E$29</f>
        <v>0</v>
      </c>
      <c r="J313" s="13">
        <f>IFERROR(J85/SUM(J85+J188),0)*'[1]Electricity and CHPs_IN'!F$29</f>
        <v>0.1227385699729959</v>
      </c>
      <c r="K313" s="13">
        <f>IFERROR(K85/SUM(K85+K188),0)*'[1]Electricity and CHPs_IN'!G$29</f>
        <v>2.1368225501129562E-5</v>
      </c>
    </row>
    <row r="314" spans="1:11">
      <c r="A314" s="5" t="s">
        <v>5</v>
      </c>
      <c r="B314" s="5" t="s">
        <v>6</v>
      </c>
      <c r="C314" s="5" t="s">
        <v>7</v>
      </c>
      <c r="D314" t="s">
        <v>104</v>
      </c>
      <c r="E314" t="str">
        <f t="shared" si="161"/>
        <v>PJ/yr.</v>
      </c>
      <c r="F314" s="13">
        <f>F86/SUM(F86,F239)*'[1]Electricity and CHPs_IN'!B$39</f>
        <v>0.46551991171481294</v>
      </c>
      <c r="G314" s="13">
        <f>G86/SUM(G86,G239)*'[1]Electricity and CHPs_IN'!C$39</f>
        <v>5.6406973955108283E-2</v>
      </c>
      <c r="H314" s="13">
        <f>H86/SUM(H86,H239)*'[1]Electricity and CHPs_IN'!D$39</f>
        <v>3.8856729716032871E-2</v>
      </c>
      <c r="I314" s="13">
        <f>I86/SUM(I86,I239)*'[1]Electricity and CHPs_IN'!E$39</f>
        <v>9.8232642281811292E-2</v>
      </c>
      <c r="J314" s="13">
        <f>J86/SUM(J86,J239)*'[1]Electricity and CHPs_IN'!F$39</f>
        <v>1.8130962877334976E-2</v>
      </c>
      <c r="K314" s="13">
        <f>K86/SUM(K86,K239)*'[1]Electricity and CHPs_IN'!G$39</f>
        <v>0.35655590415450339</v>
      </c>
    </row>
    <row r="315" spans="1:11">
      <c r="A315" s="5" t="s">
        <v>5</v>
      </c>
      <c r="B315" s="5" t="s">
        <v>6</v>
      </c>
      <c r="C315" s="5" t="s">
        <v>7</v>
      </c>
      <c r="D315" t="s">
        <v>105</v>
      </c>
      <c r="E315" t="str">
        <f t="shared" si="161"/>
        <v>PJ/yr.</v>
      </c>
      <c r="F315" s="13">
        <f>IFERROR(F87/SUM(F87,F240),0)*'[1]Electricity and CHPs_IN'!B$40</f>
        <v>0</v>
      </c>
      <c r="G315" s="13">
        <f>IFERROR(G87/SUM(G87,G240),0)*'[1]Electricity and CHPs_IN'!C$40</f>
        <v>0</v>
      </c>
      <c r="H315" s="13">
        <f>IFERROR(H87/SUM(H87,H240),0)*'[1]Electricity and CHPs_IN'!D$40</f>
        <v>0</v>
      </c>
      <c r="I315" s="13">
        <f>IFERROR(I87/SUM(I87,I240),0)*'[1]Electricity and CHPs_IN'!E$40</f>
        <v>0</v>
      </c>
      <c r="J315" s="13">
        <f>IFERROR(J87/SUM(J87,J240),0)*'[1]Electricity and CHPs_IN'!F$40</f>
        <v>3.6856465623822608E-5</v>
      </c>
      <c r="K315" s="13">
        <f>IFERROR(K87/SUM(K87,K240),0)*'[1]Electricity and CHPs_IN'!G$40</f>
        <v>0.13929410689160365</v>
      </c>
    </row>
    <row r="316" spans="1:11">
      <c r="A316" s="5" t="s">
        <v>5</v>
      </c>
      <c r="B316" s="5" t="s">
        <v>6</v>
      </c>
      <c r="C316" s="5" t="s">
        <v>7</v>
      </c>
      <c r="D316" t="s">
        <v>106</v>
      </c>
      <c r="E316" t="str">
        <f t="shared" si="161"/>
        <v>PJ/yr.</v>
      </c>
      <c r="F316" s="13">
        <f>IFERROR(F88/SUM(F88,F241),0)*'[1]Electricity and CHPs_IN'!$B$47</f>
        <v>0</v>
      </c>
      <c r="G316" s="13">
        <f>IFERROR(G88/SUM(G88,G241),0)*'[1]Electricity and CHPs_IN'!$B$47</f>
        <v>0</v>
      </c>
      <c r="H316" s="13">
        <f>IFERROR(H88/SUM(H88,H241),0)*'[1]Electricity and CHPs_IN'!$B$47</f>
        <v>0</v>
      </c>
      <c r="I316" s="13">
        <f>IFERROR(I88/SUM(I88,I241),0)*'[1]Electricity and CHPs_IN'!$B$47</f>
        <v>0</v>
      </c>
      <c r="J316" s="13">
        <f>IFERROR(J88/SUM(J88,J241),0)*'[1]Electricity and CHPs_IN'!$B$47</f>
        <v>0</v>
      </c>
      <c r="K316" s="13">
        <f>IFERROR(K88/SUM(K88,K241),0)*'[1]Electricity and CHPs_IN'!$B$47</f>
        <v>0</v>
      </c>
    </row>
    <row r="317" spans="1:11">
      <c r="A317" s="5" t="s">
        <v>5</v>
      </c>
      <c r="B317" s="5" t="s">
        <v>6</v>
      </c>
      <c r="C317" s="5" t="s">
        <v>7</v>
      </c>
      <c r="D317" t="s">
        <v>107</v>
      </c>
      <c r="E317" t="str">
        <f t="shared" si="161"/>
        <v>PJ/yr.</v>
      </c>
      <c r="F317" s="13">
        <f>F89/SUM(F89,F242)*'[1]Electricity and CHPs_IN'!B$48</f>
        <v>1.3906299051523931E-2</v>
      </c>
      <c r="G317" s="13">
        <f>G89/SUM(G89,G242)*'[1]Electricity and CHPs_IN'!C$48</f>
        <v>4.0112647770377939E-4</v>
      </c>
      <c r="H317" s="13">
        <f>H89/SUM(H89,H242)*'[1]Electricity and CHPs_IN'!D$48</f>
        <v>4.497051773252136E-4</v>
      </c>
      <c r="I317" s="13">
        <f>I89/SUM(I89,I242)*'[1]Electricity and CHPs_IN'!E$48</f>
        <v>4.3374424848724306E-4</v>
      </c>
      <c r="J317" s="13">
        <f>J89/SUM(J89,J242)*'[1]Electricity and CHPs_IN'!F$48</f>
        <v>8.6956517829124438E-4</v>
      </c>
      <c r="K317" s="13">
        <f>K89/SUM(K89,K242)*'[1]Electricity and CHPs_IN'!G$48</f>
        <v>6.3647703742164899E-4</v>
      </c>
    </row>
    <row r="318" spans="1:11">
      <c r="A318" s="5" t="s">
        <v>5</v>
      </c>
      <c r="B318" s="5" t="s">
        <v>6</v>
      </c>
      <c r="C318" s="5" t="s">
        <v>7</v>
      </c>
      <c r="D318" t="s">
        <v>108</v>
      </c>
      <c r="E318" t="str">
        <f t="shared" si="161"/>
        <v>PJ/yr.</v>
      </c>
      <c r="F318" s="13">
        <f>IFERROR(F90/SUM(F90,F243),0)*'[1]Electricity and CHPs_IN'!B$49</f>
        <v>0</v>
      </c>
      <c r="G318" s="13">
        <f>IFERROR(G90/SUM(G90,G243),0)*'[1]Electricity and CHPs_IN'!C$49</f>
        <v>0</v>
      </c>
      <c r="H318" s="13">
        <f>IFERROR(H90/SUM(H90,H243),0)*'[1]Electricity and CHPs_IN'!D$49</f>
        <v>0</v>
      </c>
      <c r="I318" s="13">
        <f>IFERROR(I90/SUM(I90,I243),0)*'[1]Electricity and CHPs_IN'!E$49</f>
        <v>1.0330099272412223E-5</v>
      </c>
      <c r="J318" s="13">
        <f>IFERROR(J90/SUM(J90,J243),0)*'[1]Electricity and CHPs_IN'!F$49</f>
        <v>2.6874396751540998E-5</v>
      </c>
      <c r="K318" s="13">
        <f>IFERROR(K90/SUM(K90,K243),0)*'[1]Electricity and CHPs_IN'!G$49</f>
        <v>1.8183802932450212E-5</v>
      </c>
    </row>
    <row r="319" spans="1:11">
      <c r="A319" s="5" t="s">
        <v>5</v>
      </c>
      <c r="B319" s="5" t="s">
        <v>6</v>
      </c>
      <c r="C319" s="5" t="s">
        <v>7</v>
      </c>
      <c r="D319" t="s">
        <v>109</v>
      </c>
      <c r="E319" t="str">
        <f t="shared" si="161"/>
        <v>PJ/yr.</v>
      </c>
      <c r="F319" s="13">
        <f>IFERROR(F91/SUM(F91,F244),0)*'[1]Electricity and CHPs_IN'!B$51</f>
        <v>1.9786853331539202E-2</v>
      </c>
      <c r="G319" s="13">
        <f>IFERROR(G91/SUM(G91,G244),0)*'[1]Electricity and CHPs_IN'!C$51</f>
        <v>1.3053805143771987E-3</v>
      </c>
      <c r="H319" s="13">
        <f>IFERROR(H91/SUM(H91,H244),0)*'[1]Electricity and CHPs_IN'!D$51</f>
        <v>1.778388493321958E-3</v>
      </c>
      <c r="I319" s="13">
        <f>IFERROR(I91/SUM(I91,I244),0)*'[1]Electricity and CHPs_IN'!E$51</f>
        <v>0.26434933741118222</v>
      </c>
      <c r="J319" s="13">
        <f>IFERROR(J91/SUM(J91,J244),0)*'[1]Electricity and CHPs_IN'!F$51</f>
        <v>0.41041792197607924</v>
      </c>
      <c r="K319" s="13">
        <f>IFERROR(K91/SUM(K91,K244),0)*'[1]Electricity and CHPs_IN'!G$51</f>
        <v>0.41177827799848232</v>
      </c>
    </row>
    <row r="320" spans="1:11">
      <c r="A320" s="5" t="s">
        <v>5</v>
      </c>
      <c r="B320" s="5" t="s">
        <v>6</v>
      </c>
      <c r="C320" s="5" t="s">
        <v>7</v>
      </c>
      <c r="D320" t="s">
        <v>110</v>
      </c>
      <c r="E320" t="str">
        <f t="shared" si="161"/>
        <v>PJ/yr.</v>
      </c>
      <c r="F320" s="13">
        <f>IFERROR(F92/SUM(F92,F245),0)*'[1]Electricity and CHPs_IN'!B$52</f>
        <v>0</v>
      </c>
      <c r="G320" s="13">
        <f>IFERROR(G92/SUM(G92,G245),0)*'[1]Electricity and CHPs_IN'!C$52</f>
        <v>0</v>
      </c>
      <c r="H320" s="13">
        <f>IFERROR(H92/SUM(H92,H245),0)*'[1]Electricity and CHPs_IN'!D$52</f>
        <v>0</v>
      </c>
      <c r="I320" s="13">
        <f>IFERROR(I92/SUM(I92,I245),0)*'[1]Electricity and CHPs_IN'!E$52</f>
        <v>4.877519732322376E-5</v>
      </c>
      <c r="J320" s="13">
        <f>IFERROR(J92/SUM(J92,J245),0)*'[1]Electricity and CHPs_IN'!F$52</f>
        <v>1.6127281525326381E-4</v>
      </c>
      <c r="K320" s="13">
        <f>IFERROR(K92/SUM(K92,K245),0)*'[1]Electricity and CHPs_IN'!G$52</f>
        <v>1.5349498679739781E-3</v>
      </c>
    </row>
    <row r="321" spans="1:11">
      <c r="A321" s="5" t="s">
        <v>5</v>
      </c>
      <c r="B321" s="5" t="s">
        <v>6</v>
      </c>
      <c r="C321" s="5" t="s">
        <v>7</v>
      </c>
      <c r="D321" t="s">
        <v>111</v>
      </c>
      <c r="E321" t="str">
        <f t="shared" si="161"/>
        <v>PJ/yr.</v>
      </c>
      <c r="F321" s="13">
        <f>IFERROR(F93/SUM(F93,F246),0)*'[1]Electricity and CHPs_IN'!B$54</f>
        <v>1.0646884262512482</v>
      </c>
      <c r="G321" s="13">
        <f>IFERROR(G93/SUM(G93,G246),0)*'[1]Electricity and CHPs_IN'!C$54</f>
        <v>1.2549768036185893</v>
      </c>
      <c r="H321" s="13">
        <f>IFERROR(H93/SUM(H93,H246),0)*'[1]Electricity and CHPs_IN'!D$54</f>
        <v>1.3781487518872142</v>
      </c>
      <c r="I321" s="13">
        <f>IFERROR(I93/SUM(I93,I246),0)*'[1]Electricity and CHPs_IN'!E$54</f>
        <v>1.4641038899658216</v>
      </c>
      <c r="J321" s="13">
        <f>IFERROR(J93/SUM(J93,J246),0)*'[1]Electricity and CHPs_IN'!F$54</f>
        <v>2.1107726576710402</v>
      </c>
      <c r="K321" s="13">
        <f>IFERROR(K93/SUM(K93,K246),0)*'[1]Electricity and CHPs_IN'!G$54</f>
        <v>2.9193461388536339</v>
      </c>
    </row>
    <row r="322" spans="1:11">
      <c r="A322" s="5" t="s">
        <v>5</v>
      </c>
      <c r="B322" s="5" t="s">
        <v>6</v>
      </c>
      <c r="C322" s="5" t="s">
        <v>7</v>
      </c>
      <c r="D322" t="s">
        <v>112</v>
      </c>
      <c r="E322" t="str">
        <f t="shared" si="161"/>
        <v>PJ/yr.</v>
      </c>
      <c r="F322" s="13">
        <f>IFERROR(F94/SUM(F94,F247),0)*'[1]Electricity and CHPs_IN'!B$55</f>
        <v>0.76290057014178159</v>
      </c>
      <c r="G322" s="13">
        <f>IFERROR(G94/SUM(G94,G247),0)*'[1]Electricity and CHPs_IN'!C$55</f>
        <v>0.79071013891068653</v>
      </c>
      <c r="H322" s="13">
        <f>IFERROR(H94/SUM(H94,H247),0)*'[1]Electricity and CHPs_IN'!D$55</f>
        <v>0.6469963432818524</v>
      </c>
      <c r="I322" s="13">
        <f>IFERROR(I94/SUM(I94,I247),0)*'[1]Electricity and CHPs_IN'!E$55</f>
        <v>0.59597763288776584</v>
      </c>
      <c r="J322" s="13">
        <f>IFERROR(J94/SUM(J94,J247),0)*'[1]Electricity and CHPs_IN'!F$55</f>
        <v>0.20546155473367958</v>
      </c>
      <c r="K322" s="13">
        <f>IFERROR(K94/SUM(K94,K247),0)*'[1]Electricity and CHPs_IN'!G$55</f>
        <v>7.9280929367679575E-5</v>
      </c>
    </row>
    <row r="323" spans="1:11">
      <c r="A323" s="5" t="s">
        <v>5</v>
      </c>
      <c r="B323" s="5" t="s">
        <v>6</v>
      </c>
      <c r="C323" s="5" t="s">
        <v>7</v>
      </c>
      <c r="D323" t="s">
        <v>113</v>
      </c>
      <c r="E323" t="str">
        <f t="shared" si="161"/>
        <v>PJ/yr.</v>
      </c>
      <c r="F323" s="13">
        <f>IFERROR(F95/SUM(F95,F248),0)*'[1]Electricity and CHPs_IN'!B$58</f>
        <v>0</v>
      </c>
      <c r="G323" s="13">
        <f>IFERROR(G95/SUM(G95,G248),0)*'[1]Electricity and CHPs_IN'!C$58</f>
        <v>0</v>
      </c>
      <c r="H323" s="13">
        <f>IFERROR(H95/SUM(H95,H248),0)*'[1]Electricity and CHPs_IN'!D$58</f>
        <v>0</v>
      </c>
      <c r="I323" s="13">
        <f>IFERROR(I95/SUM(I95,I248),0)*'[1]Electricity and CHPs_IN'!E$58</f>
        <v>1.8767845632650714E-5</v>
      </c>
      <c r="J323" s="13">
        <f>IFERROR(J95/SUM(J95,J248),0)*'[1]Electricity and CHPs_IN'!F$58</f>
        <v>4.064980033001388E-5</v>
      </c>
      <c r="K323" s="13">
        <f>IFERROR(K95/SUM(K95,K248),0)*'[1]Electricity and CHPs_IN'!G$58</f>
        <v>1.9558193140488471E-5</v>
      </c>
    </row>
    <row r="324" spans="1:11">
      <c r="A324" s="5" t="s">
        <v>5</v>
      </c>
      <c r="B324" s="5" t="s">
        <v>6</v>
      </c>
      <c r="C324" s="5" t="s">
        <v>7</v>
      </c>
      <c r="D324" t="s">
        <v>883</v>
      </c>
      <c r="E324" t="str">
        <f t="shared" si="161"/>
        <v>PJ/yr.</v>
      </c>
      <c r="F324" s="13">
        <f>F308-F340</f>
        <v>2.4773863518438599</v>
      </c>
      <c r="G324" s="13">
        <f t="shared" ref="G324:K324" si="169">G308-G340</f>
        <v>0.72223035654620737</v>
      </c>
      <c r="H324" s="13">
        <f t="shared" si="169"/>
        <v>0.69579429897988465</v>
      </c>
      <c r="I324" s="13">
        <f t="shared" si="169"/>
        <v>0.98567753747603382</v>
      </c>
      <c r="J324" s="13">
        <f t="shared" si="169"/>
        <v>0.91043855047082545</v>
      </c>
      <c r="K324" s="13">
        <f t="shared" si="169"/>
        <v>0.66736946723911883</v>
      </c>
    </row>
    <row r="325" spans="1:11">
      <c r="A325" s="5" t="s">
        <v>5</v>
      </c>
      <c r="B325" s="5" t="s">
        <v>6</v>
      </c>
      <c r="C325" s="5" t="s">
        <v>7</v>
      </c>
      <c r="D325" t="s">
        <v>584</v>
      </c>
      <c r="E325" t="str">
        <f t="shared" si="161"/>
        <v>PJ/yr.</v>
      </c>
      <c r="F325" s="13">
        <f>IFERROR(F97/F81,0)*F309</f>
        <v>0</v>
      </c>
      <c r="G325" s="13">
        <f t="shared" ref="G325:K325" si="170">IFERROR(G97/G81,0)*G309</f>
        <v>0</v>
      </c>
      <c r="H325" s="13">
        <f t="shared" si="170"/>
        <v>0</v>
      </c>
      <c r="I325" s="13">
        <f t="shared" si="170"/>
        <v>0</v>
      </c>
      <c r="J325" s="13">
        <f t="shared" si="170"/>
        <v>8.67686421562472E-4</v>
      </c>
      <c r="K325" s="13">
        <f t="shared" si="170"/>
        <v>2.9153180851052623E-5</v>
      </c>
    </row>
    <row r="326" spans="1:11">
      <c r="A326" s="5" t="s">
        <v>5</v>
      </c>
      <c r="B326" s="5" t="s">
        <v>6</v>
      </c>
      <c r="C326" s="5" t="s">
        <v>7</v>
      </c>
      <c r="D326" t="s">
        <v>585</v>
      </c>
      <c r="E326" t="str">
        <f t="shared" si="161"/>
        <v>PJ/yr.</v>
      </c>
      <c r="F326" s="13">
        <f t="shared" ref="F326:K326" si="171">IFERROR(F98/F82,0)*F310</f>
        <v>0</v>
      </c>
      <c r="G326" s="13">
        <f t="shared" si="171"/>
        <v>0</v>
      </c>
      <c r="H326" s="13">
        <f t="shared" si="171"/>
        <v>3.3313700461140523E-4</v>
      </c>
      <c r="I326" s="13">
        <f t="shared" si="171"/>
        <v>1.4771136941922234E-4</v>
      </c>
      <c r="J326" s="13">
        <f t="shared" si="171"/>
        <v>0.12800060917854744</v>
      </c>
      <c r="K326" s="13">
        <f t="shared" si="171"/>
        <v>2.7490451836877407E-2</v>
      </c>
    </row>
    <row r="327" spans="1:11">
      <c r="A327" s="5" t="s">
        <v>5</v>
      </c>
      <c r="B327" s="5" t="s">
        <v>6</v>
      </c>
      <c r="C327" s="5" t="s">
        <v>7</v>
      </c>
      <c r="D327" t="s">
        <v>586</v>
      </c>
      <c r="E327" t="str">
        <f t="shared" si="161"/>
        <v>PJ/yr.</v>
      </c>
      <c r="F327" s="13">
        <f t="shared" ref="F327:K327" si="172">IFERROR(F99/F83,0)*F311</f>
        <v>0</v>
      </c>
      <c r="G327" s="13">
        <f t="shared" si="172"/>
        <v>0</v>
      </c>
      <c r="H327" s="13">
        <f t="shared" si="172"/>
        <v>0</v>
      </c>
      <c r="I327" s="13">
        <f t="shared" si="172"/>
        <v>0</v>
      </c>
      <c r="J327" s="13">
        <f t="shared" si="172"/>
        <v>3.6981908153019955E-4</v>
      </c>
      <c r="K327" s="13">
        <f t="shared" si="172"/>
        <v>2.2922408044300373E-4</v>
      </c>
    </row>
    <row r="328" spans="1:11">
      <c r="A328" s="5" t="s">
        <v>5</v>
      </c>
      <c r="B328" s="5" t="s">
        <v>6</v>
      </c>
      <c r="C328" s="5" t="s">
        <v>7</v>
      </c>
      <c r="D328" t="s">
        <v>587</v>
      </c>
      <c r="E328" t="str">
        <f t="shared" si="161"/>
        <v>PJ/yr.</v>
      </c>
      <c r="F328" s="13">
        <f t="shared" ref="F328:K328" si="173">IFERROR(F100/F84,0)*F312</f>
        <v>1.2466601742844505</v>
      </c>
      <c r="G328" s="13">
        <f t="shared" si="173"/>
        <v>0</v>
      </c>
      <c r="H328" s="13">
        <f t="shared" si="173"/>
        <v>3.1730218469660683E-2</v>
      </c>
      <c r="I328" s="13">
        <f t="shared" si="173"/>
        <v>4.2794704981227852E-2</v>
      </c>
      <c r="J328" s="13">
        <f t="shared" si="173"/>
        <v>2.9051064339946329E-2</v>
      </c>
      <c r="K328" s="13">
        <f t="shared" si="173"/>
        <v>5.5757876920793999E-6</v>
      </c>
    </row>
    <row r="329" spans="1:11">
      <c r="A329" s="5" t="s">
        <v>5</v>
      </c>
      <c r="B329" s="5" t="s">
        <v>6</v>
      </c>
      <c r="C329" s="5" t="s">
        <v>7</v>
      </c>
      <c r="D329" t="s">
        <v>588</v>
      </c>
      <c r="E329" t="str">
        <f t="shared" si="161"/>
        <v>PJ/yr.</v>
      </c>
      <c r="F329" s="13">
        <f t="shared" ref="F329:K329" si="174">IFERROR(F101/F85,0)*F313</f>
        <v>0</v>
      </c>
      <c r="G329" s="13">
        <f t="shared" si="174"/>
        <v>0</v>
      </c>
      <c r="H329" s="13">
        <f t="shared" si="174"/>
        <v>0</v>
      </c>
      <c r="I329" s="13">
        <f t="shared" si="174"/>
        <v>0</v>
      </c>
      <c r="J329" s="13">
        <f t="shared" si="174"/>
        <v>0.1218098158277217</v>
      </c>
      <c r="K329" s="13">
        <f t="shared" si="174"/>
        <v>1.5020185196802028E-5</v>
      </c>
    </row>
    <row r="330" spans="1:11">
      <c r="A330" s="5" t="s">
        <v>5</v>
      </c>
      <c r="B330" s="5" t="s">
        <v>6</v>
      </c>
      <c r="C330" s="5" t="s">
        <v>7</v>
      </c>
      <c r="D330" t="s">
        <v>589</v>
      </c>
      <c r="E330" t="str">
        <f t="shared" si="161"/>
        <v>PJ/yr.</v>
      </c>
      <c r="F330" s="13">
        <f t="shared" ref="F330:K330" si="175">IFERROR(F102/F86,0)*F314</f>
        <v>0.45394291447276647</v>
      </c>
      <c r="G330" s="13">
        <f t="shared" si="175"/>
        <v>4.799445722082011E-2</v>
      </c>
      <c r="H330" s="13">
        <f t="shared" si="175"/>
        <v>3.7481644790299883E-2</v>
      </c>
      <c r="I330" s="13">
        <f t="shared" si="175"/>
        <v>9.6559420224464981E-2</v>
      </c>
      <c r="J330" s="13">
        <f t="shared" si="175"/>
        <v>1.7993767153661133E-2</v>
      </c>
      <c r="K330" s="13">
        <f t="shared" si="175"/>
        <v>0.25063081223711026</v>
      </c>
    </row>
    <row r="331" spans="1:11">
      <c r="A331" s="5" t="s">
        <v>5</v>
      </c>
      <c r="B331" s="5" t="s">
        <v>6</v>
      </c>
      <c r="C331" s="5" t="s">
        <v>7</v>
      </c>
      <c r="D331" t="s">
        <v>590</v>
      </c>
      <c r="E331" t="str">
        <f t="shared" si="161"/>
        <v>PJ/yr.</v>
      </c>
      <c r="F331" s="13">
        <f t="shared" ref="F331:K331" si="176">IFERROR(F103/F87,0)*F315</f>
        <v>0</v>
      </c>
      <c r="G331" s="13">
        <f t="shared" si="176"/>
        <v>0</v>
      </c>
      <c r="H331" s="13">
        <f t="shared" si="176"/>
        <v>0</v>
      </c>
      <c r="I331" s="13">
        <f t="shared" si="176"/>
        <v>0</v>
      </c>
      <c r="J331" s="13">
        <f t="shared" si="176"/>
        <v>3.6577575335009457E-5</v>
      </c>
      <c r="K331" s="13">
        <f t="shared" si="176"/>
        <v>9.7912823047680106E-2</v>
      </c>
    </row>
    <row r="332" spans="1:11">
      <c r="A332" s="5" t="s">
        <v>5</v>
      </c>
      <c r="B332" s="5" t="s">
        <v>6</v>
      </c>
      <c r="C332" s="5" t="s">
        <v>7</v>
      </c>
      <c r="D332" t="s">
        <v>591</v>
      </c>
      <c r="E332" t="str">
        <f t="shared" si="161"/>
        <v>PJ/yr.</v>
      </c>
      <c r="F332" s="13">
        <f t="shared" ref="F332:K332" si="177">IFERROR(F104/F88,0)*F316</f>
        <v>0</v>
      </c>
      <c r="G332" s="13">
        <f t="shared" si="177"/>
        <v>0</v>
      </c>
      <c r="H332" s="13">
        <f t="shared" si="177"/>
        <v>0</v>
      </c>
      <c r="I332" s="13">
        <f t="shared" si="177"/>
        <v>0</v>
      </c>
      <c r="J332" s="13">
        <f t="shared" si="177"/>
        <v>0</v>
      </c>
      <c r="K332" s="13">
        <f t="shared" si="177"/>
        <v>0</v>
      </c>
    </row>
    <row r="333" spans="1:11">
      <c r="A333" s="5" t="s">
        <v>5</v>
      </c>
      <c r="B333" s="5" t="s">
        <v>6</v>
      </c>
      <c r="C333" s="5" t="s">
        <v>7</v>
      </c>
      <c r="D333" t="s">
        <v>592</v>
      </c>
      <c r="E333" t="str">
        <f t="shared" si="161"/>
        <v>PJ/yr.</v>
      </c>
      <c r="F333" s="13">
        <f t="shared" ref="F333:K333" si="178">IFERROR(F105/F89,0)*F317</f>
        <v>1.3560463821461434E-2</v>
      </c>
      <c r="G333" s="13">
        <f t="shared" si="178"/>
        <v>3.4130261250344595E-4</v>
      </c>
      <c r="H333" s="13">
        <f t="shared" si="178"/>
        <v>4.3379074461604952E-4</v>
      </c>
      <c r="I333" s="13">
        <f t="shared" si="178"/>
        <v>4.26356170278638E-4</v>
      </c>
      <c r="J333" s="13">
        <f t="shared" si="178"/>
        <v>8.629852396126222E-4</v>
      </c>
      <c r="K333" s="13">
        <f t="shared" si="178"/>
        <v>4.4739339610019109E-4</v>
      </c>
    </row>
    <row r="334" spans="1:11">
      <c r="A334" s="5" t="s">
        <v>5</v>
      </c>
      <c r="B334" s="5" t="s">
        <v>6</v>
      </c>
      <c r="C334" s="5" t="s">
        <v>7</v>
      </c>
      <c r="D334" t="s">
        <v>593</v>
      </c>
      <c r="E334" t="str">
        <f t="shared" si="161"/>
        <v>PJ/yr.</v>
      </c>
      <c r="F334" s="13">
        <f t="shared" ref="F334:K334" si="179">IFERROR(F106/F90,0)*F318</f>
        <v>0</v>
      </c>
      <c r="G334" s="13">
        <f t="shared" si="179"/>
        <v>0</v>
      </c>
      <c r="H334" s="13">
        <f t="shared" si="179"/>
        <v>0</v>
      </c>
      <c r="I334" s="13">
        <f t="shared" si="179"/>
        <v>1.0154144014000352E-5</v>
      </c>
      <c r="J334" s="13">
        <f t="shared" si="179"/>
        <v>2.6671040077349435E-5</v>
      </c>
      <c r="K334" s="13">
        <f t="shared" si="179"/>
        <v>1.2781786096983868E-5</v>
      </c>
    </row>
    <row r="335" spans="1:11">
      <c r="A335" s="5" t="s">
        <v>5</v>
      </c>
      <c r="B335" s="5" t="s">
        <v>6</v>
      </c>
      <c r="C335" s="5" t="s">
        <v>7</v>
      </c>
      <c r="D335" t="s">
        <v>594</v>
      </c>
      <c r="E335" t="str">
        <f t="shared" si="161"/>
        <v>PJ/yr.</v>
      </c>
      <c r="F335" s="13">
        <f t="shared" ref="F335:K335" si="180">IFERROR(F107/F91,0)*F319</f>
        <v>1.9294774817423269E-2</v>
      </c>
      <c r="G335" s="13">
        <f t="shared" si="180"/>
        <v>1.1106965125275057E-3</v>
      </c>
      <c r="H335" s="13">
        <f t="shared" si="180"/>
        <v>1.7154538298251739E-3</v>
      </c>
      <c r="I335" s="13">
        <f t="shared" si="180"/>
        <v>0.25984660662916426</v>
      </c>
      <c r="J335" s="13">
        <f t="shared" si="180"/>
        <v>0.40731231836334386</v>
      </c>
      <c r="K335" s="13">
        <f t="shared" si="180"/>
        <v>0.28944780628744698</v>
      </c>
    </row>
    <row r="336" spans="1:11">
      <c r="A336" s="5" t="s">
        <v>5</v>
      </c>
      <c r="B336" s="5" t="s">
        <v>6</v>
      </c>
      <c r="C336" s="5" t="s">
        <v>7</v>
      </c>
      <c r="D336" t="s">
        <v>595</v>
      </c>
      <c r="E336" t="str">
        <f t="shared" si="161"/>
        <v>PJ/yr.</v>
      </c>
      <c r="F336" s="13">
        <f t="shared" ref="F336:K336" si="181">IFERROR(F108/F92,0)*F320</f>
        <v>0</v>
      </c>
      <c r="G336" s="13">
        <f t="shared" si="181"/>
        <v>0</v>
      </c>
      <c r="H336" s="13">
        <f t="shared" si="181"/>
        <v>0</v>
      </c>
      <c r="I336" s="13">
        <f t="shared" si="181"/>
        <v>4.7944396744954598E-5</v>
      </c>
      <c r="J336" s="13">
        <f t="shared" si="181"/>
        <v>1.6005247517826158E-4</v>
      </c>
      <c r="K336" s="13">
        <f t="shared" si="181"/>
        <v>1.0789492690236368E-3</v>
      </c>
    </row>
    <row r="337" spans="1:11">
      <c r="A337" s="5" t="s">
        <v>5</v>
      </c>
      <c r="B337" s="5" t="s">
        <v>6</v>
      </c>
      <c r="C337" s="5" t="s">
        <v>7</v>
      </c>
      <c r="D337" t="s">
        <v>596</v>
      </c>
      <c r="E337" t="str">
        <f t="shared" si="161"/>
        <v>PJ/yr.</v>
      </c>
      <c r="F337" s="13">
        <f t="shared" ref="F337:K337" si="182">IFERROR(F109/F93,0)*F321</f>
        <v>0</v>
      </c>
      <c r="G337" s="13">
        <f t="shared" si="182"/>
        <v>0</v>
      </c>
      <c r="H337" s="13">
        <f t="shared" si="182"/>
        <v>0</v>
      </c>
      <c r="I337" s="13">
        <f t="shared" si="182"/>
        <v>0</v>
      </c>
      <c r="J337" s="13">
        <f t="shared" si="182"/>
        <v>0</v>
      </c>
      <c r="K337" s="13">
        <f t="shared" si="182"/>
        <v>0</v>
      </c>
    </row>
    <row r="338" spans="1:11">
      <c r="A338" s="5" t="s">
        <v>5</v>
      </c>
      <c r="B338" s="5" t="s">
        <v>6</v>
      </c>
      <c r="C338" s="5" t="s">
        <v>7</v>
      </c>
      <c r="D338" t="s">
        <v>597</v>
      </c>
      <c r="E338" t="str">
        <f t="shared" si="161"/>
        <v>PJ/yr.</v>
      </c>
      <c r="F338" s="13">
        <f t="shared" ref="F338:K338" si="183">IFERROR(F110/F94,0)*F322</f>
        <v>0.74392802444775818</v>
      </c>
      <c r="G338" s="13">
        <f t="shared" si="183"/>
        <v>0.6727839002003565</v>
      </c>
      <c r="H338" s="13">
        <f t="shared" si="183"/>
        <v>0.62410005414087133</v>
      </c>
      <c r="I338" s="13">
        <f t="shared" si="183"/>
        <v>0.58582619139266634</v>
      </c>
      <c r="J338" s="13">
        <f t="shared" si="183"/>
        <v>0.20390684156816552</v>
      </c>
      <c r="K338" s="13">
        <f t="shared" si="183"/>
        <v>5.5728270071568623E-5</v>
      </c>
    </row>
    <row r="339" spans="1:11">
      <c r="A339" s="5" t="s">
        <v>5</v>
      </c>
      <c r="B339" s="5" t="s">
        <v>6</v>
      </c>
      <c r="C339" s="5" t="s">
        <v>7</v>
      </c>
      <c r="D339" t="s">
        <v>598</v>
      </c>
      <c r="E339" t="str">
        <f t="shared" si="161"/>
        <v>PJ/yr.</v>
      </c>
      <c r="F339" s="13">
        <f t="shared" ref="F339:K339" si="184">IFERROR(F111/F95,0)*F323</f>
        <v>0</v>
      </c>
      <c r="G339" s="13">
        <f t="shared" si="184"/>
        <v>0</v>
      </c>
      <c r="H339" s="13">
        <f t="shared" si="184"/>
        <v>0</v>
      </c>
      <c r="I339" s="13">
        <f t="shared" si="184"/>
        <v>1.8448168053467484E-5</v>
      </c>
      <c r="J339" s="13">
        <f t="shared" si="184"/>
        <v>4.0342206143692693E-5</v>
      </c>
      <c r="K339" s="13">
        <f t="shared" si="184"/>
        <v>1.3747874528440877E-5</v>
      </c>
    </row>
    <row r="340" spans="1:11">
      <c r="A340" s="5" t="s">
        <v>5</v>
      </c>
      <c r="B340" s="5" t="s">
        <v>6</v>
      </c>
      <c r="C340" s="5" t="s">
        <v>7</v>
      </c>
      <c r="D340" t="s">
        <v>884</v>
      </c>
      <c r="E340" t="str">
        <f t="shared" si="161"/>
        <v>PJ/yr.</v>
      </c>
      <c r="F340" s="13">
        <f>SUM(F341:F355)</f>
        <v>1.127869707527752</v>
      </c>
      <c r="G340" s="13">
        <f t="shared" ref="G340:K340" si="185">SUM(G341:G355)</f>
        <v>1.3815700669302577</v>
      </c>
      <c r="H340" s="13">
        <f t="shared" si="185"/>
        <v>1.403675279799506</v>
      </c>
      <c r="I340" s="13">
        <f t="shared" si="185"/>
        <v>1.4811841229798741</v>
      </c>
      <c r="J340" s="13">
        <f t="shared" si="185"/>
        <v>2.1177144100414989</v>
      </c>
      <c r="K340" s="13">
        <f t="shared" si="185"/>
        <v>3.2013991375619</v>
      </c>
    </row>
    <row r="341" spans="1:11">
      <c r="A341" s="5" t="s">
        <v>5</v>
      </c>
      <c r="B341" s="5" t="s">
        <v>6</v>
      </c>
      <c r="C341" s="5" t="s">
        <v>7</v>
      </c>
      <c r="D341" t="s">
        <v>645</v>
      </c>
      <c r="E341" t="str">
        <f t="shared" si="161"/>
        <v>PJ/yr.</v>
      </c>
      <c r="F341" s="13">
        <f>F309-F325</f>
        <v>0</v>
      </c>
      <c r="G341" s="13">
        <f t="shared" ref="G341:K341" si="186">G309-G325</f>
        <v>0</v>
      </c>
      <c r="H341" s="13">
        <f t="shared" si="186"/>
        <v>0</v>
      </c>
      <c r="I341" s="13">
        <f t="shared" si="186"/>
        <v>0</v>
      </c>
      <c r="J341" s="13">
        <f t="shared" si="186"/>
        <v>6.6157834272079436E-6</v>
      </c>
      <c r="K341" s="13">
        <f t="shared" si="186"/>
        <v>1.2321124181693465E-5</v>
      </c>
    </row>
    <row r="342" spans="1:11">
      <c r="A342" s="5" t="s">
        <v>5</v>
      </c>
      <c r="B342" s="5" t="s">
        <v>6</v>
      </c>
      <c r="C342" s="5" t="s">
        <v>7</v>
      </c>
      <c r="D342" t="s">
        <v>646</v>
      </c>
      <c r="E342" t="str">
        <f t="shared" si="161"/>
        <v>PJ/yr.</v>
      </c>
      <c r="F342" s="13">
        <f t="shared" ref="F342:K342" si="187">F310-F326</f>
        <v>0</v>
      </c>
      <c r="G342" s="13">
        <f t="shared" si="187"/>
        <v>0</v>
      </c>
      <c r="H342" s="13">
        <f t="shared" si="187"/>
        <v>1.2221760165752858E-5</v>
      </c>
      <c r="I342" s="13">
        <f t="shared" si="187"/>
        <v>2.5596044472774276E-6</v>
      </c>
      <c r="J342" s="13">
        <f t="shared" si="187"/>
        <v>9.7595662192226373E-4</v>
      </c>
      <c r="K342" s="13">
        <f t="shared" si="187"/>
        <v>1.1618398439043748E-2</v>
      </c>
    </row>
    <row r="343" spans="1:11">
      <c r="A343" s="5" t="s">
        <v>5</v>
      </c>
      <c r="B343" s="5" t="s">
        <v>6</v>
      </c>
      <c r="C343" s="5" t="s">
        <v>7</v>
      </c>
      <c r="D343" t="s">
        <v>647</v>
      </c>
      <c r="E343" t="str">
        <f t="shared" si="161"/>
        <v>PJ/yr.</v>
      </c>
      <c r="F343" s="13">
        <f t="shared" ref="F343:K343" si="188">F311-F327</f>
        <v>0</v>
      </c>
      <c r="G343" s="13">
        <f t="shared" si="188"/>
        <v>0</v>
      </c>
      <c r="H343" s="13">
        <f t="shared" si="188"/>
        <v>0</v>
      </c>
      <c r="I343" s="13">
        <f t="shared" si="188"/>
        <v>0</v>
      </c>
      <c r="J343" s="13">
        <f t="shared" si="188"/>
        <v>2.8197317485353425E-6</v>
      </c>
      <c r="K343" s="13">
        <f t="shared" si="188"/>
        <v>9.687788015319665E-5</v>
      </c>
    </row>
    <row r="344" spans="1:11">
      <c r="A344" s="5" t="s">
        <v>5</v>
      </c>
      <c r="B344" s="5" t="s">
        <v>6</v>
      </c>
      <c r="C344" s="5" t="s">
        <v>7</v>
      </c>
      <c r="D344" t="s">
        <v>648</v>
      </c>
      <c r="E344" t="str">
        <f t="shared" si="161"/>
        <v>PJ/yr.</v>
      </c>
      <c r="F344" s="13">
        <f t="shared" ref="F344:K344" si="189">F312-F328</f>
        <v>3.179382459625546E-2</v>
      </c>
      <c r="G344" s="13">
        <f t="shared" si="189"/>
        <v>0</v>
      </c>
      <c r="H344" s="13">
        <f t="shared" si="189"/>
        <v>1.1640829892058668E-3</v>
      </c>
      <c r="I344" s="13">
        <f t="shared" si="189"/>
        <v>7.4156456351708033E-4</v>
      </c>
      <c r="J344" s="13">
        <f t="shared" si="189"/>
        <v>2.2150346626016726E-4</v>
      </c>
      <c r="K344" s="13">
        <f t="shared" si="189"/>
        <v>2.3565172155952851E-6</v>
      </c>
    </row>
    <row r="345" spans="1:11">
      <c r="A345" s="5" t="s">
        <v>5</v>
      </c>
      <c r="B345" s="5" t="s">
        <v>6</v>
      </c>
      <c r="C345" s="5" t="s">
        <v>7</v>
      </c>
      <c r="D345" t="s">
        <v>649</v>
      </c>
      <c r="E345" t="str">
        <f t="shared" si="161"/>
        <v>PJ/yr.</v>
      </c>
      <c r="F345" s="13">
        <f t="shared" ref="F345:K345" si="190">F313-F329</f>
        <v>0</v>
      </c>
      <c r="G345" s="13">
        <f t="shared" si="190"/>
        <v>0</v>
      </c>
      <c r="H345" s="13">
        <f t="shared" si="190"/>
        <v>0</v>
      </c>
      <c r="I345" s="13">
        <f t="shared" si="190"/>
        <v>0</v>
      </c>
      <c r="J345" s="13">
        <f t="shared" si="190"/>
        <v>9.2875414527419931E-4</v>
      </c>
      <c r="K345" s="13">
        <f t="shared" si="190"/>
        <v>6.3480403043275338E-6</v>
      </c>
    </row>
    <row r="346" spans="1:11">
      <c r="A346" s="5" t="s">
        <v>5</v>
      </c>
      <c r="B346" s="5" t="s">
        <v>6</v>
      </c>
      <c r="C346" s="5" t="s">
        <v>7</v>
      </c>
      <c r="D346" t="s">
        <v>650</v>
      </c>
      <c r="E346" t="str">
        <f t="shared" si="161"/>
        <v>PJ/yr.</v>
      </c>
      <c r="F346" s="13">
        <f t="shared" ref="F346:K346" si="191">F314-F330</f>
        <v>1.1576997242046472E-2</v>
      </c>
      <c r="G346" s="13">
        <f t="shared" si="191"/>
        <v>8.4125167342881738E-3</v>
      </c>
      <c r="H346" s="13">
        <f t="shared" si="191"/>
        <v>1.3750849257329889E-3</v>
      </c>
      <c r="I346" s="13">
        <f t="shared" si="191"/>
        <v>1.6732220573463102E-3</v>
      </c>
      <c r="J346" s="13">
        <f t="shared" si="191"/>
        <v>1.3719572367384275E-4</v>
      </c>
      <c r="K346" s="13">
        <f t="shared" si="191"/>
        <v>0.10592509191739313</v>
      </c>
    </row>
    <row r="347" spans="1:11">
      <c r="A347" s="5" t="s">
        <v>5</v>
      </c>
      <c r="B347" s="5" t="s">
        <v>6</v>
      </c>
      <c r="C347" s="5" t="s">
        <v>7</v>
      </c>
      <c r="D347" t="s">
        <v>651</v>
      </c>
      <c r="E347" t="str">
        <f t="shared" si="161"/>
        <v>PJ/yr.</v>
      </c>
      <c r="F347" s="13">
        <f t="shared" ref="F347:K347" si="192">F315-F331</f>
        <v>0</v>
      </c>
      <c r="G347" s="13">
        <f t="shared" si="192"/>
        <v>0</v>
      </c>
      <c r="H347" s="13">
        <f t="shared" si="192"/>
        <v>0</v>
      </c>
      <c r="I347" s="13">
        <f t="shared" si="192"/>
        <v>0</v>
      </c>
      <c r="J347" s="13">
        <f t="shared" si="192"/>
        <v>2.7889028881315027E-7</v>
      </c>
      <c r="K347" s="13">
        <f t="shared" si="192"/>
        <v>4.1381283843923547E-2</v>
      </c>
    </row>
    <row r="348" spans="1:11">
      <c r="A348" s="5" t="s">
        <v>5</v>
      </c>
      <c r="B348" s="5" t="s">
        <v>6</v>
      </c>
      <c r="C348" s="5" t="s">
        <v>7</v>
      </c>
      <c r="D348" t="s">
        <v>652</v>
      </c>
      <c r="E348" t="str">
        <f t="shared" si="161"/>
        <v>PJ/yr.</v>
      </c>
      <c r="F348" s="13">
        <f t="shared" ref="F348:K348" si="193">F316-F332</f>
        <v>0</v>
      </c>
      <c r="G348" s="13">
        <f t="shared" si="193"/>
        <v>0</v>
      </c>
      <c r="H348" s="13">
        <f t="shared" si="193"/>
        <v>0</v>
      </c>
      <c r="I348" s="13">
        <f t="shared" si="193"/>
        <v>0</v>
      </c>
      <c r="J348" s="13">
        <f t="shared" si="193"/>
        <v>0</v>
      </c>
      <c r="K348" s="13">
        <f t="shared" si="193"/>
        <v>0</v>
      </c>
    </row>
    <row r="349" spans="1:11">
      <c r="A349" s="5" t="s">
        <v>5</v>
      </c>
      <c r="B349" s="5" t="s">
        <v>6</v>
      </c>
      <c r="C349" s="5" t="s">
        <v>7</v>
      </c>
      <c r="D349" t="s">
        <v>653</v>
      </c>
      <c r="E349" t="str">
        <f t="shared" si="161"/>
        <v>PJ/yr.</v>
      </c>
      <c r="F349" s="13">
        <f t="shared" ref="F349:K349" si="194">F317-F333</f>
        <v>3.4583523006249776E-4</v>
      </c>
      <c r="G349" s="13">
        <f t="shared" si="194"/>
        <v>5.9823865200333442E-5</v>
      </c>
      <c r="H349" s="13">
        <f t="shared" si="194"/>
        <v>1.5914432709164083E-5</v>
      </c>
      <c r="I349" s="13">
        <f t="shared" si="194"/>
        <v>7.3880782086050562E-6</v>
      </c>
      <c r="J349" s="13">
        <f t="shared" si="194"/>
        <v>6.5799386786221823E-6</v>
      </c>
      <c r="K349" s="13">
        <f t="shared" si="194"/>
        <v>1.890836413214579E-4</v>
      </c>
    </row>
    <row r="350" spans="1:11">
      <c r="A350" s="5" t="s">
        <v>5</v>
      </c>
      <c r="B350" s="5" t="s">
        <v>6</v>
      </c>
      <c r="C350" s="5" t="s">
        <v>7</v>
      </c>
      <c r="D350" t="s">
        <v>654</v>
      </c>
      <c r="E350" t="str">
        <f t="shared" si="161"/>
        <v>PJ/yr.</v>
      </c>
      <c r="F350" s="13">
        <f t="shared" ref="F350:K350" si="195">F318-F334</f>
        <v>0</v>
      </c>
      <c r="G350" s="13">
        <f t="shared" si="195"/>
        <v>0</v>
      </c>
      <c r="H350" s="13">
        <f t="shared" si="195"/>
        <v>0</v>
      </c>
      <c r="I350" s="13">
        <f t="shared" si="195"/>
        <v>1.7595525841187125E-7</v>
      </c>
      <c r="J350" s="13">
        <f t="shared" si="195"/>
        <v>2.0335667419156306E-7</v>
      </c>
      <c r="K350" s="13">
        <f t="shared" si="195"/>
        <v>5.4020168354663436E-6</v>
      </c>
    </row>
    <row r="351" spans="1:11">
      <c r="A351" s="5" t="s">
        <v>5</v>
      </c>
      <c r="B351" s="5" t="s">
        <v>6</v>
      </c>
      <c r="C351" s="5" t="s">
        <v>7</v>
      </c>
      <c r="D351" t="s">
        <v>655</v>
      </c>
      <c r="E351" t="str">
        <f t="shared" si="161"/>
        <v>PJ/yr.</v>
      </c>
      <c r="F351" s="13">
        <f t="shared" ref="F351:K351" si="196">F319-F335</f>
        <v>4.9207851411593381E-4</v>
      </c>
      <c r="G351" s="13">
        <f t="shared" si="196"/>
        <v>1.9468400184969301E-4</v>
      </c>
      <c r="H351" s="13">
        <f t="shared" si="196"/>
        <v>6.2934663496784157E-5</v>
      </c>
      <c r="I351" s="13">
        <f t="shared" si="196"/>
        <v>4.5027307820179607E-3</v>
      </c>
      <c r="J351" s="13">
        <f t="shared" si="196"/>
        <v>3.1056036127353748E-3</v>
      </c>
      <c r="K351" s="13">
        <f t="shared" si="196"/>
        <v>0.12233047171103534</v>
      </c>
    </row>
    <row r="352" spans="1:11">
      <c r="A352" s="5" t="s">
        <v>5</v>
      </c>
      <c r="B352" s="5" t="s">
        <v>6</v>
      </c>
      <c r="C352" s="5" t="s">
        <v>7</v>
      </c>
      <c r="D352" t="s">
        <v>656</v>
      </c>
      <c r="E352" t="str">
        <f t="shared" si="161"/>
        <v>PJ/yr.</v>
      </c>
      <c r="F352" s="13">
        <f t="shared" ref="F352:K352" si="197">F320-F336</f>
        <v>0</v>
      </c>
      <c r="G352" s="13">
        <f t="shared" si="197"/>
        <v>0</v>
      </c>
      <c r="H352" s="13">
        <f t="shared" si="197"/>
        <v>0</v>
      </c>
      <c r="I352" s="13">
        <f t="shared" si="197"/>
        <v>8.3080057826916159E-7</v>
      </c>
      <c r="J352" s="13">
        <f t="shared" si="197"/>
        <v>1.2203400750022215E-6</v>
      </c>
      <c r="K352" s="13">
        <f t="shared" si="197"/>
        <v>4.5600059895034139E-4</v>
      </c>
    </row>
    <row r="353" spans="1:15">
      <c r="A353" s="5" t="s">
        <v>5</v>
      </c>
      <c r="B353" s="5" t="s">
        <v>6</v>
      </c>
      <c r="C353" s="5" t="s">
        <v>7</v>
      </c>
      <c r="D353" t="s">
        <v>657</v>
      </c>
      <c r="E353" t="str">
        <f t="shared" si="161"/>
        <v>PJ/yr.</v>
      </c>
      <c r="F353" s="13">
        <f t="shared" ref="F353:K353" si="198">F321-F337</f>
        <v>1.0646884262512482</v>
      </c>
      <c r="G353" s="13">
        <f t="shared" si="198"/>
        <v>1.2549768036185893</v>
      </c>
      <c r="H353" s="13">
        <f t="shared" si="198"/>
        <v>1.3781487518872142</v>
      </c>
      <c r="I353" s="13">
        <f t="shared" si="198"/>
        <v>1.4641038899658216</v>
      </c>
      <c r="J353" s="13">
        <f t="shared" si="198"/>
        <v>2.1107726576710402</v>
      </c>
      <c r="K353" s="13">
        <f t="shared" si="198"/>
        <v>2.9193461388536339</v>
      </c>
    </row>
    <row r="354" spans="1:15">
      <c r="A354" s="5" t="s">
        <v>5</v>
      </c>
      <c r="B354" s="5" t="s">
        <v>6</v>
      </c>
      <c r="C354" s="5" t="s">
        <v>7</v>
      </c>
      <c r="D354" t="s">
        <v>658</v>
      </c>
      <c r="E354" t="str">
        <f t="shared" si="161"/>
        <v>PJ/yr.</v>
      </c>
      <c r="F354" s="13">
        <f t="shared" ref="F354:K354" si="199">F322-F338</f>
        <v>1.8972545694023402E-2</v>
      </c>
      <c r="G354" s="13">
        <f t="shared" si="199"/>
        <v>0.11792623871033003</v>
      </c>
      <c r="H354" s="13">
        <f t="shared" si="199"/>
        <v>2.2896289140981074E-2</v>
      </c>
      <c r="I354" s="13">
        <f t="shared" si="199"/>
        <v>1.01514414950995E-2</v>
      </c>
      <c r="J354" s="13">
        <f t="shared" si="199"/>
        <v>1.55471316551406E-3</v>
      </c>
      <c r="K354" s="13">
        <f t="shared" si="199"/>
        <v>2.3552659296110952E-5</v>
      </c>
    </row>
    <row r="355" spans="1:15">
      <c r="A355" s="5" t="s">
        <v>5</v>
      </c>
      <c r="B355" s="5" t="s">
        <v>6</v>
      </c>
      <c r="C355" s="5" t="s">
        <v>7</v>
      </c>
      <c r="D355" t="s">
        <v>659</v>
      </c>
      <c r="E355" t="str">
        <f t="shared" si="161"/>
        <v>PJ/yr.</v>
      </c>
      <c r="F355" s="13">
        <f t="shared" ref="F355:K355" si="200">F323-F339</f>
        <v>0</v>
      </c>
      <c r="G355" s="13">
        <f t="shared" si="200"/>
        <v>0</v>
      </c>
      <c r="H355" s="13">
        <f t="shared" si="200"/>
        <v>0</v>
      </c>
      <c r="I355" s="13">
        <f t="shared" si="200"/>
        <v>3.1967757918322992E-7</v>
      </c>
      <c r="J355" s="13">
        <f t="shared" si="200"/>
        <v>3.0759418632118738E-7</v>
      </c>
      <c r="K355" s="13">
        <f t="shared" si="200"/>
        <v>5.8103186120475934E-6</v>
      </c>
    </row>
    <row r="356" spans="1:15">
      <c r="A356" s="5" t="s">
        <v>5</v>
      </c>
      <c r="B356" s="5" t="s">
        <v>6</v>
      </c>
      <c r="C356" s="5" t="s">
        <v>7</v>
      </c>
      <c r="D356" t="s">
        <v>885</v>
      </c>
      <c r="E356" t="str">
        <f t="shared" ref="E356:E406" si="201">E355</f>
        <v>PJ/yr.</v>
      </c>
      <c r="F356" s="13">
        <f>SUM(F357:F362)</f>
        <v>22.439137102057209</v>
      </c>
      <c r="G356" s="13">
        <f t="shared" ref="G356:K356" si="202">SUM(G357:G362)</f>
        <v>24.755647357471414</v>
      </c>
      <c r="H356" s="13">
        <f t="shared" si="202"/>
        <v>26.670364066113518</v>
      </c>
      <c r="I356" s="13">
        <f t="shared" si="202"/>
        <v>25.070382038407239</v>
      </c>
      <c r="J356" s="13">
        <f t="shared" si="202"/>
        <v>26.368236426970242</v>
      </c>
      <c r="K356" s="13">
        <f t="shared" si="202"/>
        <v>33.54728591005626</v>
      </c>
    </row>
    <row r="357" spans="1:15">
      <c r="A357" s="5" t="s">
        <v>5</v>
      </c>
      <c r="B357" s="5" t="s">
        <v>6</v>
      </c>
      <c r="C357" s="5" t="s">
        <v>7</v>
      </c>
      <c r="D357" t="s">
        <v>114</v>
      </c>
      <c r="E357" t="str">
        <f t="shared" si="201"/>
        <v>PJ/yr.</v>
      </c>
      <c r="F357" s="13">
        <f>'[1]Electricity and CHPs_IN'!B$19</f>
        <v>18.203590542488215</v>
      </c>
      <c r="G357" s="13">
        <f>'[1]Electricity and CHPs_IN'!C$19</f>
        <v>20.739310472937728</v>
      </c>
      <c r="H357" s="13">
        <f>'[1]Electricity and CHPs_IN'!D$19</f>
        <v>22.531478419738487</v>
      </c>
      <c r="I357" s="13">
        <f>'[1]Electricity and CHPs_IN'!E$19</f>
        <v>20.696584534302726</v>
      </c>
      <c r="J357" s="13">
        <f>'[1]Electricity and CHPs_IN'!F$19</f>
        <v>16.955852608284026</v>
      </c>
      <c r="K357" s="13">
        <f>'[1]Electricity and CHPs_IN'!G$19</f>
        <v>13.018155301812778</v>
      </c>
      <c r="O357" s="2"/>
    </row>
    <row r="358" spans="1:15">
      <c r="A358" s="5" t="s">
        <v>5</v>
      </c>
      <c r="B358" s="5" t="s">
        <v>6</v>
      </c>
      <c r="C358" s="5" t="s">
        <v>7</v>
      </c>
      <c r="D358" t="s">
        <v>115</v>
      </c>
      <c r="E358" t="str">
        <f t="shared" si="201"/>
        <v>PJ/yr.</v>
      </c>
      <c r="F358" s="13">
        <f>'[1]Electricity and CHPs_IN'!B$20</f>
        <v>0</v>
      </c>
      <c r="G358" s="13">
        <f>'[1]Electricity and CHPs_IN'!C$20</f>
        <v>0</v>
      </c>
      <c r="H358" s="13">
        <f>'[1]Electricity and CHPs_IN'!D$20</f>
        <v>0</v>
      </c>
      <c r="I358" s="13">
        <f>'[1]Electricity and CHPs_IN'!E$20</f>
        <v>0</v>
      </c>
      <c r="J358" s="13">
        <f>'[1]Electricity and CHPs_IN'!F$20</f>
        <v>4.7379808744581071</v>
      </c>
      <c r="K358" s="13">
        <f>'[1]Electricity and CHPs_IN'!G$20</f>
        <v>13.017229418049924</v>
      </c>
      <c r="O358" s="2"/>
    </row>
    <row r="359" spans="1:15">
      <c r="A359" s="5" t="s">
        <v>5</v>
      </c>
      <c r="B359" s="5" t="s">
        <v>6</v>
      </c>
      <c r="C359" s="5" t="s">
        <v>7</v>
      </c>
      <c r="D359" t="s">
        <v>116</v>
      </c>
      <c r="E359" t="str">
        <f t="shared" si="201"/>
        <v>PJ/yr.</v>
      </c>
      <c r="F359" s="13">
        <f>IFERROR(F131/SUM(F131,F196),0)*'[1]Electricity and CHPs_IN'!B$26</f>
        <v>3.8411029225813058</v>
      </c>
      <c r="G359" s="13">
        <f>IFERROR(G131/SUM(G131,G196),0)*'[1]Electricity and CHPs_IN'!C$26</f>
        <v>3.6473564750202199</v>
      </c>
      <c r="H359" s="13">
        <f>IFERROR(H131/SUM(H131,H196),0)*'[1]Electricity and CHPs_IN'!D$26</f>
        <v>3.5052272969795837</v>
      </c>
      <c r="I359" s="13">
        <f>IFERROR(I131/SUM(I131,I196),0)*'[1]Electricity and CHPs_IN'!E$26</f>
        <v>3.6794874913575937</v>
      </c>
      <c r="J359" s="13">
        <f>IFERROR(J131/SUM(J131,J196),0)*'[1]Electricity and CHPs_IN'!F$26</f>
        <v>3.2734222158738948</v>
      </c>
      <c r="K359" s="13">
        <f>IFERROR(K131/SUM(K131,K196),0)*'[1]Electricity and CHPs_IN'!G$26</f>
        <v>3.7546628204257755</v>
      </c>
    </row>
    <row r="360" spans="1:15">
      <c r="A360" s="5" t="s">
        <v>5</v>
      </c>
      <c r="B360" s="5" t="s">
        <v>6</v>
      </c>
      <c r="C360" s="5" t="s">
        <v>7</v>
      </c>
      <c r="D360" t="s">
        <v>117</v>
      </c>
      <c r="E360" t="str">
        <f t="shared" si="201"/>
        <v>PJ/yr.</v>
      </c>
      <c r="F360" s="13">
        <f>IFERROR(F132/SUM(F132,F197),0)*'[1]Electricity and CHPs_IN'!B$27</f>
        <v>0</v>
      </c>
      <c r="G360" s="13">
        <f>IFERROR(G132/SUM(G132,G197),0)*'[1]Electricity and CHPs_IN'!C$27</f>
        <v>0</v>
      </c>
      <c r="H360" s="13">
        <f>IFERROR(H132/SUM(H132,H197),0)*'[1]Electricity and CHPs_IN'!D$27</f>
        <v>0</v>
      </c>
      <c r="I360" s="13">
        <f>IFERROR(I132/SUM(I132,I197),0)*'[1]Electricity and CHPs_IN'!E$27</f>
        <v>0</v>
      </c>
      <c r="J360" s="13">
        <f>IFERROR(J132/SUM(J132,J197),0)*'[1]Electricity and CHPs_IN'!F$27</f>
        <v>0.52959795105811269</v>
      </c>
      <c r="K360" s="13">
        <f>IFERROR(K132/SUM(K132,K197),0)*'[1]Electricity and CHPs_IN'!G$27</f>
        <v>1.3367731632953974</v>
      </c>
    </row>
    <row r="361" spans="1:15">
      <c r="A361" s="5" t="s">
        <v>5</v>
      </c>
      <c r="B361" s="5" t="s">
        <v>6</v>
      </c>
      <c r="C361" s="5" t="s">
        <v>7</v>
      </c>
      <c r="D361" t="s">
        <v>118</v>
      </c>
      <c r="E361" t="str">
        <f t="shared" si="201"/>
        <v>PJ/yr.</v>
      </c>
      <c r="F361" s="13">
        <f>IFERROR(F133/SUM(F133,F272),0)*'[1]Electricity and CHPs_IN'!B$44</f>
        <v>0.39444363698768825</v>
      </c>
      <c r="G361" s="13">
        <f>IFERROR(G133/SUM(G133,G272),0)*'[1]Electricity and CHPs_IN'!C$44</f>
        <v>0.36898040951346561</v>
      </c>
      <c r="H361" s="13">
        <f>IFERROR(H133/SUM(H133,H272),0)*'[1]Electricity and CHPs_IN'!D$44</f>
        <v>0.63365834939544552</v>
      </c>
      <c r="I361" s="13">
        <f>IFERROR(I133/SUM(I133,I272),0)*'[1]Electricity and CHPs_IN'!E$44</f>
        <v>0.69431001274691861</v>
      </c>
      <c r="J361" s="13">
        <f>IFERROR(J133/SUM(J133,J272),0)*'[1]Electricity and CHPs_IN'!F$44</f>
        <v>0.50543249926157496</v>
      </c>
      <c r="K361" s="13">
        <f>IFERROR(K133/SUM(K133,K272),0)*'[1]Electricity and CHPs_IN'!G$44</f>
        <v>0</v>
      </c>
    </row>
    <row r="362" spans="1:15">
      <c r="A362" s="5" t="s">
        <v>5</v>
      </c>
      <c r="B362" s="5" t="s">
        <v>6</v>
      </c>
      <c r="C362" s="5" t="s">
        <v>7</v>
      </c>
      <c r="D362" t="s">
        <v>119</v>
      </c>
      <c r="E362" t="str">
        <f t="shared" si="201"/>
        <v>PJ/yr.</v>
      </c>
      <c r="F362" s="13">
        <f>IFERROR(F134/SUM(F134,F273),0)*'[1]Electricity and CHPs_IN'!B$45</f>
        <v>0</v>
      </c>
      <c r="G362" s="13">
        <f>IFERROR(G134/SUM(G134,G273),0)*'[1]Electricity and CHPs_IN'!C$45</f>
        <v>0</v>
      </c>
      <c r="H362" s="13">
        <f>IFERROR(H134/SUM(H134,H273),0)*'[1]Electricity and CHPs_IN'!D$45</f>
        <v>0</v>
      </c>
      <c r="I362" s="13">
        <f>IFERROR(I134/SUM(I134,I273),0)*'[1]Electricity and CHPs_IN'!E$45</f>
        <v>0</v>
      </c>
      <c r="J362" s="13">
        <f>IFERROR(J134/SUM(J134,J273),0)*'[1]Electricity and CHPs_IN'!F$45</f>
        <v>0.36595027803452906</v>
      </c>
      <c r="K362" s="13">
        <f>IFERROR(K134/SUM(K134,K273),0)*'[1]Electricity and CHPs_IN'!G$45</f>
        <v>2.4204652064723886</v>
      </c>
      <c r="O362" s="4"/>
    </row>
    <row r="363" spans="1:15">
      <c r="A363" s="5" t="s">
        <v>5</v>
      </c>
      <c r="B363" s="5" t="s">
        <v>6</v>
      </c>
      <c r="C363" s="5" t="s">
        <v>7</v>
      </c>
      <c r="D363" t="s">
        <v>886</v>
      </c>
      <c r="E363" t="str">
        <f t="shared" si="201"/>
        <v>PJ/yr.</v>
      </c>
      <c r="F363" s="13">
        <f>SUM(F364:F367)</f>
        <v>11.022346732534761</v>
      </c>
      <c r="G363" s="13">
        <f t="shared" ref="G363:K363" si="203">SUM(G364:G367)</f>
        <v>12.193333473978976</v>
      </c>
      <c r="H363" s="13">
        <f t="shared" si="203"/>
        <v>13.018352858359036</v>
      </c>
      <c r="I363" s="13">
        <f t="shared" si="203"/>
        <v>12.18803601283016</v>
      </c>
      <c r="J363" s="13">
        <f t="shared" si="203"/>
        <v>12.74842682483707</v>
      </c>
      <c r="K363" s="13">
        <f t="shared" si="203"/>
        <v>15.563410351791937</v>
      </c>
      <c r="O363" s="6"/>
    </row>
    <row r="364" spans="1:15">
      <c r="A364" s="5" t="s">
        <v>5</v>
      </c>
      <c r="B364" s="5" t="s">
        <v>6</v>
      </c>
      <c r="C364" s="5" t="s">
        <v>7</v>
      </c>
      <c r="D364" t="s">
        <v>120</v>
      </c>
      <c r="E364" t="str">
        <f t="shared" si="201"/>
        <v>PJ/yr.</v>
      </c>
      <c r="F364" s="13">
        <f>F357*IFERROR(F136/F129,0)</f>
        <v>9.1017952712441073</v>
      </c>
      <c r="G364" s="13">
        <f t="shared" ref="G364:K364" si="204">G357*IFERROR(G136/G129,0)</f>
        <v>10.369655236468866</v>
      </c>
      <c r="H364" s="13">
        <f t="shared" si="204"/>
        <v>11.265739209869244</v>
      </c>
      <c r="I364" s="13">
        <f t="shared" si="204"/>
        <v>10.348292267151363</v>
      </c>
      <c r="J364" s="13">
        <f t="shared" si="204"/>
        <v>8.477926304142013</v>
      </c>
      <c r="K364" s="13">
        <f t="shared" si="204"/>
        <v>6.5090776509063888</v>
      </c>
      <c r="O364" s="2"/>
    </row>
    <row r="365" spans="1:15">
      <c r="A365" s="5" t="s">
        <v>5</v>
      </c>
      <c r="B365" s="5" t="s">
        <v>6</v>
      </c>
      <c r="C365" s="5" t="s">
        <v>7</v>
      </c>
      <c r="D365" t="s">
        <v>121</v>
      </c>
      <c r="E365" t="str">
        <f t="shared" si="201"/>
        <v>PJ/yr.</v>
      </c>
      <c r="F365" s="13">
        <f t="shared" ref="F365:K365" si="205">F358*IFERROR(F137/F130,0)</f>
        <v>0</v>
      </c>
      <c r="G365" s="13">
        <f t="shared" si="205"/>
        <v>0</v>
      </c>
      <c r="H365" s="13">
        <f t="shared" si="205"/>
        <v>0</v>
      </c>
      <c r="I365" s="13">
        <f t="shared" si="205"/>
        <v>0</v>
      </c>
      <c r="J365" s="13">
        <f t="shared" si="205"/>
        <v>2.3689904372290536</v>
      </c>
      <c r="K365" s="13">
        <f t="shared" si="205"/>
        <v>6.508614709024962</v>
      </c>
    </row>
    <row r="366" spans="1:15">
      <c r="A366" s="5" t="s">
        <v>5</v>
      </c>
      <c r="B366" s="5" t="s">
        <v>6</v>
      </c>
      <c r="C366" s="5" t="s">
        <v>7</v>
      </c>
      <c r="D366" t="s">
        <v>122</v>
      </c>
      <c r="E366" t="str">
        <f t="shared" si="201"/>
        <v>PJ/yr.</v>
      </c>
      <c r="F366" s="13">
        <f t="shared" ref="F366:K366" si="206">F359*IFERROR(F138/F131,0)</f>
        <v>1.9205514612906529</v>
      </c>
      <c r="G366" s="13">
        <f t="shared" si="206"/>
        <v>1.8236782375101104</v>
      </c>
      <c r="H366" s="13">
        <f t="shared" si="206"/>
        <v>1.7526136484897918</v>
      </c>
      <c r="I366" s="13">
        <f t="shared" si="206"/>
        <v>1.8397437456787968</v>
      </c>
      <c r="J366" s="13">
        <f t="shared" si="206"/>
        <v>1.6367111079369474</v>
      </c>
      <c r="K366" s="13">
        <f t="shared" si="206"/>
        <v>1.8773314102128877</v>
      </c>
    </row>
    <row r="367" spans="1:15">
      <c r="A367" s="5" t="s">
        <v>5</v>
      </c>
      <c r="B367" s="5" t="s">
        <v>6</v>
      </c>
      <c r="C367" s="5" t="s">
        <v>7</v>
      </c>
      <c r="D367" t="s">
        <v>123</v>
      </c>
      <c r="E367" t="str">
        <f t="shared" si="201"/>
        <v>PJ/yr.</v>
      </c>
      <c r="F367" s="13">
        <f t="shared" ref="F367:K367" si="207">F360*IFERROR(F139/F132,0)</f>
        <v>0</v>
      </c>
      <c r="G367" s="13">
        <f t="shared" si="207"/>
        <v>0</v>
      </c>
      <c r="H367" s="13">
        <f t="shared" si="207"/>
        <v>0</v>
      </c>
      <c r="I367" s="13">
        <f t="shared" si="207"/>
        <v>0</v>
      </c>
      <c r="J367" s="13">
        <f t="shared" si="207"/>
        <v>0.26479897552905635</v>
      </c>
      <c r="K367" s="13">
        <f t="shared" si="207"/>
        <v>0.6683865816476986</v>
      </c>
    </row>
    <row r="368" spans="1:15">
      <c r="A368" s="5" t="s">
        <v>5</v>
      </c>
      <c r="B368" s="5" t="s">
        <v>6</v>
      </c>
      <c r="C368" s="5" t="s">
        <v>7</v>
      </c>
      <c r="D368" t="s">
        <v>124</v>
      </c>
      <c r="E368" t="str">
        <f t="shared" si="201"/>
        <v>PJ/yr.</v>
      </c>
      <c r="F368" s="13">
        <f t="shared" ref="F368:K368" si="208">F361*IFERROR(F140/F133,0)</f>
        <v>0</v>
      </c>
      <c r="G368" s="13">
        <f t="shared" si="208"/>
        <v>0</v>
      </c>
      <c r="H368" s="13">
        <f t="shared" si="208"/>
        <v>0</v>
      </c>
      <c r="I368" s="13">
        <f t="shared" si="208"/>
        <v>0</v>
      </c>
      <c r="J368" s="13">
        <f t="shared" si="208"/>
        <v>0</v>
      </c>
      <c r="K368" s="13">
        <f t="shared" si="208"/>
        <v>0</v>
      </c>
    </row>
    <row r="369" spans="1:15">
      <c r="A369" s="5" t="s">
        <v>5</v>
      </c>
      <c r="B369" s="5" t="s">
        <v>6</v>
      </c>
      <c r="C369" s="5" t="s">
        <v>7</v>
      </c>
      <c r="D369" t="s">
        <v>125</v>
      </c>
      <c r="E369" t="str">
        <f t="shared" si="201"/>
        <v>PJ/yr.</v>
      </c>
      <c r="F369" s="13">
        <f t="shared" ref="F369:K369" si="209">F362*IFERROR(F141/F134,0)</f>
        <v>0</v>
      </c>
      <c r="G369" s="13">
        <f t="shared" si="209"/>
        <v>0</v>
      </c>
      <c r="H369" s="13">
        <f t="shared" si="209"/>
        <v>0</v>
      </c>
      <c r="I369" s="13">
        <f t="shared" si="209"/>
        <v>0</v>
      </c>
      <c r="J369" s="13">
        <f t="shared" si="209"/>
        <v>0</v>
      </c>
      <c r="K369" s="13">
        <f t="shared" si="209"/>
        <v>0</v>
      </c>
    </row>
    <row r="370" spans="1:15">
      <c r="A370" s="5" t="s">
        <v>5</v>
      </c>
      <c r="B370" s="5" t="s">
        <v>6</v>
      </c>
      <c r="C370" s="5" t="s">
        <v>7</v>
      </c>
      <c r="D370" t="s">
        <v>887</v>
      </c>
      <c r="E370" t="str">
        <f t="shared" si="201"/>
        <v>PJ/yr.</v>
      </c>
      <c r="F370" s="13">
        <f>SUM(F371:F376)</f>
        <v>11.416790369522449</v>
      </c>
      <c r="G370" s="13">
        <f t="shared" ref="G370:K370" si="210">SUM(G371:G376)</f>
        <v>12.56231388349244</v>
      </c>
      <c r="H370" s="13">
        <f t="shared" si="210"/>
        <v>13.65201120775448</v>
      </c>
      <c r="I370" s="13">
        <f t="shared" si="210"/>
        <v>12.882346025577078</v>
      </c>
      <c r="J370" s="13">
        <f t="shared" si="210"/>
        <v>13.619809602133174</v>
      </c>
      <c r="K370" s="13">
        <f t="shared" si="210"/>
        <v>17.983875558264327</v>
      </c>
      <c r="M370" s="2"/>
      <c r="N370" s="2"/>
      <c r="O370" s="2"/>
    </row>
    <row r="371" spans="1:15">
      <c r="A371" s="5" t="s">
        <v>5</v>
      </c>
      <c r="B371" s="5" t="s">
        <v>6</v>
      </c>
      <c r="C371" s="5" t="s">
        <v>7</v>
      </c>
      <c r="D371" t="s">
        <v>126</v>
      </c>
      <c r="E371" t="str">
        <f t="shared" si="201"/>
        <v>PJ/yr.</v>
      </c>
      <c r="F371" s="13">
        <f t="shared" ref="F371:K371" si="211">F364*IFERROR(F143/F136,0)</f>
        <v>9.1017952712441073</v>
      </c>
      <c r="G371" s="13">
        <f t="shared" si="211"/>
        <v>10.369655236468864</v>
      </c>
      <c r="H371" s="13">
        <f t="shared" si="211"/>
        <v>11.265739209869244</v>
      </c>
      <c r="I371" s="13">
        <f t="shared" si="211"/>
        <v>10.348292267151363</v>
      </c>
      <c r="J371" s="13">
        <f t="shared" si="211"/>
        <v>8.477926304142013</v>
      </c>
      <c r="K371" s="13">
        <f t="shared" si="211"/>
        <v>6.5090776509063888</v>
      </c>
      <c r="M371" s="2"/>
      <c r="N371" s="2"/>
      <c r="O371" s="2"/>
    </row>
    <row r="372" spans="1:15">
      <c r="A372" s="5" t="s">
        <v>5</v>
      </c>
      <c r="B372" s="5" t="s">
        <v>6</v>
      </c>
      <c r="C372" s="5" t="s">
        <v>7</v>
      </c>
      <c r="D372" t="s">
        <v>127</v>
      </c>
      <c r="E372" t="str">
        <f t="shared" si="201"/>
        <v>PJ/yr.</v>
      </c>
      <c r="F372" s="13">
        <f t="shared" ref="F372:K372" si="212">F365*IFERROR(F144/F137,0)</f>
        <v>0</v>
      </c>
      <c r="G372" s="13">
        <f t="shared" si="212"/>
        <v>0</v>
      </c>
      <c r="H372" s="13">
        <f t="shared" si="212"/>
        <v>0</v>
      </c>
      <c r="I372" s="13">
        <f t="shared" si="212"/>
        <v>0</v>
      </c>
      <c r="J372" s="13">
        <f t="shared" si="212"/>
        <v>2.3689904372290536</v>
      </c>
      <c r="K372" s="13">
        <f t="shared" si="212"/>
        <v>6.508614709024962</v>
      </c>
    </row>
    <row r="373" spans="1:15">
      <c r="A373" s="5" t="s">
        <v>5</v>
      </c>
      <c r="B373" s="5" t="s">
        <v>6</v>
      </c>
      <c r="C373" s="5" t="s">
        <v>7</v>
      </c>
      <c r="D373" t="s">
        <v>128</v>
      </c>
      <c r="E373" t="str">
        <f t="shared" si="201"/>
        <v>PJ/yr.</v>
      </c>
      <c r="F373" s="13">
        <f t="shared" ref="F373:K373" si="213">F366*IFERROR(F145/F138,0)</f>
        <v>1.9205514612906529</v>
      </c>
      <c r="G373" s="13">
        <f t="shared" si="213"/>
        <v>1.8236782375101097</v>
      </c>
      <c r="H373" s="13">
        <f t="shared" si="213"/>
        <v>1.7526136484897918</v>
      </c>
      <c r="I373" s="13">
        <f t="shared" si="213"/>
        <v>1.8397437456787968</v>
      </c>
      <c r="J373" s="13">
        <f t="shared" si="213"/>
        <v>1.6367111079369474</v>
      </c>
      <c r="K373" s="13">
        <f t="shared" si="213"/>
        <v>1.8773314102128877</v>
      </c>
    </row>
    <row r="374" spans="1:15">
      <c r="A374" s="5" t="s">
        <v>5</v>
      </c>
      <c r="B374" s="5" t="s">
        <v>6</v>
      </c>
      <c r="C374" s="5" t="s">
        <v>7</v>
      </c>
      <c r="D374" t="s">
        <v>129</v>
      </c>
      <c r="E374" t="str">
        <f t="shared" si="201"/>
        <v>PJ/yr.</v>
      </c>
      <c r="F374" s="13">
        <f t="shared" ref="F374:K374" si="214">F367*IFERROR(F146/F139,0)</f>
        <v>0</v>
      </c>
      <c r="G374" s="13">
        <f t="shared" si="214"/>
        <v>0</v>
      </c>
      <c r="H374" s="13">
        <f t="shared" si="214"/>
        <v>0</v>
      </c>
      <c r="I374" s="13">
        <f t="shared" si="214"/>
        <v>0</v>
      </c>
      <c r="J374" s="13">
        <f t="shared" si="214"/>
        <v>0.26479897552905635</v>
      </c>
      <c r="K374" s="13">
        <f t="shared" si="214"/>
        <v>0.66838658164769871</v>
      </c>
    </row>
    <row r="375" spans="1:15">
      <c r="A375" s="5" t="s">
        <v>5</v>
      </c>
      <c r="B375" s="5" t="s">
        <v>6</v>
      </c>
      <c r="C375" s="5" t="s">
        <v>7</v>
      </c>
      <c r="D375" t="s">
        <v>130</v>
      </c>
      <c r="E375" t="str">
        <f t="shared" si="201"/>
        <v>PJ/yr.</v>
      </c>
      <c r="F375" s="13">
        <f>F361</f>
        <v>0.39444363698768825</v>
      </c>
      <c r="G375" s="13">
        <f t="shared" ref="G375:K375" si="215">G361</f>
        <v>0.36898040951346561</v>
      </c>
      <c r="H375" s="13">
        <f t="shared" si="215"/>
        <v>0.63365834939544552</v>
      </c>
      <c r="I375" s="13">
        <f t="shared" si="215"/>
        <v>0.69431001274691861</v>
      </c>
      <c r="J375" s="13">
        <f t="shared" si="215"/>
        <v>0.50543249926157496</v>
      </c>
      <c r="K375" s="13">
        <f t="shared" si="215"/>
        <v>0</v>
      </c>
    </row>
    <row r="376" spans="1:15">
      <c r="A376" s="5" t="s">
        <v>5</v>
      </c>
      <c r="B376" s="5" t="s">
        <v>6</v>
      </c>
      <c r="C376" s="5" t="s">
        <v>7</v>
      </c>
      <c r="D376" t="s">
        <v>131</v>
      </c>
      <c r="E376" t="str">
        <f t="shared" si="201"/>
        <v>PJ/yr.</v>
      </c>
      <c r="F376" s="13">
        <f t="shared" ref="F376:K376" si="216">F362</f>
        <v>0</v>
      </c>
      <c r="G376" s="13">
        <f t="shared" si="216"/>
        <v>0</v>
      </c>
      <c r="H376" s="13">
        <f t="shared" si="216"/>
        <v>0</v>
      </c>
      <c r="I376" s="13">
        <f t="shared" si="216"/>
        <v>0</v>
      </c>
      <c r="J376" s="13">
        <f t="shared" si="216"/>
        <v>0.36595027803452906</v>
      </c>
      <c r="K376" s="13">
        <f t="shared" si="216"/>
        <v>2.4204652064723886</v>
      </c>
    </row>
    <row r="377" spans="1:15">
      <c r="A377" s="5" t="s">
        <v>5</v>
      </c>
      <c r="B377" s="5" t="s">
        <v>6</v>
      </c>
      <c r="C377" s="5" t="s">
        <v>7</v>
      </c>
      <c r="D377" t="s">
        <v>888</v>
      </c>
      <c r="E377" t="str">
        <f t="shared" si="201"/>
        <v>PJ/yr.</v>
      </c>
      <c r="F377" s="13">
        <f>SUM(F378:F384)</f>
        <v>0.6037838753193242</v>
      </c>
      <c r="G377" s="13">
        <f t="shared" ref="G377:K377" si="217">SUM(G378:G384)</f>
        <v>0.57740408594525872</v>
      </c>
      <c r="H377" s="13">
        <f t="shared" si="217"/>
        <v>1.2029833409538444</v>
      </c>
      <c r="I377" s="13">
        <f t="shared" si="217"/>
        <v>1.743376800207312</v>
      </c>
      <c r="J377" s="13">
        <f t="shared" si="217"/>
        <v>4.2594362398774059</v>
      </c>
      <c r="K377" s="13">
        <f t="shared" si="217"/>
        <v>5.8299659873530612</v>
      </c>
    </row>
    <row r="378" spans="1:15">
      <c r="A378" s="5" t="s">
        <v>5</v>
      </c>
      <c r="B378" s="5" t="s">
        <v>6</v>
      </c>
      <c r="C378" s="5" t="s">
        <v>7</v>
      </c>
      <c r="D378" t="s">
        <v>132</v>
      </c>
      <c r="E378" t="str">
        <f t="shared" si="201"/>
        <v>PJ/yr.</v>
      </c>
      <c r="F378" s="13">
        <f>IFERROR(F150/SUM(F150,F205),0)*'[1]Electricity and CHPs_IN'!B$25</f>
        <v>0.42292459141971228</v>
      </c>
      <c r="G378" s="13">
        <f>IFERROR(G150/SUM(G150,G205),0)*'[1]Electricity and CHPs_IN'!C$25</f>
        <v>1.6699623841540153E-5</v>
      </c>
      <c r="H378" s="13">
        <f>IFERROR(H150/SUM(H150,H205),0)*'[1]Electricity and CHPs_IN'!D$25</f>
        <v>1.6144491954011064E-5</v>
      </c>
      <c r="I378" s="13">
        <f>IFERROR(I150/SUM(I150,I205),0)*'[1]Electricity and CHPs_IN'!E$25</f>
        <v>2.8689917364878715E-4</v>
      </c>
      <c r="J378" s="13">
        <f>IFERROR(J150/SUM(J150,J205),0)*'[1]Electricity and CHPs_IN'!F$25</f>
        <v>0.11360506303280928</v>
      </c>
      <c r="K378" s="13">
        <f>IFERROR(K150/SUM(K150,K205),0)*'[1]Electricity and CHPs_IN'!G$25</f>
        <v>0.4371070454400392</v>
      </c>
    </row>
    <row r="379" spans="1:15">
      <c r="A379" s="5" t="s">
        <v>5</v>
      </c>
      <c r="B379" s="5" t="s">
        <v>6</v>
      </c>
      <c r="C379" s="5" t="s">
        <v>7</v>
      </c>
      <c r="D379" t="s">
        <v>133</v>
      </c>
      <c r="E379" t="str">
        <f t="shared" si="201"/>
        <v>PJ/yr.</v>
      </c>
      <c r="F379" s="13">
        <f>'[1]Electricity and CHPs_IN'!B$31</f>
        <v>0</v>
      </c>
      <c r="G379" s="13">
        <f>'[1]Electricity and CHPs_IN'!C$31</f>
        <v>0</v>
      </c>
      <c r="H379" s="13">
        <f>'[1]Electricity and CHPs_IN'!D$31</f>
        <v>0</v>
      </c>
      <c r="I379" s="13">
        <f>'[1]Electricity and CHPs_IN'!E$31</f>
        <v>0</v>
      </c>
      <c r="J379" s="13">
        <f>'[1]Electricity and CHPs_IN'!F$31</f>
        <v>8.0909997045938915E-5</v>
      </c>
      <c r="K379" s="13">
        <f>'[1]Electricity and CHPs_IN'!G$31</f>
        <v>0.69680530517913652</v>
      </c>
    </row>
    <row r="380" spans="1:15">
      <c r="A380" s="5" t="s">
        <v>5</v>
      </c>
      <c r="B380" s="5" t="s">
        <v>6</v>
      </c>
      <c r="C380" s="5" t="s">
        <v>7</v>
      </c>
      <c r="D380" t="s">
        <v>134</v>
      </c>
      <c r="E380" t="str">
        <f t="shared" si="201"/>
        <v>PJ/yr.</v>
      </c>
      <c r="F380" s="13">
        <f>IFERROR(F152/SUM(F152,F281),0)*'[1]Electricity and CHPs_IN'!B$42</f>
        <v>0.18085928389961192</v>
      </c>
      <c r="G380" s="13">
        <f>IFERROR(G152/SUM(G152,G281),0)*'[1]Electricity and CHPs_IN'!C$42</f>
        <v>0.57738738632141717</v>
      </c>
      <c r="H380" s="13">
        <f>IFERROR(H152/SUM(H152,H281),0)*'[1]Electricity and CHPs_IN'!D$42</f>
        <v>1.2029671964618904</v>
      </c>
      <c r="I380" s="13">
        <f>IFERROR(I152/SUM(I152,I281),0)*'[1]Electricity and CHPs_IN'!E$42</f>
        <v>1.7430157017507482</v>
      </c>
      <c r="J380" s="13">
        <f>IFERROR(J152/SUM(J152,J281),0)*'[1]Electricity and CHPs_IN'!F$42</f>
        <v>1.5584572812215607</v>
      </c>
      <c r="K380" s="13">
        <f>IFERROR(K152/SUM(K152,K281),0)*'[1]Electricity and CHPs_IN'!G$42</f>
        <v>0.80287650377146424</v>
      </c>
    </row>
    <row r="381" spans="1:15">
      <c r="A381" s="5" t="s">
        <v>5</v>
      </c>
      <c r="B381" s="5" t="s">
        <v>6</v>
      </c>
      <c r="C381" s="5" t="s">
        <v>7</v>
      </c>
      <c r="D381" t="s">
        <v>135</v>
      </c>
      <c r="E381" t="str">
        <f t="shared" si="201"/>
        <v>PJ/yr.</v>
      </c>
      <c r="F381" s="13">
        <f>IFERROR(F153/SUM(F153,F282),0)*'[1]Electricity and CHPs_IN'!B$43</f>
        <v>0</v>
      </c>
      <c r="G381" s="13">
        <f>IFERROR(G153/SUM(G153,G282),0)*'[1]Electricity and CHPs_IN'!C$43</f>
        <v>0</v>
      </c>
      <c r="H381" s="13">
        <f>IFERROR(H153/SUM(H153,H282),0)*'[1]Electricity and CHPs_IN'!D$43</f>
        <v>0</v>
      </c>
      <c r="I381" s="13">
        <f>IFERROR(I153/SUM(I153,I282),0)*'[1]Electricity and CHPs_IN'!E$43</f>
        <v>0</v>
      </c>
      <c r="J381" s="13">
        <f>IFERROR(J153/SUM(J153,J282),0)*'[1]Electricity and CHPs_IN'!F$43</f>
        <v>2.5871328578793094</v>
      </c>
      <c r="K381" s="13">
        <f>IFERROR(K153/SUM(K153,K282),0)*'[1]Electricity and CHPs_IN'!G$43</f>
        <v>3.8930875319412919</v>
      </c>
    </row>
    <row r="382" spans="1:15">
      <c r="A382" s="5" t="s">
        <v>5</v>
      </c>
      <c r="B382" s="5" t="s">
        <v>6</v>
      </c>
      <c r="C382" s="5" t="s">
        <v>7</v>
      </c>
      <c r="D382" t="s">
        <v>136</v>
      </c>
      <c r="E382" t="str">
        <f t="shared" si="201"/>
        <v>PJ/yr.</v>
      </c>
      <c r="F382" s="13">
        <f>IFERROR(F154/SUM(F283,F154),0)*'[1]Electricity and CHPs_IN'!B$50</f>
        <v>0</v>
      </c>
      <c r="G382" s="13">
        <f>IFERROR(G154/SUM(G283,G154),0)*'[1]Electricity and CHPs_IN'!C$50</f>
        <v>0</v>
      </c>
      <c r="H382" s="13">
        <f>IFERROR(H154/SUM(H283,H154),0)*'[1]Electricity and CHPs_IN'!D$50</f>
        <v>0</v>
      </c>
      <c r="I382" s="13">
        <f>IFERROR(I154/SUM(I283,I154),0)*'[1]Electricity and CHPs_IN'!E$50</f>
        <v>2.5666571012988027E-5</v>
      </c>
      <c r="J382" s="13">
        <f>IFERROR(J154/SUM(J283,J154),0)*'[1]Electricity and CHPs_IN'!F$50</f>
        <v>5.5569868397135819E-5</v>
      </c>
      <c r="K382" s="13">
        <f>IFERROR(K154/SUM(K283,K154),0)*'[1]Electricity and CHPs_IN'!G$50</f>
        <v>4.2051064204798658E-5</v>
      </c>
    </row>
    <row r="383" spans="1:15">
      <c r="A383" s="5" t="s">
        <v>5</v>
      </c>
      <c r="B383" s="5" t="s">
        <v>6</v>
      </c>
      <c r="C383" s="5" t="s">
        <v>7</v>
      </c>
      <c r="D383" t="s">
        <v>137</v>
      </c>
      <c r="E383" t="str">
        <f t="shared" si="201"/>
        <v>PJ/yr.</v>
      </c>
      <c r="F383" s="13">
        <f>IFERROR(F155/SUM(F284,F155),0)*'[1]Electricity and CHPs_IN'!B$53</f>
        <v>0</v>
      </c>
      <c r="G383" s="13">
        <f>IFERROR(G155/SUM(G284,G155),0)*'[1]Electricity and CHPs_IN'!C$53</f>
        <v>0</v>
      </c>
      <c r="H383" s="13">
        <f>IFERROR(H155/SUM(H284,H155),0)*'[1]Electricity and CHPs_IN'!D$53</f>
        <v>0</v>
      </c>
      <c r="I383" s="13">
        <f>IFERROR(I155/SUM(I284,I155),0)*'[1]Electricity and CHPs_IN'!E$53</f>
        <v>0</v>
      </c>
      <c r="J383" s="13">
        <f>IFERROR(J155/SUM(J284,J155),0)*'[1]Electricity and CHPs_IN'!F$53</f>
        <v>0</v>
      </c>
      <c r="K383" s="13">
        <f>IFERROR(K155/SUM(K284,K155),0)*'[1]Electricity and CHPs_IN'!G$53</f>
        <v>0</v>
      </c>
    </row>
    <row r="384" spans="1:15">
      <c r="A384" s="5" t="s">
        <v>5</v>
      </c>
      <c r="B384" s="5" t="s">
        <v>6</v>
      </c>
      <c r="C384" s="5" t="s">
        <v>7</v>
      </c>
      <c r="D384" t="s">
        <v>297</v>
      </c>
      <c r="E384" t="str">
        <f t="shared" si="201"/>
        <v>PJ/yr.</v>
      </c>
      <c r="F384" s="13">
        <f>IFERROR(F156/SUM(F285,F156),0)*'[1]Electricity and CHPs_IN'!B$56</f>
        <v>0</v>
      </c>
      <c r="G384" s="13">
        <f>IFERROR(G156/SUM(G285,G156),0)*'[1]Electricity and CHPs_IN'!C$56</f>
        <v>0</v>
      </c>
      <c r="H384" s="13">
        <f>IFERROR(H156/SUM(H285,H156),0)*'[1]Electricity and CHPs_IN'!D$56</f>
        <v>0</v>
      </c>
      <c r="I384" s="13">
        <f>IFERROR(I156/SUM(I285,I156),0)*'[1]Electricity and CHPs_IN'!E$56</f>
        <v>4.853271190193822E-5</v>
      </c>
      <c r="J384" s="13">
        <f>IFERROR(J156/SUM(J285,J156),0)*'[1]Electricity and CHPs_IN'!F$56</f>
        <v>1.0455787828313996E-4</v>
      </c>
      <c r="K384" s="13">
        <f>IFERROR(K156/SUM(K285,K156),0)*'[1]Electricity and CHPs_IN'!G$56</f>
        <v>4.7549956924091793E-5</v>
      </c>
    </row>
    <row r="385" spans="1:11">
      <c r="A385" s="5" t="s">
        <v>5</v>
      </c>
      <c r="B385" s="5" t="s">
        <v>6</v>
      </c>
      <c r="C385" s="5" t="s">
        <v>7</v>
      </c>
      <c r="D385" t="s">
        <v>889</v>
      </c>
      <c r="E385" t="str">
        <f t="shared" si="201"/>
        <v>PJ/yr.</v>
      </c>
      <c r="F385" s="13">
        <f>F386</f>
        <v>0.52400000000000047</v>
      </c>
      <c r="G385" s="13">
        <f t="shared" ref="G385:K385" si="218">G386</f>
        <v>0.55079999487740994</v>
      </c>
      <c r="H385" s="13">
        <f t="shared" si="218"/>
        <v>1.9353729882399184</v>
      </c>
      <c r="I385" s="13">
        <f t="shared" si="218"/>
        <v>6.3940299883357739</v>
      </c>
      <c r="J385" s="13">
        <f t="shared" si="218"/>
        <v>17.980165940397701</v>
      </c>
      <c r="K385" s="13">
        <f t="shared" si="218"/>
        <v>35.960145584703454</v>
      </c>
    </row>
    <row r="386" spans="1:11">
      <c r="A386" s="5" t="s">
        <v>5</v>
      </c>
      <c r="B386" s="5" t="s">
        <v>6</v>
      </c>
      <c r="C386" s="5" t="s">
        <v>7</v>
      </c>
      <c r="D386" t="s">
        <v>138</v>
      </c>
      <c r="E386" t="str">
        <f t="shared" si="201"/>
        <v>PJ/yr.</v>
      </c>
      <c r="F386" s="13">
        <f>'[1]Electricity and CHPs_IN'!B$33</f>
        <v>0.52400000000000047</v>
      </c>
      <c r="G386" s="13">
        <f>'[1]Electricity and CHPs_IN'!C$33</f>
        <v>0.55079999487740994</v>
      </c>
      <c r="H386" s="13">
        <f>'[1]Electricity and CHPs_IN'!D$33</f>
        <v>1.9353729882399184</v>
      </c>
      <c r="I386" s="13">
        <f>'[1]Electricity and CHPs_IN'!E$33</f>
        <v>6.3940299883357739</v>
      </c>
      <c r="J386" s="13">
        <f>'[1]Electricity and CHPs_IN'!F$33</f>
        <v>17.980165940397701</v>
      </c>
      <c r="K386" s="13">
        <f>'[1]Electricity and CHPs_IN'!G$33</f>
        <v>35.960145584703454</v>
      </c>
    </row>
    <row r="387" spans="1:11">
      <c r="A387" s="5" t="s">
        <v>5</v>
      </c>
      <c r="B387" s="5" t="s">
        <v>6</v>
      </c>
      <c r="C387" s="5" t="s">
        <v>7</v>
      </c>
      <c r="D387" t="s">
        <v>890</v>
      </c>
      <c r="E387" t="str">
        <f t="shared" si="201"/>
        <v>PJ/yr.</v>
      </c>
      <c r="F387" s="13">
        <f>SUM(F388:F392)</f>
        <v>9.3550000000000111</v>
      </c>
      <c r="G387" s="13">
        <f t="shared" ref="G387:K387" si="219">SUM(G388:G392)</f>
        <v>13.361083208983221</v>
      </c>
      <c r="H387" s="13">
        <f t="shared" si="219"/>
        <v>16.083419510350371</v>
      </c>
      <c r="I387" s="13">
        <f t="shared" si="219"/>
        <v>28.453918284622503</v>
      </c>
      <c r="J387" s="13">
        <f t="shared" si="219"/>
        <v>51.587496703212537</v>
      </c>
      <c r="K387" s="13">
        <f t="shared" si="219"/>
        <v>77.65627470191346</v>
      </c>
    </row>
    <row r="388" spans="1:11">
      <c r="A388" s="5" t="s">
        <v>5</v>
      </c>
      <c r="B388" s="5" t="s">
        <v>6</v>
      </c>
      <c r="C388" s="5" t="s">
        <v>7</v>
      </c>
      <c r="D388" t="s">
        <v>139</v>
      </c>
      <c r="E388" t="str">
        <f t="shared" si="201"/>
        <v>PJ/yr.</v>
      </c>
      <c r="F388" s="13">
        <f>'[1]Electricity and CHPs_IN'!B34</f>
        <v>0</v>
      </c>
      <c r="G388" s="13">
        <f>'[1]Electricity and CHPs_IN'!C34</f>
        <v>0</v>
      </c>
      <c r="H388" s="13">
        <f>'[1]Electricity and CHPs_IN'!D34</f>
        <v>0.14856511313790149</v>
      </c>
      <c r="I388" s="13">
        <f>'[1]Electricity and CHPs_IN'!E34</f>
        <v>0.23805623020223662</v>
      </c>
      <c r="J388" s="13">
        <f>'[1]Electricity and CHPs_IN'!F34</f>
        <v>1.4214467923366068</v>
      </c>
      <c r="K388" s="13">
        <f>'[1]Electricity and CHPs_IN'!G34</f>
        <v>5.8672630348119483</v>
      </c>
    </row>
    <row r="389" spans="1:11">
      <c r="A389" s="5" t="s">
        <v>5</v>
      </c>
      <c r="B389" s="5" t="s">
        <v>6</v>
      </c>
      <c r="C389" s="5" t="s">
        <v>7</v>
      </c>
      <c r="D389" t="s">
        <v>140</v>
      </c>
      <c r="E389" t="str">
        <f t="shared" si="201"/>
        <v>PJ/yr.</v>
      </c>
      <c r="F389" s="13">
        <f>'[1]Electricity and CHPs_IN'!B35</f>
        <v>3.517953999707534</v>
      </c>
      <c r="G389" s="13">
        <f>'[1]Electricity and CHPs_IN'!C35</f>
        <v>5.2836844775526357</v>
      </c>
      <c r="H389" s="13">
        <f>'[1]Electricity and CHPs_IN'!D35</f>
        <v>6.9760031413777854</v>
      </c>
      <c r="I389" s="13">
        <f>'[1]Electricity and CHPs_IN'!E35</f>
        <v>17.321232970106955</v>
      </c>
      <c r="J389" s="13">
        <f>'[1]Electricity and CHPs_IN'!F35</f>
        <v>35.524595502046708</v>
      </c>
      <c r="K389" s="13">
        <f>'[1]Electricity and CHPs_IN'!G35</f>
        <v>52.112117460693973</v>
      </c>
    </row>
    <row r="390" spans="1:11">
      <c r="A390" s="5" t="s">
        <v>5</v>
      </c>
      <c r="B390" s="5" t="s">
        <v>6</v>
      </c>
      <c r="C390" s="5" t="s">
        <v>7</v>
      </c>
      <c r="D390" t="s">
        <v>141</v>
      </c>
      <c r="E390" t="str">
        <f t="shared" si="201"/>
        <v>PJ/yr.</v>
      </c>
      <c r="F390" s="13">
        <f>'[1]Electricity and CHPs_IN'!B36</f>
        <v>2.1349390887346629</v>
      </c>
      <c r="G390" s="13">
        <f>'[1]Electricity and CHPs_IN'!C36</f>
        <v>2.8857414319269008</v>
      </c>
      <c r="H390" s="13">
        <f>'[1]Electricity and CHPs_IN'!D36</f>
        <v>3.4417841859344631</v>
      </c>
      <c r="I390" s="13">
        <f>'[1]Electricity and CHPs_IN'!E36</f>
        <v>4.1854666701866581</v>
      </c>
      <c r="J390" s="13">
        <f>'[1]Electricity and CHPs_IN'!F36</f>
        <v>5.6249100911044811</v>
      </c>
      <c r="K390" s="13">
        <f>'[1]Electricity and CHPs_IN'!G36</f>
        <v>7.5594113678802097</v>
      </c>
    </row>
    <row r="391" spans="1:11">
      <c r="A391" s="5" t="s">
        <v>5</v>
      </c>
      <c r="B391" s="5" t="s">
        <v>6</v>
      </c>
      <c r="C391" s="5" t="s">
        <v>7</v>
      </c>
      <c r="D391" t="s">
        <v>142</v>
      </c>
      <c r="E391" t="str">
        <f t="shared" si="201"/>
        <v>PJ/yr.</v>
      </c>
      <c r="F391" s="13">
        <f>'[1]Electricity and CHPs_IN'!B37</f>
        <v>0.86248322578584768</v>
      </c>
      <c r="G391" s="13">
        <f>'[1]Electricity and CHPs_IN'!C37</f>
        <v>1.4310617999735702</v>
      </c>
      <c r="H391" s="13">
        <f>'[1]Electricity and CHPs_IN'!D37</f>
        <v>1.6425689397440268</v>
      </c>
      <c r="I391" s="13">
        <f>'[1]Electricity and CHPs_IN'!E37</f>
        <v>1.9974865246625577</v>
      </c>
      <c r="J391" s="13">
        <f>'[1]Electricity and CHPs_IN'!F37</f>
        <v>2.6844548398037285</v>
      </c>
      <c r="K391" s="13">
        <f>'[1]Electricity and CHPs_IN'!G37</f>
        <v>3.60768296835061</v>
      </c>
    </row>
    <row r="392" spans="1:11">
      <c r="A392" s="5" t="s">
        <v>5</v>
      </c>
      <c r="B392" s="5" t="s">
        <v>6</v>
      </c>
      <c r="C392" s="5" t="s">
        <v>7</v>
      </c>
      <c r="D392" t="s">
        <v>143</v>
      </c>
      <c r="E392" t="str">
        <f t="shared" si="201"/>
        <v>PJ/yr.</v>
      </c>
      <c r="F392" s="13">
        <f>'[1]Electricity and CHPs_IN'!B38</f>
        <v>2.8396236857719668</v>
      </c>
      <c r="G392" s="13">
        <f>'[1]Electricity and CHPs_IN'!C38</f>
        <v>3.760595499530115</v>
      </c>
      <c r="H392" s="13">
        <f>'[1]Electricity and CHPs_IN'!D38</f>
        <v>3.8744981301561947</v>
      </c>
      <c r="I392" s="13">
        <f>'[1]Electricity and CHPs_IN'!E38</f>
        <v>4.7116758894640949</v>
      </c>
      <c r="J392" s="13">
        <f>'[1]Electricity and CHPs_IN'!F38</f>
        <v>6.3320894779210102</v>
      </c>
      <c r="K392" s="13">
        <f>'[1]Electricity and CHPs_IN'!G38</f>
        <v>8.5097998701767015</v>
      </c>
    </row>
    <row r="393" spans="1:11">
      <c r="A393" s="5" t="s">
        <v>5</v>
      </c>
      <c r="B393" s="5" t="s">
        <v>6</v>
      </c>
      <c r="C393" s="5" t="s">
        <v>7</v>
      </c>
      <c r="D393" t="s">
        <v>891</v>
      </c>
      <c r="E393" t="str">
        <f t="shared" si="201"/>
        <v>PJ/yr.</v>
      </c>
      <c r="F393" s="13">
        <f>'[1]Electricity and CHPs'!B252</f>
        <v>0</v>
      </c>
      <c r="G393" s="13">
        <f>'[1]Electricity and CHPs'!C252</f>
        <v>0</v>
      </c>
      <c r="H393" s="13">
        <f>'[1]Electricity and CHPs'!D252</f>
        <v>0</v>
      </c>
      <c r="I393" s="13">
        <f>'[1]Electricity and CHPs'!E252</f>
        <v>0</v>
      </c>
      <c r="J393" s="13">
        <f>'[1]Electricity and CHPs'!F252</f>
        <v>0</v>
      </c>
      <c r="K393" s="13">
        <f>'[1]Electricity and CHPs'!G252</f>
        <v>0</v>
      </c>
    </row>
    <row r="394" spans="1:11">
      <c r="A394" s="5" t="s">
        <v>5</v>
      </c>
      <c r="B394" s="5" t="s">
        <v>6</v>
      </c>
      <c r="C394" s="5" t="s">
        <v>7</v>
      </c>
      <c r="D394" t="s">
        <v>144</v>
      </c>
      <c r="E394" t="str">
        <f t="shared" si="201"/>
        <v>PJ/yr.</v>
      </c>
      <c r="F394" s="13">
        <f>'[1]Electricity and CHPs_IN'!B$32</f>
        <v>0</v>
      </c>
      <c r="G394" s="13">
        <f>'[1]Electricity and CHPs_IN'!C$32</f>
        <v>0</v>
      </c>
      <c r="H394" s="13">
        <f>'[1]Electricity and CHPs_IN'!D$32</f>
        <v>0</v>
      </c>
      <c r="I394" s="13">
        <f>'[1]Electricity and CHPs_IN'!E$32</f>
        <v>0</v>
      </c>
      <c r="J394" s="13">
        <f>'[1]Electricity and CHPs_IN'!F$32</f>
        <v>3.8939335697381681E-3</v>
      </c>
      <c r="K394" s="13">
        <f>'[1]Electricity and CHPs_IN'!G$32</f>
        <v>21.361180210735661</v>
      </c>
    </row>
    <row r="395" spans="1:11">
      <c r="A395" s="5" t="s">
        <v>5</v>
      </c>
      <c r="B395" s="5" t="s">
        <v>6</v>
      </c>
      <c r="C395" s="5" t="s">
        <v>7</v>
      </c>
      <c r="D395" t="s">
        <v>892</v>
      </c>
      <c r="E395" t="str">
        <f t="shared" si="201"/>
        <v>PJ/yr.</v>
      </c>
      <c r="F395" s="13">
        <f t="shared" ref="F395" si="220">SUM(F396:F398)</f>
        <v>0</v>
      </c>
      <c r="G395" s="13">
        <f t="shared" ref="G395" si="221">SUM(G396:G398)</f>
        <v>0</v>
      </c>
      <c r="H395" s="13">
        <f t="shared" ref="H395" si="222">SUM(H396:H398)</f>
        <v>0</v>
      </c>
      <c r="I395" s="13">
        <f t="shared" ref="I395" si="223">SUM(I396:I398)</f>
        <v>1.5151101665865759E-4</v>
      </c>
      <c r="J395" s="13">
        <f t="shared" ref="J395" si="224">SUM(J396:J398)</f>
        <v>6.160043502194297E-4</v>
      </c>
      <c r="K395" s="13">
        <f t="shared" ref="K395" si="225">SUM(K396:K398)</f>
        <v>0.5708926712080149</v>
      </c>
    </row>
    <row r="396" spans="1:11">
      <c r="A396" s="5" t="s">
        <v>5</v>
      </c>
      <c r="B396" s="5" t="s">
        <v>6</v>
      </c>
      <c r="C396" s="5" t="s">
        <v>7</v>
      </c>
      <c r="D396" t="s">
        <v>145</v>
      </c>
      <c r="E396" t="str">
        <f t="shared" si="201"/>
        <v>PJ/yr.</v>
      </c>
      <c r="F396" s="13">
        <f>IFERROR(F168/SUM(F168,F207),0)*'[1]Electricity and CHPs_IN'!B$30</f>
        <v>0</v>
      </c>
      <c r="G396" s="13">
        <f>IFERROR(G168/SUM(G168,G207),0)*'[1]Electricity and CHPs_IN'!C$30</f>
        <v>0</v>
      </c>
      <c r="H396" s="13">
        <f>IFERROR(H168/SUM(H168,H207),0)*'[1]Electricity and CHPs_IN'!D$30</f>
        <v>0</v>
      </c>
      <c r="I396" s="13">
        <f>IFERROR(I168/SUM(I168,I207),0)*'[1]Electricity and CHPs_IN'!E$30</f>
        <v>0</v>
      </c>
      <c r="J396" s="13">
        <f>IFERROR(J168/SUM(J168,J207),0)*'[1]Electricity and CHPs_IN'!F$30</f>
        <v>1.621866190466014E-5</v>
      </c>
      <c r="K396" s="13">
        <f>IFERROR(K168/SUM(K168,K207),0)*'[1]Electricity and CHPs_IN'!G$30</f>
        <v>5.0346486794720639E-2</v>
      </c>
    </row>
    <row r="397" spans="1:11">
      <c r="A397" s="5" t="s">
        <v>5</v>
      </c>
      <c r="B397" s="5" t="s">
        <v>6</v>
      </c>
      <c r="C397" s="5" t="s">
        <v>7</v>
      </c>
      <c r="D397" t="s">
        <v>146</v>
      </c>
      <c r="E397" t="str">
        <f t="shared" si="201"/>
        <v>PJ/yr.</v>
      </c>
      <c r="F397" s="13">
        <f>IFERROR(F169/SUM(F169,F287),0)*'[1]Electricity and CHPs_IN'!B$46</f>
        <v>0</v>
      </c>
      <c r="G397" s="13">
        <f>IFERROR(G169/SUM(G169,G287),0)*'[1]Electricity and CHPs_IN'!C$46</f>
        <v>0</v>
      </c>
      <c r="H397" s="13">
        <f>IFERROR(H169/SUM(H169,H287),0)*'[1]Electricity and CHPs_IN'!D$46</f>
        <v>0</v>
      </c>
      <c r="I397" s="13">
        <f>IFERROR(I169/SUM(I169,I287),0)*'[1]Electricity and CHPs_IN'!E$46</f>
        <v>1.1769991688333209E-4</v>
      </c>
      <c r="J397" s="13">
        <f>IFERROR(J169/SUM(J169,J287),0)*'[1]Electricity and CHPs_IN'!F$46</f>
        <v>5.4924182869106684E-4</v>
      </c>
      <c r="K397" s="13">
        <f>IFERROR(K169/SUM(K169,K287),0)*'[1]Electricity and CHPs_IN'!G$46</f>
        <v>0.52048029984637489</v>
      </c>
    </row>
    <row r="398" spans="1:11">
      <c r="A398" s="5" t="s">
        <v>5</v>
      </c>
      <c r="B398" s="5" t="s">
        <v>6</v>
      </c>
      <c r="C398" s="5" t="s">
        <v>7</v>
      </c>
      <c r="D398" t="s">
        <v>239</v>
      </c>
      <c r="E398" t="str">
        <f t="shared" si="201"/>
        <v>PJ/yr.</v>
      </c>
      <c r="F398" s="13">
        <f>IFERROR(F170/SUM(F170,F288),0)*'[1]Electricity and CHPs_IN'!B$57</f>
        <v>0</v>
      </c>
      <c r="G398" s="13">
        <f>IFERROR(G170/SUM(G170,G288),0)*'[1]Electricity and CHPs_IN'!C$57</f>
        <v>0</v>
      </c>
      <c r="H398" s="13">
        <f>IFERROR(H170/SUM(H170,H288),0)*'[1]Electricity and CHPs_IN'!D$57</f>
        <v>0</v>
      </c>
      <c r="I398" s="13">
        <f>IFERROR(I170/SUM(I170,I288),0)*'[1]Electricity and CHPs_IN'!E$57</f>
        <v>3.3811099775325506E-5</v>
      </c>
      <c r="J398" s="13">
        <f>IFERROR(J170/SUM(J170,J288),0)*'[1]Electricity and CHPs_IN'!F$57</f>
        <v>5.0543859623702726E-5</v>
      </c>
      <c r="K398" s="13">
        <f>IFERROR(K170/SUM(K170,K288),0)*'[1]Electricity and CHPs_IN'!G$57</f>
        <v>6.5884566919373908E-5</v>
      </c>
    </row>
    <row r="399" spans="1:11">
      <c r="A399" s="5" t="s">
        <v>5</v>
      </c>
      <c r="B399" s="5" t="s">
        <v>6</v>
      </c>
      <c r="C399" s="5" t="s">
        <v>7</v>
      </c>
      <c r="D399" t="s">
        <v>893</v>
      </c>
      <c r="E399" t="str">
        <f t="shared" si="201"/>
        <v>PJ/yr.</v>
      </c>
      <c r="F399" s="13">
        <f>SUM(F400:F406)</f>
        <v>0.13531550257984781</v>
      </c>
      <c r="G399" s="13">
        <f t="shared" ref="G399:K399" si="226">SUM(G400:G406)</f>
        <v>8.9549885716955404E-3</v>
      </c>
      <c r="H399" s="13">
        <f t="shared" si="226"/>
        <v>5.4927180851585621E-2</v>
      </c>
      <c r="I399" s="13">
        <f t="shared" si="226"/>
        <v>4.7276855949149902E-3</v>
      </c>
      <c r="J399" s="13">
        <f t="shared" si="226"/>
        <v>0.1801737513943984</v>
      </c>
      <c r="K399" s="13">
        <f t="shared" si="226"/>
        <v>0.59033899560474501</v>
      </c>
    </row>
    <row r="400" spans="1:11">
      <c r="A400" s="5" t="s">
        <v>5</v>
      </c>
      <c r="B400" s="5" t="s">
        <v>6</v>
      </c>
      <c r="C400" s="5" t="s">
        <v>7</v>
      </c>
      <c r="D400" t="s">
        <v>147</v>
      </c>
      <c r="E400" t="str">
        <f t="shared" si="201"/>
        <v>PJ/yr.</v>
      </c>
      <c r="F400" s="13">
        <f>'[1]Electricity and CHPs_IN'!B63</f>
        <v>0.13500064509452001</v>
      </c>
      <c r="G400" s="13">
        <f>'[1]Electricity and CHPs_IN'!C63</f>
        <v>8.6745466772002004E-3</v>
      </c>
      <c r="H400" s="13">
        <f>'[1]Electricity and CHPs_IN'!D63</f>
        <v>5.4580855465608029E-2</v>
      </c>
      <c r="I400" s="13">
        <f>'[1]Electricity and CHPs_IN'!E63</f>
        <v>2.7577479661993559E-5</v>
      </c>
      <c r="J400" s="13">
        <f>'[1]Electricity and CHPs_IN'!F63</f>
        <v>1.0732094498576887E-3</v>
      </c>
      <c r="K400" s="13">
        <f>'[1]Electricity and CHPs_IN'!G63</f>
        <v>6.2119641908693374E-2</v>
      </c>
    </row>
    <row r="401" spans="1:19">
      <c r="A401" s="5" t="s">
        <v>5</v>
      </c>
      <c r="B401" s="5" t="s">
        <v>6</v>
      </c>
      <c r="C401" s="5" t="s">
        <v>7</v>
      </c>
      <c r="D401" t="s">
        <v>148</v>
      </c>
      <c r="E401" t="str">
        <f t="shared" si="201"/>
        <v>PJ/yr.</v>
      </c>
      <c r="F401" s="13">
        <f>'[1]Electricity and CHPs_IN'!B64</f>
        <v>8.1691981135596488E-5</v>
      </c>
      <c r="G401" s="13">
        <f>'[1]Electricity and CHPs_IN'!C64</f>
        <v>6.3598204920972819E-5</v>
      </c>
      <c r="H401" s="13">
        <f>'[1]Electricity and CHPs_IN'!D64</f>
        <v>8.2037017059181217E-5</v>
      </c>
      <c r="I401" s="13">
        <f>'[1]Electricity and CHPs_IN'!E64</f>
        <v>0</v>
      </c>
      <c r="J401" s="13">
        <f>'[1]Electricity and CHPs_IN'!F64</f>
        <v>0</v>
      </c>
      <c r="K401" s="13">
        <f>'[1]Electricity and CHPs_IN'!G64</f>
        <v>0</v>
      </c>
    </row>
    <row r="402" spans="1:19">
      <c r="A402" s="5" t="s">
        <v>5</v>
      </c>
      <c r="B402" s="5" t="s">
        <v>6</v>
      </c>
      <c r="C402" s="5" t="s">
        <v>7</v>
      </c>
      <c r="D402" t="s">
        <v>149</v>
      </c>
      <c r="E402" t="str">
        <f t="shared" si="201"/>
        <v>PJ/yr.</v>
      </c>
      <c r="F402" s="13">
        <f>'[1]Electricity and CHPs_IN'!B65</f>
        <v>7.2075429127109854E-5</v>
      </c>
      <c r="G402" s="13">
        <f>'[1]Electricity and CHPs_IN'!C65</f>
        <v>5.6450318887533272E-5</v>
      </c>
      <c r="H402" s="13">
        <f>'[1]Electricity and CHPs_IN'!D65</f>
        <v>7.2578015243697833E-5</v>
      </c>
      <c r="I402" s="13">
        <f>'[1]Electricity and CHPs_IN'!E65</f>
        <v>0</v>
      </c>
      <c r="J402" s="13">
        <f>'[1]Electricity and CHPs_IN'!F65</f>
        <v>0</v>
      </c>
      <c r="K402" s="13">
        <f>'[1]Electricity and CHPs_IN'!G65</f>
        <v>0</v>
      </c>
    </row>
    <row r="403" spans="1:19">
      <c r="A403" s="5" t="s">
        <v>5</v>
      </c>
      <c r="B403" s="5" t="s">
        <v>6</v>
      </c>
      <c r="C403" s="5" t="s">
        <v>7</v>
      </c>
      <c r="D403" t="s">
        <v>150</v>
      </c>
      <c r="E403" t="str">
        <f t="shared" si="201"/>
        <v>PJ/yr.</v>
      </c>
      <c r="F403" s="13">
        <f>'[1]Electricity and CHPs_IN'!B66</f>
        <v>2.4843803158007023E-5</v>
      </c>
      <c r="G403" s="13">
        <f>'[1]Electricity and CHPs_IN'!C66</f>
        <v>2.4729250569729424E-5</v>
      </c>
      <c r="H403" s="13">
        <f>'[1]Electricity and CHPs_IN'!D66</f>
        <v>3.6830578928856688E-5</v>
      </c>
      <c r="I403" s="13">
        <f>'[1]Electricity and CHPs_IN'!E66</f>
        <v>8.9929729475121285E-5</v>
      </c>
      <c r="J403" s="13">
        <f>'[1]Electricity and CHPs_IN'!F66</f>
        <v>1.6580048180792845E-4</v>
      </c>
      <c r="K403" s="13">
        <f>'[1]Electricity and CHPs_IN'!G66</f>
        <v>1.2109542603852513E-4</v>
      </c>
    </row>
    <row r="404" spans="1:19">
      <c r="A404" s="5" t="s">
        <v>5</v>
      </c>
      <c r="B404" s="5" t="s">
        <v>6</v>
      </c>
      <c r="C404" s="5" t="s">
        <v>7</v>
      </c>
      <c r="D404" t="s">
        <v>151</v>
      </c>
      <c r="E404" t="str">
        <f t="shared" si="201"/>
        <v>PJ/yr.</v>
      </c>
      <c r="F404" s="13">
        <f>'[1]Electricity and CHPs_IN'!B67</f>
        <v>5.8682337642022771E-5</v>
      </c>
      <c r="G404" s="13">
        <f>'[1]Electricity and CHPs_IN'!C67</f>
        <v>5.8452547611142374E-5</v>
      </c>
      <c r="H404" s="13">
        <f>'[1]Electricity and CHPs_IN'!D67</f>
        <v>6.5350667420633615E-5</v>
      </c>
      <c r="I404" s="13">
        <f>'[1]Electricity and CHPs_IN'!E67</f>
        <v>2.3587442251614384E-3</v>
      </c>
      <c r="J404" s="13">
        <f>'[1]Electricity and CHPs_IN'!F67</f>
        <v>1.4376112443492999E-2</v>
      </c>
      <c r="K404" s="13">
        <f>'[1]Electricity and CHPs_IN'!G67</f>
        <v>0.1110644498188362</v>
      </c>
    </row>
    <row r="405" spans="1:19">
      <c r="A405" s="5" t="s">
        <v>5</v>
      </c>
      <c r="B405" s="5" t="s">
        <v>6</v>
      </c>
      <c r="C405" s="5" t="s">
        <v>7</v>
      </c>
      <c r="D405" t="s">
        <v>152</v>
      </c>
      <c r="E405" t="str">
        <f t="shared" si="201"/>
        <v>PJ/yr.</v>
      </c>
      <c r="F405" s="13">
        <f>'[1]Electricity and CHPs_IN'!B68</f>
        <v>5.2620388022699089E-5</v>
      </c>
      <c r="G405" s="13">
        <f>'[1]Electricity and CHPs_IN'!C68</f>
        <v>5.2382707406031404E-5</v>
      </c>
      <c r="H405" s="13">
        <f>'[1]Electricity and CHPs_IN'!D68</f>
        <v>5.2556143495587106E-5</v>
      </c>
      <c r="I405" s="13">
        <f>'[1]Electricity and CHPs_IN'!E68</f>
        <v>2.161592932783344E-3</v>
      </c>
      <c r="J405" s="13">
        <f>'[1]Electricity and CHPs_IN'!F68</f>
        <v>0.1644131134011988</v>
      </c>
      <c r="K405" s="13">
        <f>'[1]Electricity and CHPs_IN'!G68</f>
        <v>0.4169387464981269</v>
      </c>
    </row>
    <row r="406" spans="1:19">
      <c r="A406" s="5" t="s">
        <v>5</v>
      </c>
      <c r="B406" s="5" t="s">
        <v>6</v>
      </c>
      <c r="C406" s="5" t="s">
        <v>7</v>
      </c>
      <c r="D406" t="s">
        <v>153</v>
      </c>
      <c r="E406" t="str">
        <f t="shared" si="201"/>
        <v>PJ/yr.</v>
      </c>
      <c r="F406" s="13">
        <f>'[1]Electricity and CHPs_IN'!B69</f>
        <v>2.4943546242377721E-5</v>
      </c>
      <c r="G406" s="13">
        <f>'[1]Electricity and CHPs_IN'!C69</f>
        <v>2.4828865099931026E-5</v>
      </c>
      <c r="H406" s="13">
        <f>'[1]Electricity and CHPs_IN'!D69</f>
        <v>3.6972963829639741E-5</v>
      </c>
      <c r="I406" s="13">
        <f>'[1]Electricity and CHPs_IN'!E69</f>
        <v>8.9841227833092503E-5</v>
      </c>
      <c r="J406" s="13">
        <f>'[1]Electricity and CHPs_IN'!F69</f>
        <v>1.4551561804100044E-4</v>
      </c>
      <c r="K406" s="13">
        <f>'[1]Electricity and CHPs_IN'!G69</f>
        <v>9.5061953049976072E-5</v>
      </c>
    </row>
    <row r="407" spans="1:19">
      <c r="A407" s="5" t="s">
        <v>5</v>
      </c>
      <c r="B407" s="8" t="str">
        <f t="shared" ref="B407:C407" si="227">B406</f>
        <v>SPS1</v>
      </c>
      <c r="C407" s="1" t="str">
        <f t="shared" si="227"/>
        <v>CH</v>
      </c>
      <c r="D407" s="1" t="s">
        <v>192</v>
      </c>
      <c r="E407" s="1" t="str">
        <f>E395</f>
        <v>PJ/yr.</v>
      </c>
      <c r="F407" s="16">
        <f>F408+F461</f>
        <v>56.134733007803959</v>
      </c>
      <c r="G407" s="16">
        <f t="shared" ref="G407:K407" si="228">G408+G461</f>
        <v>50.559810220020118</v>
      </c>
      <c r="H407" s="16">
        <f t="shared" si="228"/>
        <v>51.359400884740879</v>
      </c>
      <c r="I407" s="16">
        <f t="shared" si="228"/>
        <v>53.245103649174233</v>
      </c>
      <c r="J407" s="16">
        <f t="shared" si="228"/>
        <v>56.046689577611346</v>
      </c>
      <c r="K407" s="16">
        <f t="shared" si="228"/>
        <v>69.0664889026271</v>
      </c>
      <c r="M407" s="9"/>
      <c r="N407" s="9"/>
      <c r="O407" s="9"/>
      <c r="P407" s="9"/>
      <c r="Q407" s="9"/>
      <c r="R407" s="9"/>
      <c r="S407" s="9"/>
    </row>
    <row r="408" spans="1:19">
      <c r="A408" s="5" t="s">
        <v>5</v>
      </c>
      <c r="B408" s="5" t="s">
        <v>6</v>
      </c>
      <c r="C408" s="5" t="s">
        <v>7</v>
      </c>
      <c r="D408" t="s">
        <v>894</v>
      </c>
      <c r="E408" t="str">
        <f>E396</f>
        <v>PJ/yr.</v>
      </c>
      <c r="F408" s="13">
        <f t="shared" ref="F408:K408" si="229">F409+F438</f>
        <v>47.827260129291552</v>
      </c>
      <c r="G408" s="13">
        <f t="shared" si="229"/>
        <v>42.019926587777292</v>
      </c>
      <c r="H408" s="13">
        <f t="shared" si="229"/>
        <v>40.21377605712653</v>
      </c>
      <c r="I408" s="13">
        <f t="shared" si="229"/>
        <v>40.983530155971359</v>
      </c>
      <c r="J408" s="13">
        <f t="shared" si="229"/>
        <v>39.369567779329174</v>
      </c>
      <c r="K408" s="13">
        <f t="shared" si="229"/>
        <v>44.162839164088751</v>
      </c>
      <c r="M408" s="9"/>
      <c r="N408" s="9"/>
      <c r="O408" s="9"/>
      <c r="P408" s="9"/>
      <c r="Q408" s="9"/>
      <c r="R408" s="9"/>
      <c r="S408" s="9"/>
    </row>
    <row r="409" spans="1:19">
      <c r="A409" s="5" t="s">
        <v>5</v>
      </c>
      <c r="B409" s="5" t="s">
        <v>6</v>
      </c>
      <c r="C409" s="5" t="s">
        <v>7</v>
      </c>
      <c r="D409" t="s">
        <v>895</v>
      </c>
      <c r="E409" t="str">
        <f>E393</f>
        <v>PJ/yr.</v>
      </c>
      <c r="F409" s="13">
        <f>SUM(F410,F416,F425,F434,F436)</f>
        <v>39.504665005857284</v>
      </c>
      <c r="G409" s="13">
        <f t="shared" ref="G409:K409" si="230">SUM(G410,G416,G425,G434,G436)</f>
        <v>33.847831410767064</v>
      </c>
      <c r="H409" s="13">
        <f t="shared" si="230"/>
        <v>32.262074444892583</v>
      </c>
      <c r="I409" s="13">
        <f t="shared" si="230"/>
        <v>33.620842834676402</v>
      </c>
      <c r="J409" s="13">
        <f t="shared" si="230"/>
        <v>33.21906275763348</v>
      </c>
      <c r="K409" s="13">
        <f t="shared" si="230"/>
        <v>37.778340740042054</v>
      </c>
    </row>
    <row r="410" spans="1:19">
      <c r="A410" s="5" t="s">
        <v>5</v>
      </c>
      <c r="B410" s="5" t="s">
        <v>6</v>
      </c>
      <c r="C410" s="5" t="s">
        <v>7</v>
      </c>
      <c r="D410" t="s">
        <v>896</v>
      </c>
      <c r="E410" t="s">
        <v>8</v>
      </c>
      <c r="F410" s="13">
        <f>F411</f>
        <v>1.3057455734056807E-2</v>
      </c>
      <c r="G410" s="13">
        <f t="shared" ref="G410:K410" si="231">G411</f>
        <v>0</v>
      </c>
      <c r="H410" s="13">
        <f t="shared" si="231"/>
        <v>4.1534269364070842E-4</v>
      </c>
      <c r="I410" s="13">
        <f t="shared" si="231"/>
        <v>6.903235951005405E-5</v>
      </c>
      <c r="J410" s="13">
        <f t="shared" si="231"/>
        <v>1.1727788989456934E-4</v>
      </c>
      <c r="K410" s="13">
        <f t="shared" si="231"/>
        <v>1.6175872906088456E-5</v>
      </c>
    </row>
    <row r="411" spans="1:19">
      <c r="A411" s="5" t="s">
        <v>5</v>
      </c>
      <c r="B411" s="5" t="s">
        <v>6</v>
      </c>
      <c r="C411" s="5" t="s">
        <v>7</v>
      </c>
      <c r="D411" t="s">
        <v>233</v>
      </c>
      <c r="E411" t="s">
        <v>8</v>
      </c>
      <c r="F411" s="13">
        <f>'[1]Electricity and CHPs_IN'!B$28-F298</f>
        <v>1.3057455734056807E-2</v>
      </c>
      <c r="G411" s="13">
        <f>'[1]Electricity and CHPs_IN'!C$28-G298</f>
        <v>0</v>
      </c>
      <c r="H411" s="13">
        <f>'[1]Electricity and CHPs_IN'!D$28-H298</f>
        <v>4.1534269364070842E-4</v>
      </c>
      <c r="I411" s="13">
        <f>'[1]Electricity and CHPs_IN'!E$28-I298</f>
        <v>6.903235951005405E-5</v>
      </c>
      <c r="J411" s="13">
        <f>'[1]Electricity and CHPs_IN'!F$28-J298</f>
        <v>1.1727788989456934E-4</v>
      </c>
      <c r="K411" s="13">
        <f>'[1]Electricity and CHPs_IN'!G$28-K298</f>
        <v>1.6175872906088456E-5</v>
      </c>
    </row>
    <row r="412" spans="1:19">
      <c r="A412" s="5" t="s">
        <v>5</v>
      </c>
      <c r="B412" s="5" t="s">
        <v>6</v>
      </c>
      <c r="C412" s="5" t="s">
        <v>7</v>
      </c>
      <c r="D412" t="s">
        <v>897</v>
      </c>
      <c r="E412" t="s">
        <v>8</v>
      </c>
      <c r="F412" s="13">
        <f>F413</f>
        <v>1.3057455734056807E-2</v>
      </c>
      <c r="G412" s="13">
        <f t="shared" ref="G412:K412" si="232">G413</f>
        <v>0</v>
      </c>
      <c r="H412" s="13">
        <f t="shared" si="232"/>
        <v>4.1534269364070842E-4</v>
      </c>
      <c r="I412" s="13">
        <f t="shared" si="232"/>
        <v>6.903235951005405E-5</v>
      </c>
      <c r="J412" s="13">
        <f t="shared" si="232"/>
        <v>1.1727788989456934E-4</v>
      </c>
      <c r="K412" s="13">
        <f t="shared" si="232"/>
        <v>1.6175872906088456E-5</v>
      </c>
    </row>
    <row r="413" spans="1:19">
      <c r="A413" s="5" t="s">
        <v>5</v>
      </c>
      <c r="B413" s="5" t="s">
        <v>6</v>
      </c>
      <c r="C413" s="5" t="s">
        <v>7</v>
      </c>
      <c r="D413" t="s">
        <v>528</v>
      </c>
      <c r="E413" t="s">
        <v>8</v>
      </c>
      <c r="F413" s="13">
        <f>F411-F415</f>
        <v>1.3057455734056807E-2</v>
      </c>
      <c r="G413" s="13">
        <f t="shared" ref="G413:K413" si="233">G411-G415</f>
        <v>0</v>
      </c>
      <c r="H413" s="13">
        <f t="shared" si="233"/>
        <v>4.1534269364070842E-4</v>
      </c>
      <c r="I413" s="13">
        <f t="shared" si="233"/>
        <v>6.903235951005405E-5</v>
      </c>
      <c r="J413" s="13">
        <f t="shared" si="233"/>
        <v>1.1727788989456934E-4</v>
      </c>
      <c r="K413" s="13">
        <f t="shared" si="233"/>
        <v>1.6175872906088456E-5</v>
      </c>
    </row>
    <row r="414" spans="1:19">
      <c r="A414" s="5" t="s">
        <v>5</v>
      </c>
      <c r="B414" s="5" t="s">
        <v>6</v>
      </c>
      <c r="C414" s="5" t="s">
        <v>7</v>
      </c>
      <c r="D414" t="s">
        <v>898</v>
      </c>
      <c r="E414" t="s">
        <v>8</v>
      </c>
      <c r="F414" s="13">
        <f>F415</f>
        <v>0</v>
      </c>
      <c r="G414" s="13">
        <f t="shared" ref="G414:K414" si="234">G415</f>
        <v>0</v>
      </c>
      <c r="H414" s="13">
        <f t="shared" si="234"/>
        <v>0</v>
      </c>
      <c r="I414" s="13">
        <f t="shared" si="234"/>
        <v>0</v>
      </c>
      <c r="J414" s="13">
        <f t="shared" si="234"/>
        <v>0</v>
      </c>
      <c r="K414" s="13">
        <f t="shared" si="234"/>
        <v>0</v>
      </c>
    </row>
    <row r="415" spans="1:19">
      <c r="A415" s="5" t="s">
        <v>5</v>
      </c>
      <c r="B415" s="5" t="s">
        <v>6</v>
      </c>
      <c r="C415" s="5" t="s">
        <v>7</v>
      </c>
      <c r="D415" t="s">
        <v>552</v>
      </c>
      <c r="E415" t="s">
        <v>8</v>
      </c>
      <c r="F415" s="13">
        <f>IFERROR(F306/F298,0)*F411</f>
        <v>0</v>
      </c>
      <c r="G415" s="13">
        <f t="shared" ref="G415:K415" si="235">IFERROR(G306/G298,0)*G411</f>
        <v>0</v>
      </c>
      <c r="H415" s="13">
        <f t="shared" si="235"/>
        <v>0</v>
      </c>
      <c r="I415" s="13">
        <f t="shared" si="235"/>
        <v>0</v>
      </c>
      <c r="J415" s="13">
        <f t="shared" si="235"/>
        <v>0</v>
      </c>
      <c r="K415" s="13">
        <f t="shared" si="235"/>
        <v>0</v>
      </c>
    </row>
    <row r="416" spans="1:19">
      <c r="A416" s="5" t="s">
        <v>5</v>
      </c>
      <c r="B416" s="5" t="s">
        <v>6</v>
      </c>
      <c r="C416" s="5" t="s">
        <v>7</v>
      </c>
      <c r="D416" t="s">
        <v>899</v>
      </c>
      <c r="E416" t="s">
        <v>8</v>
      </c>
      <c r="F416" s="13">
        <f>SUM(F417:F418)</f>
        <v>2.3872069820916724</v>
      </c>
      <c r="G416" s="13">
        <f t="shared" ref="G416:K416" si="236">SUM(G417:G418)</f>
        <v>0</v>
      </c>
      <c r="H416" s="13">
        <f t="shared" si="236"/>
        <v>6.5887163368885254E-2</v>
      </c>
      <c r="I416" s="13">
        <f t="shared" si="236"/>
        <v>9.3112404018573902E-2</v>
      </c>
      <c r="J416" s="13">
        <f t="shared" si="236"/>
        <v>0.21842466363586427</v>
      </c>
      <c r="K416" s="13">
        <f t="shared" si="236"/>
        <v>4.5690880109442036E-5</v>
      </c>
    </row>
    <row r="417" spans="1:11">
      <c r="A417" s="5" t="s">
        <v>5</v>
      </c>
      <c r="B417" s="5" t="s">
        <v>6</v>
      </c>
      <c r="C417" s="5" t="s">
        <v>7</v>
      </c>
      <c r="D417" t="s">
        <v>193</v>
      </c>
      <c r="E417" t="s">
        <v>8</v>
      </c>
      <c r="F417" s="13">
        <f>'[1]Electricity and CHPs_IN'!B$24-F312</f>
        <v>2.3872069820916724</v>
      </c>
      <c r="G417" s="13">
        <f>'[1]Electricity and CHPs_IN'!C$24-G312</f>
        <v>0</v>
      </c>
      <c r="H417" s="13">
        <f>'[1]Electricity and CHPs_IN'!D$24-H312</f>
        <v>6.5887163368885254E-2</v>
      </c>
      <c r="I417" s="13">
        <f>'[1]Electricity and CHPs_IN'!E$24-I312</f>
        <v>9.3112404018573902E-2</v>
      </c>
      <c r="J417" s="13">
        <f>'[1]Electricity and CHPs_IN'!F$24-J312</f>
        <v>6.1932986920294496E-2</v>
      </c>
      <c r="K417" s="13">
        <f>'[1]Electricity and CHPs_IN'!G$24-K312</f>
        <v>1.7162253215432945E-5</v>
      </c>
    </row>
    <row r="418" spans="1:11">
      <c r="A418" s="5" t="s">
        <v>5</v>
      </c>
      <c r="B418" s="5" t="s">
        <v>6</v>
      </c>
      <c r="C418" s="5" t="s">
        <v>7</v>
      </c>
      <c r="D418" t="s">
        <v>194</v>
      </c>
      <c r="E418" t="s">
        <v>8</v>
      </c>
      <c r="F418" s="13">
        <f>'[1]Electricity and CHPs_IN'!B$29-F313</f>
        <v>0</v>
      </c>
      <c r="G418" s="13">
        <f>'[1]Electricity and CHPs_IN'!C$29-G313</f>
        <v>0</v>
      </c>
      <c r="H418" s="13">
        <f>'[1]Electricity and CHPs_IN'!D$29-H313</f>
        <v>0</v>
      </c>
      <c r="I418" s="13">
        <f>'[1]Electricity and CHPs_IN'!E$29-I313</f>
        <v>0</v>
      </c>
      <c r="J418" s="13">
        <f>'[1]Electricity and CHPs_IN'!F$29-J313</f>
        <v>0.15649167671556977</v>
      </c>
      <c r="K418" s="13">
        <f>'[1]Electricity and CHPs_IN'!G$29-K313</f>
        <v>2.8528626894009087E-5</v>
      </c>
    </row>
    <row r="419" spans="1:11">
      <c r="A419" s="5" t="s">
        <v>5</v>
      </c>
      <c r="B419" s="5" t="s">
        <v>6</v>
      </c>
      <c r="C419" s="5" t="s">
        <v>7</v>
      </c>
      <c r="D419" t="s">
        <v>900</v>
      </c>
      <c r="E419" t="s">
        <v>8</v>
      </c>
      <c r="F419" s="13">
        <f>SUM(F420:F421)</f>
        <v>2.3278396210993892</v>
      </c>
      <c r="G419" s="13">
        <f t="shared" ref="G419:K419" si="237">SUM(G420:G421)</f>
        <v>0</v>
      </c>
      <c r="H419" s="13">
        <f t="shared" si="237"/>
        <v>6.3555509474953018E-2</v>
      </c>
      <c r="I419" s="13">
        <f t="shared" si="237"/>
        <v>9.1526396306702909E-2</v>
      </c>
      <c r="J419" s="13">
        <f t="shared" si="237"/>
        <v>0.21677185953502975</v>
      </c>
      <c r="K419" s="13">
        <f t="shared" si="237"/>
        <v>3.2117102143667437E-5</v>
      </c>
    </row>
    <row r="420" spans="1:11">
      <c r="A420" s="5" t="s">
        <v>5</v>
      </c>
      <c r="B420" s="5" t="s">
        <v>6</v>
      </c>
      <c r="C420" s="5" t="s">
        <v>7</v>
      </c>
      <c r="D420" t="s">
        <v>599</v>
      </c>
      <c r="E420" t="s">
        <v>8</v>
      </c>
      <c r="F420" s="13">
        <f>F417-F423</f>
        <v>2.3278396210993892</v>
      </c>
      <c r="G420" s="13">
        <f t="shared" ref="G420:K420" si="238">G417-G423</f>
        <v>0</v>
      </c>
      <c r="H420" s="13">
        <f t="shared" si="238"/>
        <v>6.3555509474953018E-2</v>
      </c>
      <c r="I420" s="13">
        <f t="shared" si="238"/>
        <v>9.1526396306702909E-2</v>
      </c>
      <c r="J420" s="13">
        <f t="shared" si="238"/>
        <v>6.1464344354684577E-2</v>
      </c>
      <c r="K420" s="13">
        <f t="shared" si="238"/>
        <v>1.2063716833977964E-5</v>
      </c>
    </row>
    <row r="421" spans="1:11">
      <c r="A421" s="5" t="s">
        <v>5</v>
      </c>
      <c r="B421" s="5" t="s">
        <v>6</v>
      </c>
      <c r="C421" s="5" t="s">
        <v>7</v>
      </c>
      <c r="D421" t="s">
        <v>600</v>
      </c>
      <c r="E421" t="s">
        <v>8</v>
      </c>
      <c r="F421" s="13">
        <f>F418-F424</f>
        <v>0</v>
      </c>
      <c r="G421" s="13">
        <f t="shared" ref="G421:K421" si="239">G418-G424</f>
        <v>0</v>
      </c>
      <c r="H421" s="13">
        <f t="shared" si="239"/>
        <v>0</v>
      </c>
      <c r="I421" s="13">
        <f t="shared" si="239"/>
        <v>0</v>
      </c>
      <c r="J421" s="13">
        <f t="shared" si="239"/>
        <v>0.15530751518034516</v>
      </c>
      <c r="K421" s="13">
        <f t="shared" si="239"/>
        <v>2.0053385309689475E-5</v>
      </c>
    </row>
    <row r="422" spans="1:11">
      <c r="A422" s="5" t="s">
        <v>5</v>
      </c>
      <c r="B422" s="5" t="s">
        <v>6</v>
      </c>
      <c r="C422" s="5" t="s">
        <v>7</v>
      </c>
      <c r="D422" t="s">
        <v>901</v>
      </c>
      <c r="E422" t="s">
        <v>8</v>
      </c>
      <c r="F422" s="13">
        <f>SUM(F423:F424)</f>
        <v>5.9367360992283263E-2</v>
      </c>
      <c r="G422" s="13">
        <f t="shared" ref="G422:K422" si="240">SUM(G423:G424)</f>
        <v>0</v>
      </c>
      <c r="H422" s="13">
        <f t="shared" si="240"/>
        <v>2.3316538939322428E-3</v>
      </c>
      <c r="I422" s="13">
        <f t="shared" si="240"/>
        <v>1.5860077118709948E-3</v>
      </c>
      <c r="J422" s="13">
        <f t="shared" si="240"/>
        <v>1.6528041008345199E-3</v>
      </c>
      <c r="K422" s="13">
        <f t="shared" si="240"/>
        <v>1.3573777965774596E-5</v>
      </c>
    </row>
    <row r="423" spans="1:11">
      <c r="A423" s="5" t="s">
        <v>5</v>
      </c>
      <c r="B423" s="5" t="s">
        <v>6</v>
      </c>
      <c r="C423" s="5" t="s">
        <v>7</v>
      </c>
      <c r="D423" t="s">
        <v>660</v>
      </c>
      <c r="E423" t="s">
        <v>8</v>
      </c>
      <c r="F423" s="13">
        <f>IFERROR(F344/F312,0)*F417</f>
        <v>5.9367360992283263E-2</v>
      </c>
      <c r="G423" s="13">
        <f t="shared" ref="G423:K423" si="241">IFERROR(G344/G312,0)*G417</f>
        <v>0</v>
      </c>
      <c r="H423" s="13">
        <f t="shared" si="241"/>
        <v>2.3316538939322428E-3</v>
      </c>
      <c r="I423" s="13">
        <f t="shared" si="241"/>
        <v>1.5860077118709948E-3</v>
      </c>
      <c r="J423" s="13">
        <f t="shared" si="241"/>
        <v>4.6864256560991558E-4</v>
      </c>
      <c r="K423" s="13">
        <f t="shared" si="241"/>
        <v>5.0985363814549813E-6</v>
      </c>
    </row>
    <row r="424" spans="1:11">
      <c r="A424" s="5" t="s">
        <v>5</v>
      </c>
      <c r="B424" s="5" t="s">
        <v>6</v>
      </c>
      <c r="C424" s="5" t="s">
        <v>7</v>
      </c>
      <c r="D424" t="s">
        <v>661</v>
      </c>
      <c r="E424" t="s">
        <v>8</v>
      </c>
      <c r="F424" s="13">
        <f>IFERROR(F345/F313,0)*F418</f>
        <v>0</v>
      </c>
      <c r="G424" s="13">
        <f t="shared" ref="G424:K424" si="242">IFERROR(G345/G313,0)*G418</f>
        <v>0</v>
      </c>
      <c r="H424" s="13">
        <f t="shared" si="242"/>
        <v>0</v>
      </c>
      <c r="I424" s="13">
        <f t="shared" si="242"/>
        <v>0</v>
      </c>
      <c r="J424" s="13">
        <f t="shared" si="242"/>
        <v>1.1841615352246042E-3</v>
      </c>
      <c r="K424" s="13">
        <f t="shared" si="242"/>
        <v>8.4752415843196142E-6</v>
      </c>
    </row>
    <row r="425" spans="1:11">
      <c r="A425" s="5" t="s">
        <v>5</v>
      </c>
      <c r="B425" s="5" t="s">
        <v>6</v>
      </c>
      <c r="C425" s="5" t="s">
        <v>7</v>
      </c>
      <c r="D425" t="s">
        <v>902</v>
      </c>
      <c r="E425" t="s">
        <v>8</v>
      </c>
      <c r="F425" s="13">
        <f>SUM(F426:F427)</f>
        <v>35.838185042698917</v>
      </c>
      <c r="G425" s="13">
        <f t="shared" ref="G425:K425" si="243">SUM(G426:G427)</f>
        <v>33.847787216579135</v>
      </c>
      <c r="H425" s="13">
        <f t="shared" si="243"/>
        <v>32.192475143441811</v>
      </c>
      <c r="I425" s="13">
        <f t="shared" si="243"/>
        <v>33.526911103958774</v>
      </c>
      <c r="J425" s="13">
        <f t="shared" si="243"/>
        <v>32.703400119844666</v>
      </c>
      <c r="K425" s="13">
        <f t="shared" si="243"/>
        <v>35.744141941097865</v>
      </c>
    </row>
    <row r="426" spans="1:11">
      <c r="A426" s="5" t="s">
        <v>5</v>
      </c>
      <c r="B426" s="5" t="s">
        <v>6</v>
      </c>
      <c r="C426" s="5" t="s">
        <v>7</v>
      </c>
      <c r="D426" t="s">
        <v>195</v>
      </c>
      <c r="E426" t="s">
        <v>8</v>
      </c>
      <c r="F426" s="13">
        <f>'[1]Electricity and CHPs_IN'!B$26-F359</f>
        <v>35.838185042698917</v>
      </c>
      <c r="G426" s="13">
        <f>'[1]Electricity and CHPs_IN'!C$26-G359</f>
        <v>33.847787216579135</v>
      </c>
      <c r="H426" s="13">
        <f>'[1]Electricity and CHPs_IN'!D$26-H359</f>
        <v>32.192475143441811</v>
      </c>
      <c r="I426" s="13">
        <f>'[1]Electricity and CHPs_IN'!E$26-I359</f>
        <v>33.526911103958774</v>
      </c>
      <c r="J426" s="13">
        <f>'[1]Electricity and CHPs_IN'!F$26-J359</f>
        <v>27.73435754104873</v>
      </c>
      <c r="K426" s="13">
        <f>'[1]Electricity and CHPs_IN'!G$26-K359</f>
        <v>23.900331714300652</v>
      </c>
    </row>
    <row r="427" spans="1:11">
      <c r="A427" s="5" t="s">
        <v>5</v>
      </c>
      <c r="B427" s="5" t="s">
        <v>6</v>
      </c>
      <c r="C427" s="5" t="s">
        <v>7</v>
      </c>
      <c r="D427" t="s">
        <v>196</v>
      </c>
      <c r="E427" t="s">
        <v>8</v>
      </c>
      <c r="F427" s="13">
        <f>'[1]Electricity and CHPs_IN'!B$27-F360</f>
        <v>0</v>
      </c>
      <c r="G427" s="13">
        <f>'[1]Electricity and CHPs_IN'!C$27-G360</f>
        <v>0</v>
      </c>
      <c r="H427" s="13">
        <f>'[1]Electricity and CHPs_IN'!D$27-H360</f>
        <v>0</v>
      </c>
      <c r="I427" s="13">
        <f>'[1]Electricity and CHPs_IN'!E$27-I360</f>
        <v>0</v>
      </c>
      <c r="J427" s="13">
        <f>'[1]Electricity and CHPs_IN'!F$27-J360</f>
        <v>4.9690425787959347</v>
      </c>
      <c r="K427" s="13">
        <f>'[1]Electricity and CHPs_IN'!G$27-K360</f>
        <v>11.843810226797215</v>
      </c>
    </row>
    <row r="428" spans="1:11">
      <c r="A428" s="5" t="s">
        <v>5</v>
      </c>
      <c r="B428" s="5" t="s">
        <v>6</v>
      </c>
      <c r="C428" s="5" t="s">
        <v>7</v>
      </c>
      <c r="D428" t="s">
        <v>903</v>
      </c>
      <c r="E428" t="s">
        <v>8</v>
      </c>
      <c r="F428" s="13">
        <f>SUM(F429:F430)</f>
        <v>17.919092521349459</v>
      </c>
      <c r="G428" s="13">
        <f t="shared" ref="G428:K428" si="244">SUM(G429:G430)</f>
        <v>16.923893608289571</v>
      </c>
      <c r="H428" s="13">
        <f t="shared" si="244"/>
        <v>16.096237571720906</v>
      </c>
      <c r="I428" s="13">
        <f t="shared" si="244"/>
        <v>16.763455551979387</v>
      </c>
      <c r="J428" s="13">
        <f t="shared" si="244"/>
        <v>16.351700059922333</v>
      </c>
      <c r="K428" s="13">
        <f t="shared" si="244"/>
        <v>17.872070970548933</v>
      </c>
    </row>
    <row r="429" spans="1:11">
      <c r="A429" s="5" t="s">
        <v>5</v>
      </c>
      <c r="B429" s="5" t="s">
        <v>6</v>
      </c>
      <c r="C429" s="5" t="s">
        <v>7</v>
      </c>
      <c r="D429" t="s">
        <v>197</v>
      </c>
      <c r="E429" t="s">
        <v>8</v>
      </c>
      <c r="F429" s="13">
        <f>IFERROR(F366/F359,0)*F426</f>
        <v>17.919092521349459</v>
      </c>
      <c r="G429" s="13">
        <f t="shared" ref="G429:K429" si="245">IFERROR(G366/G359,0)*G426</f>
        <v>16.923893608289571</v>
      </c>
      <c r="H429" s="13">
        <f t="shared" si="245"/>
        <v>16.096237571720906</v>
      </c>
      <c r="I429" s="13">
        <f t="shared" si="245"/>
        <v>16.763455551979387</v>
      </c>
      <c r="J429" s="13">
        <f t="shared" si="245"/>
        <v>13.867178770524365</v>
      </c>
      <c r="K429" s="13">
        <f t="shared" si="245"/>
        <v>11.950165857150326</v>
      </c>
    </row>
    <row r="430" spans="1:11">
      <c r="A430" s="5" t="s">
        <v>5</v>
      </c>
      <c r="B430" s="5" t="s">
        <v>6</v>
      </c>
      <c r="C430" s="5" t="s">
        <v>7</v>
      </c>
      <c r="D430" t="s">
        <v>198</v>
      </c>
      <c r="E430" t="s">
        <v>8</v>
      </c>
      <c r="F430" s="13">
        <f>IFERROR(F367/F360,0)*F427</f>
        <v>0</v>
      </c>
      <c r="G430" s="13">
        <f t="shared" ref="G430:K430" si="246">IFERROR(G367/G360,0)*G427</f>
        <v>0</v>
      </c>
      <c r="H430" s="13">
        <f t="shared" si="246"/>
        <v>0</v>
      </c>
      <c r="I430" s="13">
        <f t="shared" si="246"/>
        <v>0</v>
      </c>
      <c r="J430" s="13">
        <f t="shared" si="246"/>
        <v>2.4845212893979673</v>
      </c>
      <c r="K430" s="13">
        <f t="shared" si="246"/>
        <v>5.9219051133986067</v>
      </c>
    </row>
    <row r="431" spans="1:11">
      <c r="A431" s="5" t="s">
        <v>5</v>
      </c>
      <c r="B431" s="5" t="s">
        <v>6</v>
      </c>
      <c r="C431" s="5" t="s">
        <v>7</v>
      </c>
      <c r="D431" t="s">
        <v>904</v>
      </c>
      <c r="E431" t="s">
        <v>8</v>
      </c>
      <c r="F431" s="13">
        <f>SUM(F432:F433)</f>
        <v>17.919092521349459</v>
      </c>
      <c r="G431" s="13">
        <f t="shared" ref="G431:K431" si="247">SUM(G432:G433)</f>
        <v>16.923893608289564</v>
      </c>
      <c r="H431" s="13">
        <f t="shared" si="247"/>
        <v>16.096237571720906</v>
      </c>
      <c r="I431" s="13">
        <f t="shared" si="247"/>
        <v>16.763455551979387</v>
      </c>
      <c r="J431" s="13">
        <f t="shared" si="247"/>
        <v>16.351700059922333</v>
      </c>
      <c r="K431" s="13">
        <f t="shared" si="247"/>
        <v>17.872070970548933</v>
      </c>
    </row>
    <row r="432" spans="1:11">
      <c r="A432" s="5" t="s">
        <v>5</v>
      </c>
      <c r="B432" s="5" t="s">
        <v>6</v>
      </c>
      <c r="C432" s="5" t="s">
        <v>7</v>
      </c>
      <c r="D432" t="s">
        <v>199</v>
      </c>
      <c r="E432" t="s">
        <v>8</v>
      </c>
      <c r="F432" s="13">
        <f>F426-F429</f>
        <v>17.919092521349459</v>
      </c>
      <c r="G432" s="13">
        <f t="shared" ref="G432:K432" si="248">G426-G429</f>
        <v>16.923893608289564</v>
      </c>
      <c r="H432" s="13">
        <f t="shared" si="248"/>
        <v>16.096237571720906</v>
      </c>
      <c r="I432" s="13">
        <f t="shared" si="248"/>
        <v>16.763455551979387</v>
      </c>
      <c r="J432" s="13">
        <f t="shared" si="248"/>
        <v>13.867178770524365</v>
      </c>
      <c r="K432" s="13">
        <f t="shared" si="248"/>
        <v>11.950165857150326</v>
      </c>
    </row>
    <row r="433" spans="1:11">
      <c r="A433" s="5" t="s">
        <v>5</v>
      </c>
      <c r="B433" s="5" t="s">
        <v>6</v>
      </c>
      <c r="C433" s="5" t="s">
        <v>7</v>
      </c>
      <c r="D433" t="s">
        <v>200</v>
      </c>
      <c r="E433" t="s">
        <v>8</v>
      </c>
      <c r="F433" s="13">
        <f>F427-F430</f>
        <v>0</v>
      </c>
      <c r="G433" s="13">
        <f t="shared" ref="G433:K433" si="249">G427-G430</f>
        <v>0</v>
      </c>
      <c r="H433" s="13">
        <f t="shared" si="249"/>
        <v>0</v>
      </c>
      <c r="I433" s="13">
        <f t="shared" si="249"/>
        <v>0</v>
      </c>
      <c r="J433" s="13">
        <f t="shared" si="249"/>
        <v>2.4845212893979673</v>
      </c>
      <c r="K433" s="13">
        <f t="shared" si="249"/>
        <v>5.9219051133986085</v>
      </c>
    </row>
    <row r="434" spans="1:11">
      <c r="A434" s="5" t="s">
        <v>5</v>
      </c>
      <c r="B434" s="5" t="s">
        <v>6</v>
      </c>
      <c r="C434" s="5" t="s">
        <v>7</v>
      </c>
      <c r="D434" t="s">
        <v>905</v>
      </c>
      <c r="E434" t="s">
        <v>8</v>
      </c>
      <c r="F434" s="13">
        <f>F435</f>
        <v>1.2662155253326417</v>
      </c>
      <c r="G434" s="13">
        <f t="shared" ref="G434:K434" si="250">G435</f>
        <v>4.4194187929719764E-5</v>
      </c>
      <c r="H434" s="13">
        <f t="shared" si="250"/>
        <v>3.2967953882414233E-3</v>
      </c>
      <c r="I434" s="13">
        <f t="shared" si="250"/>
        <v>7.5029433954766915E-4</v>
      </c>
      <c r="J434" s="13">
        <f t="shared" si="250"/>
        <v>0.29710100217360613</v>
      </c>
      <c r="K434" s="13">
        <f t="shared" si="250"/>
        <v>1.9706044607597344</v>
      </c>
    </row>
    <row r="435" spans="1:11">
      <c r="A435" s="5" t="s">
        <v>5</v>
      </c>
      <c r="B435" s="5" t="s">
        <v>6</v>
      </c>
      <c r="C435" s="5" t="s">
        <v>7</v>
      </c>
      <c r="D435" t="s">
        <v>201</v>
      </c>
      <c r="E435" t="s">
        <v>8</v>
      </c>
      <c r="F435" s="13">
        <f>'[1]Electricity and CHPs_IN'!B$25-F378</f>
        <v>1.2662155253326417</v>
      </c>
      <c r="G435" s="13">
        <f>'[1]Electricity and CHPs_IN'!C$25-G378</f>
        <v>4.4194187929719764E-5</v>
      </c>
      <c r="H435" s="13">
        <f>'[1]Electricity and CHPs_IN'!D$25-H378</f>
        <v>3.2967953882414233E-3</v>
      </c>
      <c r="I435" s="13">
        <f>'[1]Electricity and CHPs_IN'!E$25-I378</f>
        <v>7.5029433954766915E-4</v>
      </c>
      <c r="J435" s="13">
        <f>'[1]Electricity and CHPs_IN'!F$25-J378</f>
        <v>0.29710100217360613</v>
      </c>
      <c r="K435" s="13">
        <f>'[1]Electricity and CHPs_IN'!G$25-K378</f>
        <v>1.9706044607597344</v>
      </c>
    </row>
    <row r="436" spans="1:11">
      <c r="A436" s="5" t="s">
        <v>5</v>
      </c>
      <c r="B436" s="5" t="s">
        <v>6</v>
      </c>
      <c r="C436" s="5" t="s">
        <v>7</v>
      </c>
      <c r="D436" t="s">
        <v>906</v>
      </c>
      <c r="E436" t="s">
        <v>8</v>
      </c>
      <c r="F436" s="13">
        <f>+F437</f>
        <v>0</v>
      </c>
      <c r="G436" s="13">
        <f t="shared" ref="G436:K436" si="251">+G437</f>
        <v>0</v>
      </c>
      <c r="H436" s="13">
        <f t="shared" si="251"/>
        <v>0</v>
      </c>
      <c r="I436" s="13">
        <f t="shared" si="251"/>
        <v>0</v>
      </c>
      <c r="J436" s="13">
        <f t="shared" si="251"/>
        <v>1.9694089455658682E-5</v>
      </c>
      <c r="K436" s="13">
        <f t="shared" si="251"/>
        <v>6.3532471431433035E-2</v>
      </c>
    </row>
    <row r="437" spans="1:11">
      <c r="A437" s="5" t="s">
        <v>5</v>
      </c>
      <c r="B437" s="5" t="s">
        <v>6</v>
      </c>
      <c r="C437" s="5" t="s">
        <v>7</v>
      </c>
      <c r="D437" t="s">
        <v>202</v>
      </c>
      <c r="E437" t="s">
        <v>8</v>
      </c>
      <c r="F437" s="13">
        <f>'[1]Electricity and CHPs_IN'!B$30-F396</f>
        <v>0</v>
      </c>
      <c r="G437" s="13">
        <f>'[1]Electricity and CHPs_IN'!C$30-G396</f>
        <v>0</v>
      </c>
      <c r="H437" s="13">
        <f>'[1]Electricity and CHPs_IN'!D$30-H396</f>
        <v>0</v>
      </c>
      <c r="I437" s="13">
        <f>'[1]Electricity and CHPs_IN'!E$30-I396</f>
        <v>0</v>
      </c>
      <c r="J437" s="13">
        <f>'[1]Electricity and CHPs_IN'!F$30-J396</f>
        <v>1.9694089455658682E-5</v>
      </c>
      <c r="K437" s="13">
        <f>'[1]Electricity and CHPs_IN'!G$30-K396</f>
        <v>6.3532471431433035E-2</v>
      </c>
    </row>
    <row r="438" spans="1:11">
      <c r="A438" s="5" t="s">
        <v>5</v>
      </c>
      <c r="B438" s="5" t="s">
        <v>6</v>
      </c>
      <c r="C438" s="5" t="s">
        <v>7</v>
      </c>
      <c r="D438" t="s">
        <v>907</v>
      </c>
      <c r="E438" t="str">
        <f>E393</f>
        <v>PJ/yr.</v>
      </c>
      <c r="F438" s="13">
        <f>SUM(F439,F445,F447,F453,F455,F457,F459)</f>
        <v>8.322595123434267</v>
      </c>
      <c r="G438" s="13">
        <f t="shared" ref="G438:K438" si="252">SUM(G439,G445,G447,G453,G455,G457,G459)</f>
        <v>8.1720951770102275</v>
      </c>
      <c r="H438" s="13">
        <f t="shared" si="252"/>
        <v>7.9517016122339443</v>
      </c>
      <c r="I438" s="13">
        <f t="shared" si="252"/>
        <v>7.3626873212949588</v>
      </c>
      <c r="J438" s="13">
        <f t="shared" si="252"/>
        <v>6.1505050216956967</v>
      </c>
      <c r="K438" s="13">
        <f t="shared" si="252"/>
        <v>6.3844984240467006</v>
      </c>
    </row>
    <row r="439" spans="1:11">
      <c r="A439" s="5" t="s">
        <v>5</v>
      </c>
      <c r="B439" s="5" t="s">
        <v>6</v>
      </c>
      <c r="C439" s="5" t="s">
        <v>7</v>
      </c>
      <c r="D439" t="s">
        <v>908</v>
      </c>
      <c r="E439" t="str">
        <f>E396</f>
        <v>PJ/yr.</v>
      </c>
      <c r="F439" s="13">
        <f>+F440</f>
        <v>4.3959719560879655</v>
      </c>
      <c r="G439" s="13">
        <f t="shared" ref="G439:K439" si="253">+G440</f>
        <v>0</v>
      </c>
      <c r="H439" s="13">
        <f t="shared" si="253"/>
        <v>7.1163025845744472E-5</v>
      </c>
      <c r="I439" s="13">
        <f t="shared" si="253"/>
        <v>0.45111776006690624</v>
      </c>
      <c r="J439" s="13">
        <f t="shared" si="253"/>
        <v>4.8027714366786388E-4</v>
      </c>
      <c r="K439" s="13">
        <f t="shared" si="253"/>
        <v>6.6389824322723913E-7</v>
      </c>
    </row>
    <row r="440" spans="1:11">
      <c r="A440" s="5" t="s">
        <v>5</v>
      </c>
      <c r="B440" s="5" t="s">
        <v>6</v>
      </c>
      <c r="C440" s="5" t="s">
        <v>7</v>
      </c>
      <c r="D440" t="s">
        <v>203</v>
      </c>
      <c r="E440" t="str">
        <f>E397</f>
        <v>PJ/yr.</v>
      </c>
      <c r="F440" s="13">
        <f>SUM(F442:F444)</f>
        <v>4.3959719560879655</v>
      </c>
      <c r="G440" s="13">
        <f t="shared" ref="G440:K440" si="254">SUM(G442:G444)</f>
        <v>0</v>
      </c>
      <c r="H440" s="13">
        <f t="shared" si="254"/>
        <v>7.1163025845744472E-5</v>
      </c>
      <c r="I440" s="13">
        <f t="shared" si="254"/>
        <v>0.45111776006690624</v>
      </c>
      <c r="J440" s="13">
        <f t="shared" si="254"/>
        <v>4.8027714366786388E-4</v>
      </c>
      <c r="K440" s="13">
        <f t="shared" si="254"/>
        <v>6.6389824322723913E-7</v>
      </c>
    </row>
    <row r="441" spans="1:11">
      <c r="A441" s="5" t="s">
        <v>5</v>
      </c>
      <c r="B441" s="5" t="s">
        <v>6</v>
      </c>
      <c r="C441" s="5" t="s">
        <v>7</v>
      </c>
      <c r="D441" t="s">
        <v>909</v>
      </c>
      <c r="E441" t="str">
        <f>E396</f>
        <v>PJ/yr.</v>
      </c>
      <c r="F441" s="13">
        <f>F442</f>
        <v>2.0280736451517871</v>
      </c>
      <c r="G441" s="13">
        <f t="shared" ref="G441:K441" si="255">G442</f>
        <v>0</v>
      </c>
      <c r="H441" s="13">
        <f t="shared" si="255"/>
        <v>4.0151570992038864E-5</v>
      </c>
      <c r="I441" s="13">
        <f t="shared" si="255"/>
        <v>0.45110377385980466</v>
      </c>
      <c r="J441" s="13">
        <f t="shared" si="255"/>
        <v>4.6475794973553105E-4</v>
      </c>
      <c r="K441" s="13">
        <f t="shared" si="255"/>
        <v>0</v>
      </c>
    </row>
    <row r="442" spans="1:11">
      <c r="A442" s="5" t="s">
        <v>5</v>
      </c>
      <c r="B442" s="5" t="s">
        <v>6</v>
      </c>
      <c r="C442" s="5" t="s">
        <v>7</v>
      </c>
      <c r="D442" t="s">
        <v>601</v>
      </c>
      <c r="E442" t="str">
        <f>E397</f>
        <v>PJ/yr.</v>
      </c>
      <c r="F442" s="13">
        <f>'[1]Electricity and CHPs_IN'!B$90</f>
        <v>2.0280736451517871</v>
      </c>
      <c r="G442" s="13">
        <f>'[1]Electricity and CHPs_IN'!C$90</f>
        <v>0</v>
      </c>
      <c r="H442" s="13">
        <f>'[1]Electricity and CHPs_IN'!D$90</f>
        <v>4.0151570992038864E-5</v>
      </c>
      <c r="I442" s="13">
        <f>'[1]Electricity and CHPs_IN'!E$90</f>
        <v>0.45110377385980466</v>
      </c>
      <c r="J442" s="13">
        <f>'[1]Electricity and CHPs_IN'!F$90</f>
        <v>4.6475794973553105E-4</v>
      </c>
      <c r="K442" s="13">
        <f>'[1]Electricity and CHPs_IN'!G$90</f>
        <v>0</v>
      </c>
    </row>
    <row r="443" spans="1:11">
      <c r="A443" s="5" t="s">
        <v>5</v>
      </c>
      <c r="B443" s="5" t="s">
        <v>6</v>
      </c>
      <c r="C443" s="5" t="s">
        <v>7</v>
      </c>
      <c r="D443" t="s">
        <v>910</v>
      </c>
      <c r="E443" t="str">
        <f>E397</f>
        <v>PJ/yr.</v>
      </c>
      <c r="F443" s="13">
        <f>F444</f>
        <v>1.1839491554680894</v>
      </c>
      <c r="G443" s="13">
        <f t="shared" ref="G443:K443" si="256">G444</f>
        <v>0</v>
      </c>
      <c r="H443" s="13">
        <f t="shared" si="256"/>
        <v>1.5505727426852804E-5</v>
      </c>
      <c r="I443" s="13">
        <f t="shared" si="256"/>
        <v>6.993103550792055E-6</v>
      </c>
      <c r="J443" s="13">
        <f t="shared" si="256"/>
        <v>7.7595969661664305E-6</v>
      </c>
      <c r="K443" s="13">
        <f t="shared" si="256"/>
        <v>3.3194912161361956E-7</v>
      </c>
    </row>
    <row r="444" spans="1:11">
      <c r="A444" s="5" t="s">
        <v>5</v>
      </c>
      <c r="B444" s="5" t="s">
        <v>6</v>
      </c>
      <c r="C444" s="5" t="s">
        <v>7</v>
      </c>
      <c r="D444" t="s">
        <v>662</v>
      </c>
      <c r="E444" t="str">
        <f>E398</f>
        <v>PJ/yr.</v>
      </c>
      <c r="F444" s="13">
        <f>'[1]Electricity and CHPs_IN'!B$91</f>
        <v>1.1839491554680894</v>
      </c>
      <c r="G444" s="13">
        <f>'[1]Electricity and CHPs_IN'!C$91</f>
        <v>0</v>
      </c>
      <c r="H444" s="13">
        <f>'[1]Electricity and CHPs_IN'!D$91</f>
        <v>1.5505727426852804E-5</v>
      </c>
      <c r="I444" s="13">
        <f>'[1]Electricity and CHPs_IN'!E$91</f>
        <v>6.993103550792055E-6</v>
      </c>
      <c r="J444" s="13">
        <f>'[1]Electricity and CHPs_IN'!F$91</f>
        <v>7.7595969661664305E-6</v>
      </c>
      <c r="K444" s="13">
        <f>'[1]Electricity and CHPs_IN'!G$91</f>
        <v>3.3194912161361956E-7</v>
      </c>
    </row>
    <row r="445" spans="1:11">
      <c r="A445" s="5" t="s">
        <v>5</v>
      </c>
      <c r="B445" s="5" t="s">
        <v>6</v>
      </c>
      <c r="C445" s="5" t="s">
        <v>7</v>
      </c>
      <c r="D445" t="s">
        <v>911</v>
      </c>
      <c r="E445" t="str">
        <f>E398</f>
        <v>PJ/yr.</v>
      </c>
      <c r="F445" s="13">
        <f>F446</f>
        <v>1.4500001058889773</v>
      </c>
      <c r="G445" s="13">
        <f t="shared" ref="G445:K445" si="257">G446</f>
        <v>3.801939893519914</v>
      </c>
      <c r="H445" s="13">
        <f t="shared" si="257"/>
        <v>3.8019218733786198</v>
      </c>
      <c r="I445" s="13">
        <f t="shared" si="257"/>
        <v>1.0696875536632149</v>
      </c>
      <c r="J445" s="13">
        <f t="shared" si="257"/>
        <v>0</v>
      </c>
      <c r="K445" s="13">
        <f t="shared" si="257"/>
        <v>0</v>
      </c>
    </row>
    <row r="446" spans="1:11">
      <c r="A446" s="5" t="s">
        <v>5</v>
      </c>
      <c r="B446" s="5" t="s">
        <v>6</v>
      </c>
      <c r="C446" s="5" t="s">
        <v>7</v>
      </c>
      <c r="D446" t="s">
        <v>204</v>
      </c>
      <c r="E446" t="str">
        <f>E399</f>
        <v>PJ/yr.</v>
      </c>
      <c r="F446" s="13">
        <f>'[1]Electricity and CHPs_IN'!B$92</f>
        <v>1.4500001058889773</v>
      </c>
      <c r="G446" s="13">
        <f>'[1]Electricity and CHPs_IN'!C$92</f>
        <v>3.801939893519914</v>
      </c>
      <c r="H446" s="13">
        <f>'[1]Electricity and CHPs_IN'!D$92</f>
        <v>3.8019218733786198</v>
      </c>
      <c r="I446" s="13">
        <f>'[1]Electricity and CHPs_IN'!E$92</f>
        <v>1.0696875536632149</v>
      </c>
      <c r="J446" s="13">
        <f>'[1]Electricity and CHPs_IN'!F$92</f>
        <v>0</v>
      </c>
      <c r="K446" s="13">
        <f>'[1]Electricity and CHPs_IN'!G$92</f>
        <v>0</v>
      </c>
    </row>
    <row r="447" spans="1:11">
      <c r="A447" s="5" t="s">
        <v>5</v>
      </c>
      <c r="B447" s="5" t="s">
        <v>6</v>
      </c>
      <c r="C447" s="5" t="s">
        <v>7</v>
      </c>
      <c r="D447" t="s">
        <v>912</v>
      </c>
      <c r="E447" t="str">
        <f>E399</f>
        <v>PJ/yr.</v>
      </c>
      <c r="F447" s="13">
        <f>F448</f>
        <v>0.21541642681245143</v>
      </c>
      <c r="G447" s="13">
        <f t="shared" ref="G447:K447" si="258">G448</f>
        <v>0</v>
      </c>
      <c r="H447" s="13">
        <f t="shared" si="258"/>
        <v>3.0009285844418309E-5</v>
      </c>
      <c r="I447" s="13">
        <f t="shared" si="258"/>
        <v>1.4132151500935298E-5</v>
      </c>
      <c r="J447" s="13">
        <f t="shared" si="258"/>
        <v>7.5105323557109385E-6</v>
      </c>
      <c r="K447" s="13">
        <f t="shared" si="258"/>
        <v>0</v>
      </c>
    </row>
    <row r="448" spans="1:11">
      <c r="A448" s="5" t="s">
        <v>5</v>
      </c>
      <c r="B448" s="5" t="s">
        <v>6</v>
      </c>
      <c r="C448" s="5" t="s">
        <v>7</v>
      </c>
      <c r="D448" t="s">
        <v>205</v>
      </c>
      <c r="E448" t="str">
        <f>E400</f>
        <v>PJ/yr.</v>
      </c>
      <c r="F448" s="13">
        <f>'[1]Electricity and CHPs_IN'!B$93</f>
        <v>0.21541642681245143</v>
      </c>
      <c r="G448" s="13">
        <f>'[1]Electricity and CHPs_IN'!C$93</f>
        <v>0</v>
      </c>
      <c r="H448" s="13">
        <f>'[1]Electricity and CHPs_IN'!D$93</f>
        <v>3.0009285844418309E-5</v>
      </c>
      <c r="I448" s="13">
        <f>'[1]Electricity and CHPs_IN'!E$93</f>
        <v>1.4132151500935298E-5</v>
      </c>
      <c r="J448" s="13">
        <f>'[1]Electricity and CHPs_IN'!F$93</f>
        <v>7.5105323557109385E-6</v>
      </c>
      <c r="K448" s="13">
        <f>'[1]Electricity and CHPs_IN'!G$93</f>
        <v>0</v>
      </c>
    </row>
    <row r="449" spans="1:11">
      <c r="A449" s="5" t="s">
        <v>5</v>
      </c>
      <c r="B449" s="5" t="s">
        <v>6</v>
      </c>
      <c r="C449" s="5" t="s">
        <v>7</v>
      </c>
      <c r="D449" t="s">
        <v>914</v>
      </c>
      <c r="E449" t="str">
        <f>E399</f>
        <v>PJ/yr.</v>
      </c>
      <c r="F449" s="13">
        <f>F450</f>
        <v>0.21541642681245143</v>
      </c>
      <c r="G449" s="13">
        <f t="shared" ref="G449:K449" si="259">G450</f>
        <v>0</v>
      </c>
      <c r="H449" s="13">
        <f t="shared" si="259"/>
        <v>3.0009285844418309E-5</v>
      </c>
      <c r="I449" s="13">
        <f t="shared" si="259"/>
        <v>1.4132151500935298E-5</v>
      </c>
      <c r="J449" s="13">
        <f t="shared" si="259"/>
        <v>7.5105323557109385E-6</v>
      </c>
      <c r="K449" s="13">
        <f t="shared" si="259"/>
        <v>0</v>
      </c>
    </row>
    <row r="450" spans="1:11">
      <c r="A450" s="5" t="s">
        <v>5</v>
      </c>
      <c r="B450" s="5" t="s">
        <v>6</v>
      </c>
      <c r="C450" s="5" t="s">
        <v>7</v>
      </c>
      <c r="D450" t="s">
        <v>913</v>
      </c>
      <c r="E450" t="str">
        <f>E400</f>
        <v>PJ/yr.</v>
      </c>
      <c r="F450" s="13">
        <f>F448</f>
        <v>0.21541642681245143</v>
      </c>
      <c r="G450" s="13">
        <f t="shared" ref="G450:K450" si="260">G448</f>
        <v>0</v>
      </c>
      <c r="H450" s="13">
        <f t="shared" si="260"/>
        <v>3.0009285844418309E-5</v>
      </c>
      <c r="I450" s="13">
        <f t="shared" si="260"/>
        <v>1.4132151500935298E-5</v>
      </c>
      <c r="J450" s="13">
        <f t="shared" si="260"/>
        <v>7.5105323557109385E-6</v>
      </c>
      <c r="K450" s="13">
        <f t="shared" si="260"/>
        <v>0</v>
      </c>
    </row>
    <row r="451" spans="1:11">
      <c r="A451" s="5" t="s">
        <v>5</v>
      </c>
      <c r="B451" s="5" t="s">
        <v>6</v>
      </c>
      <c r="C451" s="5" t="s">
        <v>7</v>
      </c>
      <c r="D451" t="s">
        <v>916</v>
      </c>
      <c r="E451" t="str">
        <f>E400</f>
        <v>PJ/yr.</v>
      </c>
      <c r="F451" s="13">
        <f>F452</f>
        <v>0</v>
      </c>
      <c r="G451" s="13">
        <f t="shared" ref="G451:K451" si="261">G452</f>
        <v>0</v>
      </c>
      <c r="H451" s="13">
        <f t="shared" si="261"/>
        <v>0</v>
      </c>
      <c r="I451" s="13">
        <f t="shared" si="261"/>
        <v>0</v>
      </c>
      <c r="J451" s="13">
        <f t="shared" si="261"/>
        <v>0</v>
      </c>
      <c r="K451" s="13">
        <f t="shared" si="261"/>
        <v>0</v>
      </c>
    </row>
    <row r="452" spans="1:11">
      <c r="A452" s="5" t="s">
        <v>5</v>
      </c>
      <c r="B452" s="5" t="s">
        <v>6</v>
      </c>
      <c r="C452" s="5" t="s">
        <v>7</v>
      </c>
      <c r="D452" t="s">
        <v>915</v>
      </c>
      <c r="E452" t="str">
        <f>E401</f>
        <v>PJ/yr.</v>
      </c>
      <c r="F452" s="13">
        <v>0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</row>
    <row r="453" spans="1:11">
      <c r="A453" s="5" t="s">
        <v>5</v>
      </c>
      <c r="B453" s="5" t="s">
        <v>6</v>
      </c>
      <c r="C453" s="5" t="s">
        <v>7</v>
      </c>
      <c r="D453" t="s">
        <v>917</v>
      </c>
      <c r="E453" t="str">
        <f>E400</f>
        <v>PJ/yr.</v>
      </c>
      <c r="F453" s="13">
        <f>F454</f>
        <v>2.2612066346448727</v>
      </c>
      <c r="G453" s="13">
        <f t="shared" ref="G453:K453" si="262">G454</f>
        <v>2.0407389213695679</v>
      </c>
      <c r="H453" s="13">
        <f t="shared" si="262"/>
        <v>1.7496785589131918</v>
      </c>
      <c r="I453" s="13">
        <f t="shared" si="262"/>
        <v>1.3538679384050119</v>
      </c>
      <c r="J453" s="13">
        <f t="shared" si="262"/>
        <v>0.81061079098957223</v>
      </c>
      <c r="K453" s="13">
        <f t="shared" si="262"/>
        <v>0.48534226697599347</v>
      </c>
    </row>
    <row r="454" spans="1:11">
      <c r="A454" s="5" t="s">
        <v>5</v>
      </c>
      <c r="B454" s="5" t="s">
        <v>6</v>
      </c>
      <c r="C454" s="5" t="s">
        <v>7</v>
      </c>
      <c r="D454" t="s">
        <v>206</v>
      </c>
      <c r="E454" t="str">
        <f>E401</f>
        <v>PJ/yr.</v>
      </c>
      <c r="F454" s="13">
        <f>'[1]Electricity and CHPs_IN'!B$94</f>
        <v>2.2612066346448727</v>
      </c>
      <c r="G454" s="13">
        <f>'[1]Electricity and CHPs_IN'!C$94</f>
        <v>2.0407389213695679</v>
      </c>
      <c r="H454" s="13">
        <f>'[1]Electricity and CHPs_IN'!D$94</f>
        <v>1.7496785589131918</v>
      </c>
      <c r="I454" s="13">
        <f>'[1]Electricity and CHPs_IN'!E$94</f>
        <v>1.3538679384050119</v>
      </c>
      <c r="J454" s="13">
        <f>'[1]Electricity and CHPs_IN'!F$94</f>
        <v>0.81061079098957223</v>
      </c>
      <c r="K454" s="13">
        <f>'[1]Electricity and CHPs_IN'!G$94</f>
        <v>0.48534226697599347</v>
      </c>
    </row>
    <row r="455" spans="1:11">
      <c r="A455" s="5" t="s">
        <v>5</v>
      </c>
      <c r="B455" s="5" t="s">
        <v>6</v>
      </c>
      <c r="C455" s="5" t="s">
        <v>7</v>
      </c>
      <c r="D455" t="s">
        <v>918</v>
      </c>
      <c r="E455" t="str">
        <f>E401</f>
        <v>PJ/yr.</v>
      </c>
      <c r="F455" s="13">
        <f>F456</f>
        <v>0</v>
      </c>
      <c r="G455" s="13">
        <f t="shared" ref="G455:K455" si="263">G456</f>
        <v>0</v>
      </c>
      <c r="H455" s="13">
        <f t="shared" si="263"/>
        <v>0</v>
      </c>
      <c r="I455" s="13">
        <f t="shared" si="263"/>
        <v>0</v>
      </c>
      <c r="J455" s="13">
        <f t="shared" si="263"/>
        <v>0</v>
      </c>
      <c r="K455" s="13">
        <f t="shared" si="263"/>
        <v>0</v>
      </c>
    </row>
    <row r="456" spans="1:11">
      <c r="A456" s="5" t="s">
        <v>5</v>
      </c>
      <c r="B456" s="5" t="s">
        <v>6</v>
      </c>
      <c r="C456" s="5" t="s">
        <v>7</v>
      </c>
      <c r="D456" t="s">
        <v>207</v>
      </c>
      <c r="E456" t="str">
        <f>E402</f>
        <v>PJ/yr.</v>
      </c>
      <c r="F456" s="13">
        <f>'[1]Electricity and CHPs_IN'!B$95</f>
        <v>0</v>
      </c>
      <c r="G456" s="13">
        <f>'[1]Electricity and CHPs_IN'!C$95</f>
        <v>0</v>
      </c>
      <c r="H456" s="13">
        <f>'[1]Electricity and CHPs_IN'!D$95</f>
        <v>0</v>
      </c>
      <c r="I456" s="13">
        <f>'[1]Electricity and CHPs_IN'!E$95</f>
        <v>0</v>
      </c>
      <c r="J456" s="13">
        <f>'[1]Electricity and CHPs_IN'!F$95</f>
        <v>0</v>
      </c>
      <c r="K456" s="13">
        <f>'[1]Electricity and CHPs_IN'!G$95</f>
        <v>0</v>
      </c>
    </row>
    <row r="457" spans="1:11">
      <c r="A457" s="5" t="s">
        <v>5</v>
      </c>
      <c r="B457" s="5" t="s">
        <v>6</v>
      </c>
      <c r="C457" s="5" t="s">
        <v>7</v>
      </c>
      <c r="D457" t="s">
        <v>919</v>
      </c>
      <c r="E457" t="str">
        <f>E402</f>
        <v>PJ/yr.</v>
      </c>
      <c r="F457" s="13">
        <f>F458</f>
        <v>0</v>
      </c>
      <c r="G457" s="13">
        <f t="shared" ref="G457:K457" si="264">G458</f>
        <v>0</v>
      </c>
      <c r="H457" s="13">
        <f t="shared" si="264"/>
        <v>0</v>
      </c>
      <c r="I457" s="13">
        <f t="shared" si="264"/>
        <v>0</v>
      </c>
      <c r="J457" s="13">
        <f t="shared" si="264"/>
        <v>7.5447760700950362E-7</v>
      </c>
      <c r="K457" s="13">
        <f t="shared" si="264"/>
        <v>4.786618761191634E-7</v>
      </c>
    </row>
    <row r="458" spans="1:11">
      <c r="A458" s="5" t="s">
        <v>5</v>
      </c>
      <c r="B458" s="5" t="s">
        <v>6</v>
      </c>
      <c r="C458" s="5" t="s">
        <v>7</v>
      </c>
      <c r="D458" t="s">
        <v>234</v>
      </c>
      <c r="E458" t="str">
        <f>E403</f>
        <v>PJ/yr.</v>
      </c>
      <c r="F458" s="13">
        <f>'[1]Electricity and CHPs_IN'!B$96</f>
        <v>0</v>
      </c>
      <c r="G458" s="13">
        <f>'[1]Electricity and CHPs_IN'!C$96</f>
        <v>0</v>
      </c>
      <c r="H458" s="13">
        <f>'[1]Electricity and CHPs_IN'!D$96</f>
        <v>0</v>
      </c>
      <c r="I458" s="13">
        <f>'[1]Electricity and CHPs_IN'!E$96</f>
        <v>0</v>
      </c>
      <c r="J458" s="13">
        <f>'[1]Electricity and CHPs_IN'!F$96</f>
        <v>7.5447760700950362E-7</v>
      </c>
      <c r="K458" s="13">
        <f>'[1]Electricity and CHPs_IN'!G$96</f>
        <v>4.786618761191634E-7</v>
      </c>
    </row>
    <row r="459" spans="1:11">
      <c r="A459" s="5" t="s">
        <v>5</v>
      </c>
      <c r="B459" s="5" t="s">
        <v>6</v>
      </c>
      <c r="C459" s="5" t="s">
        <v>7</v>
      </c>
      <c r="D459" t="s">
        <v>920</v>
      </c>
      <c r="E459" t="str">
        <f>E402</f>
        <v>PJ/yr.</v>
      </c>
      <c r="F459" s="13">
        <f>F460</f>
        <v>0</v>
      </c>
      <c r="G459" s="13">
        <f t="shared" ref="G459" si="265">G460</f>
        <v>2.3294163621207469</v>
      </c>
      <c r="H459" s="13">
        <f>H460</f>
        <v>2.4000000076304424</v>
      </c>
      <c r="I459" s="13">
        <f t="shared" ref="I459" si="266">I460</f>
        <v>4.4879999370083246</v>
      </c>
      <c r="J459" s="13">
        <f t="shared" ref="J459" si="267">J460</f>
        <v>5.3394056885524943</v>
      </c>
      <c r="K459" s="13">
        <f t="shared" ref="K459" si="268">K460</f>
        <v>5.8991550145105878</v>
      </c>
    </row>
    <row r="460" spans="1:11">
      <c r="A460" s="5" t="s">
        <v>5</v>
      </c>
      <c r="B460" s="5" t="s">
        <v>6</v>
      </c>
      <c r="C460" s="5" t="s">
        <v>7</v>
      </c>
      <c r="D460" t="s">
        <v>921</v>
      </c>
      <c r="E460" t="str">
        <f>E403</f>
        <v>PJ/yr.</v>
      </c>
      <c r="F460" s="13">
        <f>'[1]Electricity and CHPs_IN'!B$97</f>
        <v>0</v>
      </c>
      <c r="G460" s="13">
        <f>'[1]Electricity and CHPs_IN'!C$97</f>
        <v>2.3294163621207469</v>
      </c>
      <c r="H460" s="13">
        <f>'[1]Electricity and CHPs_IN'!D$97</f>
        <v>2.4000000076304424</v>
      </c>
      <c r="I460" s="13">
        <f>'[1]Electricity and CHPs_IN'!E$97</f>
        <v>4.4879999370083246</v>
      </c>
      <c r="J460" s="13">
        <f>'[1]Electricity and CHPs_IN'!F$97</f>
        <v>5.3394056885524943</v>
      </c>
      <c r="K460" s="13">
        <f>'[1]Electricity and CHPs_IN'!G$97</f>
        <v>5.8991550145105878</v>
      </c>
    </row>
    <row r="461" spans="1:11">
      <c r="A461" s="5" t="s">
        <v>5</v>
      </c>
      <c r="B461" s="5" t="s">
        <v>6</v>
      </c>
      <c r="C461" s="5" t="s">
        <v>7</v>
      </c>
      <c r="D461" t="s">
        <v>922</v>
      </c>
      <c r="E461" t="str">
        <f>E397</f>
        <v>PJ/yr.</v>
      </c>
      <c r="F461" s="13">
        <f>SUM(F462,F468,F501,F510,F516)</f>
        <v>8.307472878512403</v>
      </c>
      <c r="G461" s="13">
        <f t="shared" ref="G461:K461" si="269">SUM(G462,G468,G501,G510,G516)</f>
        <v>8.5398836322428266</v>
      </c>
      <c r="H461" s="13">
        <f t="shared" si="269"/>
        <v>11.145624827614352</v>
      </c>
      <c r="I461" s="13">
        <f t="shared" si="269"/>
        <v>12.261573493202873</v>
      </c>
      <c r="J461" s="13">
        <f t="shared" si="269"/>
        <v>16.677121798282169</v>
      </c>
      <c r="K461" s="13">
        <f t="shared" si="269"/>
        <v>24.903649738538341</v>
      </c>
    </row>
    <row r="462" spans="1:11">
      <c r="A462" s="5" t="s">
        <v>5</v>
      </c>
      <c r="B462" s="5" t="s">
        <v>6</v>
      </c>
      <c r="C462" s="5" t="s">
        <v>7</v>
      </c>
      <c r="D462" t="s">
        <v>923</v>
      </c>
      <c r="E462" t="str">
        <f>E397</f>
        <v>PJ/yr.</v>
      </c>
      <c r="F462" s="13">
        <f>+F463</f>
        <v>0.27049726773181282</v>
      </c>
      <c r="G462" s="13">
        <f t="shared" ref="G462:K462" si="270">+G463</f>
        <v>0.64219308817108167</v>
      </c>
      <c r="H462" s="13">
        <f t="shared" si="270"/>
        <v>1.0617784080621485E-2</v>
      </c>
      <c r="I462" s="13">
        <f t="shared" si="270"/>
        <v>0.5762581903279701</v>
      </c>
      <c r="J462" s="13">
        <f t="shared" si="270"/>
        <v>1.7340573032787208E-2</v>
      </c>
      <c r="K462" s="13">
        <f t="shared" si="270"/>
        <v>3.952600326802347E-3</v>
      </c>
    </row>
    <row r="463" spans="1:11">
      <c r="A463" s="5" t="s">
        <v>5</v>
      </c>
      <c r="B463" s="5" t="s">
        <v>6</v>
      </c>
      <c r="C463" s="5" t="s">
        <v>7</v>
      </c>
      <c r="D463" t="s">
        <v>208</v>
      </c>
      <c r="E463" t="str">
        <f>E398</f>
        <v>PJ/yr.</v>
      </c>
      <c r="F463" s="13">
        <f>'[1]Electricity and CHPs_IN'!B$41-F299</f>
        <v>0.27049726773181282</v>
      </c>
      <c r="G463" s="13">
        <f>'[1]Electricity and CHPs_IN'!C$41-G299</f>
        <v>0.64219308817108167</v>
      </c>
      <c r="H463" s="13">
        <f>'[1]Electricity and CHPs_IN'!D$41-H299</f>
        <v>1.0617784080621485E-2</v>
      </c>
      <c r="I463" s="13">
        <f>'[1]Electricity and CHPs_IN'!E$41-I299</f>
        <v>0.5762581903279701</v>
      </c>
      <c r="J463" s="13">
        <f>'[1]Electricity and CHPs_IN'!F$41-J299</f>
        <v>1.7340573032787208E-2</v>
      </c>
      <c r="K463" s="13">
        <f>'[1]Electricity and CHPs_IN'!G$41-K299</f>
        <v>3.952600326802347E-3</v>
      </c>
    </row>
    <row r="464" spans="1:11">
      <c r="A464" s="5" t="s">
        <v>5</v>
      </c>
      <c r="B464" s="5" t="s">
        <v>6</v>
      </c>
      <c r="C464" s="5" t="s">
        <v>7</v>
      </c>
      <c r="D464" t="s">
        <v>925</v>
      </c>
      <c r="E464" t="str">
        <f>E397</f>
        <v>PJ/yr.</v>
      </c>
      <c r="F464" s="13">
        <f>F465</f>
        <v>0.27049726773181282</v>
      </c>
      <c r="G464" s="13">
        <f t="shared" ref="G464:K464" si="271">G465</f>
        <v>0.64219308817108167</v>
      </c>
      <c r="H464" s="13">
        <f t="shared" si="271"/>
        <v>1.0617784080621485E-2</v>
      </c>
      <c r="I464" s="13">
        <f t="shared" si="271"/>
        <v>0.5762581903279701</v>
      </c>
      <c r="J464" s="13">
        <f t="shared" si="271"/>
        <v>1.7340573032787208E-2</v>
      </c>
      <c r="K464" s="13">
        <f t="shared" si="271"/>
        <v>3.952600326802347E-3</v>
      </c>
    </row>
    <row r="465" spans="1:11">
      <c r="A465" s="5" t="s">
        <v>5</v>
      </c>
      <c r="B465" s="5" t="s">
        <v>6</v>
      </c>
      <c r="C465" s="5" t="s">
        <v>7</v>
      </c>
      <c r="D465" t="s">
        <v>529</v>
      </c>
      <c r="E465" t="str">
        <f>E398</f>
        <v>PJ/yr.</v>
      </c>
      <c r="F465" s="13">
        <f>F463-F467</f>
        <v>0.27049726773181282</v>
      </c>
      <c r="G465" s="13">
        <f t="shared" ref="G465:K465" si="272">G463-G467</f>
        <v>0.64219308817108167</v>
      </c>
      <c r="H465" s="13">
        <f t="shared" si="272"/>
        <v>1.0617784080621485E-2</v>
      </c>
      <c r="I465" s="13">
        <f t="shared" si="272"/>
        <v>0.5762581903279701</v>
      </c>
      <c r="J465" s="13">
        <f t="shared" si="272"/>
        <v>1.7340573032787208E-2</v>
      </c>
      <c r="K465" s="13">
        <f t="shared" si="272"/>
        <v>3.952600326802347E-3</v>
      </c>
    </row>
    <row r="466" spans="1:11">
      <c r="A466" s="5" t="s">
        <v>5</v>
      </c>
      <c r="B466" s="5" t="s">
        <v>6</v>
      </c>
      <c r="C466" s="5" t="s">
        <v>7</v>
      </c>
      <c r="D466" t="s">
        <v>926</v>
      </c>
      <c r="E466" t="str">
        <f>E398</f>
        <v>PJ/yr.</v>
      </c>
      <c r="F466" s="13">
        <f>F467</f>
        <v>0</v>
      </c>
      <c r="G466" s="13">
        <f t="shared" ref="G466:K466" si="273">G467</f>
        <v>0</v>
      </c>
      <c r="H466" s="13">
        <f t="shared" si="273"/>
        <v>0</v>
      </c>
      <c r="I466" s="13">
        <f t="shared" si="273"/>
        <v>0</v>
      </c>
      <c r="J466" s="13">
        <f t="shared" si="273"/>
        <v>0</v>
      </c>
      <c r="K466" s="13">
        <f t="shared" si="273"/>
        <v>0</v>
      </c>
    </row>
    <row r="467" spans="1:11">
      <c r="A467" s="5" t="s">
        <v>5</v>
      </c>
      <c r="B467" s="5" t="s">
        <v>6</v>
      </c>
      <c r="C467" s="5" t="s">
        <v>7</v>
      </c>
      <c r="D467" t="s">
        <v>553</v>
      </c>
      <c r="E467" t="str">
        <f>E399</f>
        <v>PJ/yr.</v>
      </c>
      <c r="F467" s="13">
        <f>IFERROR(F307/F299,0)*F463</f>
        <v>0</v>
      </c>
      <c r="G467" s="13">
        <f t="shared" ref="G467:K467" si="274">IFERROR(G307/G299,0)*G463</f>
        <v>0</v>
      </c>
      <c r="H467" s="13">
        <f t="shared" si="274"/>
        <v>0</v>
      </c>
      <c r="I467" s="13">
        <f t="shared" si="274"/>
        <v>0</v>
      </c>
      <c r="J467" s="13">
        <f t="shared" si="274"/>
        <v>0</v>
      </c>
      <c r="K467" s="13">
        <f t="shared" si="274"/>
        <v>0</v>
      </c>
    </row>
    <row r="468" spans="1:11">
      <c r="A468" s="5" t="s">
        <v>5</v>
      </c>
      <c r="B468" s="5" t="s">
        <v>6</v>
      </c>
      <c r="C468" s="5" t="s">
        <v>7</v>
      </c>
      <c r="D468" t="s">
        <v>924</v>
      </c>
      <c r="E468" t="str">
        <f>E399</f>
        <v>PJ/yr.</v>
      </c>
      <c r="F468" s="13">
        <f>SUM(F469:F478)</f>
        <v>4.0277758388300606</v>
      </c>
      <c r="G468" s="13">
        <f t="shared" ref="G468:K468" si="275">SUM(G469:G478)</f>
        <v>2.9069605927670628</v>
      </c>
      <c r="H468" s="13">
        <f t="shared" si="275"/>
        <v>2.7628352243190974</v>
      </c>
      <c r="I468" s="13">
        <f t="shared" si="275"/>
        <v>3.319722641900845</v>
      </c>
      <c r="J468" s="13">
        <f t="shared" si="275"/>
        <v>3.1099886758901807</v>
      </c>
      <c r="K468" s="13">
        <f t="shared" si="275"/>
        <v>4.0741397023761499</v>
      </c>
    </row>
    <row r="469" spans="1:11">
      <c r="A469" s="5" t="s">
        <v>5</v>
      </c>
      <c r="B469" s="5" t="s">
        <v>6</v>
      </c>
      <c r="C469" s="5" t="s">
        <v>7</v>
      </c>
      <c r="D469" t="s">
        <v>209</v>
      </c>
      <c r="E469" t="str">
        <f>E400</f>
        <v>PJ/yr.</v>
      </c>
      <c r="F469" s="13">
        <f>'[1]Electricity and CHPs_IN'!B$39-F314</f>
        <v>1.4487637340740469</v>
      </c>
      <c r="G469" s="13">
        <f>'[1]Electricity and CHPs_IN'!C$39-G314</f>
        <v>0.16438052447350537</v>
      </c>
      <c r="H469" s="13">
        <f>'[1]Electricity and CHPs_IN'!D$39-H314</f>
        <v>0.10169808610086076</v>
      </c>
      <c r="I469" s="13">
        <f>'[1]Electricity and CHPs_IN'!E$39-I314</f>
        <v>0.20848647357788913</v>
      </c>
      <c r="J469" s="13">
        <f>'[1]Electricity and CHPs_IN'!F$39-J314</f>
        <v>2.0535275360224037E-2</v>
      </c>
      <c r="K469" s="13">
        <f>'[1]Electricity and CHPs_IN'!G$39-K314</f>
        <v>0.39408810459182059</v>
      </c>
    </row>
    <row r="470" spans="1:11">
      <c r="A470" s="5" t="s">
        <v>5</v>
      </c>
      <c r="B470" s="5" t="s">
        <v>6</v>
      </c>
      <c r="C470" s="5" t="s">
        <v>7</v>
      </c>
      <c r="D470" t="s">
        <v>210</v>
      </c>
      <c r="E470" t="str">
        <f>E401</f>
        <v>PJ/yr.</v>
      </c>
      <c r="F470" s="18">
        <f>'[1]Electricity and CHPs_IN'!B$40-F315</f>
        <v>0</v>
      </c>
      <c r="G470" s="18">
        <f>'[1]Electricity and CHPs_IN'!C$40-G315</f>
        <v>0</v>
      </c>
      <c r="H470" s="18">
        <f>'[1]Electricity and CHPs_IN'!D$40-H315</f>
        <v>0</v>
      </c>
      <c r="I470" s="18">
        <f>'[1]Electricity and CHPs_IN'!E$40-I315</f>
        <v>0</v>
      </c>
      <c r="J470" s="18">
        <f>'[1]Electricity and CHPs_IN'!F$40-J315</f>
        <v>4.1743931390205206E-5</v>
      </c>
      <c r="K470" s="18">
        <f>'[1]Electricity and CHPs_IN'!G$40-K315</f>
        <v>0.15395664445914137</v>
      </c>
    </row>
    <row r="471" spans="1:11">
      <c r="A471" s="5" t="s">
        <v>5</v>
      </c>
      <c r="B471" s="5" t="s">
        <v>6</v>
      </c>
      <c r="C471" s="5" t="s">
        <v>7</v>
      </c>
      <c r="D471" t="s">
        <v>211</v>
      </c>
      <c r="E471" t="str">
        <f>E402</f>
        <v>PJ/yr.</v>
      </c>
      <c r="F471" s="18">
        <f>'[1]Electricity and CHPs_IN'!$B$47-F316</f>
        <v>0</v>
      </c>
      <c r="G471" s="18">
        <f>'[1]Electricity and CHPs_IN'!$B$47-G316</f>
        <v>0</v>
      </c>
      <c r="H471" s="18">
        <f>'[1]Electricity and CHPs_IN'!$B$47-H316</f>
        <v>0</v>
      </c>
      <c r="I471" s="18">
        <f>'[1]Electricity and CHPs_IN'!$B$47-I316</f>
        <v>0</v>
      </c>
      <c r="J471" s="18">
        <f>'[1]Electricity and CHPs_IN'!$B$47-J316</f>
        <v>0</v>
      </c>
      <c r="K471" s="18">
        <f>'[1]Electricity and CHPs_IN'!$B$47-K316</f>
        <v>0</v>
      </c>
    </row>
    <row r="472" spans="1:11">
      <c r="A472" s="5" t="s">
        <v>5</v>
      </c>
      <c r="B472" s="5" t="s">
        <v>6</v>
      </c>
      <c r="C472" s="5" t="s">
        <v>7</v>
      </c>
      <c r="D472" t="s">
        <v>212</v>
      </c>
      <c r="E472" t="str">
        <f>E427</f>
        <v>PJ/yr.</v>
      </c>
      <c r="F472" s="13">
        <f>'[1]Electricity and CHPs_IN'!B$48-F317</f>
        <v>3.3582224727965848E-2</v>
      </c>
      <c r="G472" s="13">
        <f>'[1]Electricity and CHPs_IN'!C$48-G317</f>
        <v>9.5935651689582841E-4</v>
      </c>
      <c r="H472" s="13">
        <f>'[1]Electricity and CHPs_IN'!D$48-H317</f>
        <v>1.1450960221589112E-3</v>
      </c>
      <c r="I472" s="13">
        <f>'[1]Electricity and CHPs_IN'!E$48-I317</f>
        <v>1.0870021382918256E-3</v>
      </c>
      <c r="J472" s="13">
        <f>'[1]Electricity and CHPs_IN'!F$48-J317</f>
        <v>2.1054025602784718E-3</v>
      </c>
      <c r="K472" s="13">
        <f>'[1]Electricity and CHPs_IN'!G$48-K317</f>
        <v>1.516518854728378E-3</v>
      </c>
    </row>
    <row r="473" spans="1:11">
      <c r="A473" s="5" t="s">
        <v>5</v>
      </c>
      <c r="B473" s="5" t="s">
        <v>6</v>
      </c>
      <c r="C473" s="5" t="s">
        <v>7</v>
      </c>
      <c r="D473" t="s">
        <v>213</v>
      </c>
      <c r="E473" t="str">
        <f>E429</f>
        <v>PJ/yr.</v>
      </c>
      <c r="F473" s="18">
        <f>'[1]Electricity and CHPs_IN'!B$49-F318</f>
        <v>0</v>
      </c>
      <c r="G473" s="18">
        <f>'[1]Electricity and CHPs_IN'!C$49-G318</f>
        <v>0</v>
      </c>
      <c r="H473" s="18">
        <f>'[1]Electricity and CHPs_IN'!D$49-H318</f>
        <v>0</v>
      </c>
      <c r="I473" s="18">
        <f>'[1]Electricity and CHPs_IN'!E$49-I318</f>
        <v>0</v>
      </c>
      <c r="J473" s="18">
        <f>'[1]Electricity and CHPs_IN'!F$49-J318</f>
        <v>0</v>
      </c>
      <c r="K473" s="18">
        <f>'[1]Electricity and CHPs_IN'!G$49-K318</f>
        <v>0</v>
      </c>
    </row>
    <row r="474" spans="1:11">
      <c r="A474" s="5" t="s">
        <v>5</v>
      </c>
      <c r="B474" s="5" t="s">
        <v>6</v>
      </c>
      <c r="C474" s="5" t="s">
        <v>7</v>
      </c>
      <c r="D474" t="s">
        <v>214</v>
      </c>
      <c r="E474" t="str">
        <f>E430</f>
        <v>PJ/yr.</v>
      </c>
      <c r="F474" s="13">
        <f>'[1]Electricity and CHPs_IN'!B$51-F319</f>
        <v>7.5842834997873865E-2</v>
      </c>
      <c r="G474" s="13">
        <f>'[1]Electricity and CHPs_IN'!C$51-G319</f>
        <v>2.8183966971574506E-3</v>
      </c>
      <c r="H474" s="13">
        <f>'[1]Electricity and CHPs_IN'!D$51-H319</f>
        <v>4.0592585654362651E-3</v>
      </c>
      <c r="I474" s="13">
        <f>'[1]Electricity and CHPs_IN'!E$51-I319</f>
        <v>0.56328374130201531</v>
      </c>
      <c r="J474" s="13">
        <f>'[1]Electricity and CHPs_IN'!F$51-J319</f>
        <v>0.85924697603529498</v>
      </c>
      <c r="K474" s="13">
        <f>'[1]Electricity and CHPs_IN'!G$51-K319</f>
        <v>0.86916108981776474</v>
      </c>
    </row>
    <row r="475" spans="1:11">
      <c r="A475" s="5" t="s">
        <v>5</v>
      </c>
      <c r="B475" s="5" t="s">
        <v>6</v>
      </c>
      <c r="C475" s="5" t="s">
        <v>7</v>
      </c>
      <c r="D475" t="s">
        <v>215</v>
      </c>
      <c r="E475" t="str">
        <f>E432</f>
        <v>PJ/yr.</v>
      </c>
      <c r="F475" s="13">
        <f>'[1]Electricity and CHPs_IN'!B$52-F320</f>
        <v>0</v>
      </c>
      <c r="G475" s="13">
        <f>'[1]Electricity and CHPs_IN'!C$52-G320</f>
        <v>0</v>
      </c>
      <c r="H475" s="13">
        <f>'[1]Electricity and CHPs_IN'!D$52-H320</f>
        <v>0</v>
      </c>
      <c r="I475" s="13">
        <f>'[1]Electricity and CHPs_IN'!E$52-I320</f>
        <v>0</v>
      </c>
      <c r="J475" s="13">
        <f>'[1]Electricity and CHPs_IN'!F$52-J320</f>
        <v>0</v>
      </c>
      <c r="K475" s="13">
        <f>'[1]Electricity and CHPs_IN'!G$52-K320</f>
        <v>0</v>
      </c>
    </row>
    <row r="476" spans="1:11">
      <c r="A476" s="5" t="s">
        <v>5</v>
      </c>
      <c r="B476" s="5" t="s">
        <v>6</v>
      </c>
      <c r="C476" s="5" t="s">
        <v>7</v>
      </c>
      <c r="D476" t="s">
        <v>216</v>
      </c>
      <c r="E476" t="str">
        <f>E456</f>
        <v>PJ/yr.</v>
      </c>
      <c r="F476" s="13">
        <f>'[1]Electricity and CHPs_IN'!B$54-F321</f>
        <v>1.5806760222639189</v>
      </c>
      <c r="G476" s="13">
        <f>'[1]Electricity and CHPs_IN'!C$54-G321</f>
        <v>1.7910132149926208</v>
      </c>
      <c r="H476" s="13">
        <f>'[1]Electricity and CHPs_IN'!D$54-H321</f>
        <v>1.8479122305741962</v>
      </c>
      <c r="I476" s="13">
        <f>'[1]Electricity and CHPs_IN'!E$54-I321</f>
        <v>1.7526699641383625</v>
      </c>
      <c r="J476" s="13">
        <f>'[1]Electricity and CHPs_IN'!F$54-J321</f>
        <v>1.9198549508794249</v>
      </c>
      <c r="K476" s="13">
        <f>'[1]Electricity and CHPs_IN'!G$54-K321</f>
        <v>2.6552936042827811</v>
      </c>
    </row>
    <row r="477" spans="1:11">
      <c r="A477" s="5" t="s">
        <v>5</v>
      </c>
      <c r="B477" s="5" t="s">
        <v>6</v>
      </c>
      <c r="C477" s="5" t="s">
        <v>7</v>
      </c>
      <c r="D477" t="s">
        <v>217</v>
      </c>
      <c r="E477" t="str">
        <f>E458</f>
        <v>PJ/yr.</v>
      </c>
      <c r="F477" s="13">
        <f>'[1]Electricity and CHPs_IN'!B$55-F322</f>
        <v>0.88891102276625455</v>
      </c>
      <c r="G477" s="13">
        <f>'[1]Electricity and CHPs_IN'!C$55-G322</f>
        <v>0.94778910008688344</v>
      </c>
      <c r="H477" s="13">
        <f>'[1]Electricity and CHPs_IN'!D$55-H322</f>
        <v>0.80802055305644549</v>
      </c>
      <c r="I477" s="13">
        <f>'[1]Electricity and CHPs_IN'!E$55-I322</f>
        <v>0.79419169974772463</v>
      </c>
      <c r="J477" s="13">
        <f>'[1]Electricity and CHPs_IN'!F$55-J322</f>
        <v>0.30819233210051988</v>
      </c>
      <c r="K477" s="13">
        <f>'[1]Electricity and CHPs_IN'!G$55-K322</f>
        <v>1.1892139405151932E-4</v>
      </c>
    </row>
    <row r="478" spans="1:11">
      <c r="A478" s="5" t="s">
        <v>5</v>
      </c>
      <c r="B478" s="5" t="s">
        <v>6</v>
      </c>
      <c r="C478" s="5" t="s">
        <v>7</v>
      </c>
      <c r="D478" t="s">
        <v>218</v>
      </c>
      <c r="E478" t="str">
        <f>E460</f>
        <v>PJ/yr.</v>
      </c>
      <c r="F478" s="13">
        <f>'[1]Electricity and CHPs_IN'!B$58-F323</f>
        <v>0</v>
      </c>
      <c r="G478" s="13">
        <f>'[1]Electricity and CHPs_IN'!C$58-G323</f>
        <v>0</v>
      </c>
      <c r="H478" s="13">
        <f>'[1]Electricity and CHPs_IN'!D$58-H323</f>
        <v>0</v>
      </c>
      <c r="I478" s="13">
        <f>'[1]Electricity and CHPs_IN'!E$58-I323</f>
        <v>3.7609965618375934E-6</v>
      </c>
      <c r="J478" s="13">
        <f>'[1]Electricity and CHPs_IN'!F$58-J323</f>
        <v>1.1995023048200829E-5</v>
      </c>
      <c r="K478" s="13">
        <f>'[1]Electricity and CHPs_IN'!G$58-K323</f>
        <v>4.8189758629601388E-6</v>
      </c>
    </row>
    <row r="479" spans="1:11">
      <c r="A479" s="5" t="s">
        <v>5</v>
      </c>
      <c r="B479" s="5" t="s">
        <v>6</v>
      </c>
      <c r="C479" s="5" t="s">
        <v>7</v>
      </c>
      <c r="D479" t="s">
        <v>927</v>
      </c>
      <c r="E479" t="str">
        <f>E400</f>
        <v>PJ/yr.</v>
      </c>
      <c r="F479" s="13">
        <f>SUM(F480:F489)</f>
        <v>2.3862429829174139</v>
      </c>
      <c r="G479" s="13">
        <f t="shared" ref="G479:K479" si="276">SUM(G480:G489)</f>
        <v>0.94951536889582522</v>
      </c>
      <c r="H479" s="13">
        <f t="shared" si="276"/>
        <v>0.8825451578822503</v>
      </c>
      <c r="I479" s="13">
        <f t="shared" si="276"/>
        <v>1.5403606633307252</v>
      </c>
      <c r="J479" s="13">
        <f t="shared" si="276"/>
        <v>1.181128066636395</v>
      </c>
      <c r="K479" s="13">
        <f t="shared" si="276"/>
        <v>0.99733743253485374</v>
      </c>
    </row>
    <row r="480" spans="1:11">
      <c r="A480" s="5" t="s">
        <v>5</v>
      </c>
      <c r="B480" s="5" t="s">
        <v>6</v>
      </c>
      <c r="C480" s="5" t="s">
        <v>7</v>
      </c>
      <c r="D480" t="s">
        <v>602</v>
      </c>
      <c r="E480" t="str">
        <f>E400</f>
        <v>PJ/yr.</v>
      </c>
      <c r="F480" s="13">
        <f t="shared" ref="F480:F486" si="277">F469-F491</f>
        <v>1.412734483054539</v>
      </c>
      <c r="G480" s="13">
        <f t="shared" ref="G480:K480" si="278">G469-G491</f>
        <v>0.13986486947621762</v>
      </c>
      <c r="H480" s="13">
        <f t="shared" si="278"/>
        <v>9.8099134099619956E-2</v>
      </c>
      <c r="I480" s="13">
        <f t="shared" si="278"/>
        <v>0.20493526943489049</v>
      </c>
      <c r="J480" s="13">
        <f t="shared" si="278"/>
        <v>2.0379886372725229E-2</v>
      </c>
      <c r="K480" s="13">
        <f t="shared" si="278"/>
        <v>0.27701300299891207</v>
      </c>
    </row>
    <row r="481" spans="1:18">
      <c r="A481" s="5" t="s">
        <v>5</v>
      </c>
      <c r="B481" s="5" t="s">
        <v>6</v>
      </c>
      <c r="C481" s="5" t="s">
        <v>7</v>
      </c>
      <c r="D481" t="s">
        <v>603</v>
      </c>
      <c r="E481" t="str">
        <f>E401</f>
        <v>PJ/yr.</v>
      </c>
      <c r="F481" s="13">
        <f t="shared" si="277"/>
        <v>0</v>
      </c>
      <c r="G481" s="13">
        <f t="shared" ref="G481:K481" si="279">G470-G492</f>
        <v>0</v>
      </c>
      <c r="H481" s="13">
        <f t="shared" si="279"/>
        <v>0</v>
      </c>
      <c r="I481" s="13">
        <f t="shared" si="279"/>
        <v>0</v>
      </c>
      <c r="J481" s="13">
        <f t="shared" si="279"/>
        <v>4.1428057990936946E-5</v>
      </c>
      <c r="K481" s="13">
        <f t="shared" si="279"/>
        <v>0.10821943600006784</v>
      </c>
    </row>
    <row r="482" spans="1:18">
      <c r="A482" s="5" t="s">
        <v>5</v>
      </c>
      <c r="B482" s="5" t="s">
        <v>6</v>
      </c>
      <c r="C482" s="5" t="s">
        <v>7</v>
      </c>
      <c r="D482" t="s">
        <v>604</v>
      </c>
      <c r="E482" t="str">
        <f>E402</f>
        <v>PJ/yr.</v>
      </c>
      <c r="F482" s="13">
        <f t="shared" si="277"/>
        <v>0</v>
      </c>
      <c r="G482" s="13">
        <f t="shared" ref="G482:K482" si="280">G471-G493</f>
        <v>0</v>
      </c>
      <c r="H482" s="13">
        <f t="shared" si="280"/>
        <v>0</v>
      </c>
      <c r="I482" s="13">
        <f t="shared" si="280"/>
        <v>0</v>
      </c>
      <c r="J482" s="13">
        <f t="shared" si="280"/>
        <v>0</v>
      </c>
      <c r="K482" s="13">
        <f t="shared" si="280"/>
        <v>0</v>
      </c>
    </row>
    <row r="483" spans="1:18">
      <c r="A483" s="5" t="s">
        <v>5</v>
      </c>
      <c r="B483" s="5" t="s">
        <v>6</v>
      </c>
      <c r="C483" s="5" t="s">
        <v>7</v>
      </c>
      <c r="D483" t="s">
        <v>605</v>
      </c>
      <c r="E483" t="str">
        <f>E427</f>
        <v>PJ/yr.</v>
      </c>
      <c r="F483" s="13">
        <f t="shared" si="277"/>
        <v>3.2747069639485718E-2</v>
      </c>
      <c r="G483" s="13">
        <f t="shared" ref="G483:K483" si="281">G472-G494</f>
        <v>8.1627841525971521E-4</v>
      </c>
      <c r="H483" s="13">
        <f t="shared" si="281"/>
        <v>1.1045726870739768E-3</v>
      </c>
      <c r="I483" s="13">
        <f t="shared" si="281"/>
        <v>1.0684869491253295E-3</v>
      </c>
      <c r="J483" s="13">
        <f t="shared" si="281"/>
        <v>2.0894711268606004E-3</v>
      </c>
      <c r="K483" s="13">
        <f t="shared" si="281"/>
        <v>1.0659937134816478E-3</v>
      </c>
    </row>
    <row r="484" spans="1:18">
      <c r="A484" s="5" t="s">
        <v>5</v>
      </c>
      <c r="B484" s="5" t="s">
        <v>6</v>
      </c>
      <c r="C484" s="5" t="s">
        <v>7</v>
      </c>
      <c r="D484" t="s">
        <v>606</v>
      </c>
      <c r="E484" t="str">
        <f>E429</f>
        <v>PJ/yr.</v>
      </c>
      <c r="F484" s="13">
        <f t="shared" si="277"/>
        <v>0</v>
      </c>
      <c r="G484" s="13">
        <f t="shared" ref="G484:K484" si="282">G473-G495</f>
        <v>0</v>
      </c>
      <c r="H484" s="13">
        <f t="shared" si="282"/>
        <v>0</v>
      </c>
      <c r="I484" s="13">
        <f t="shared" si="282"/>
        <v>0</v>
      </c>
      <c r="J484" s="13">
        <f t="shared" si="282"/>
        <v>0</v>
      </c>
      <c r="K484" s="13">
        <f t="shared" si="282"/>
        <v>0</v>
      </c>
    </row>
    <row r="485" spans="1:18">
      <c r="A485" s="5" t="s">
        <v>5</v>
      </c>
      <c r="B485" s="5" t="s">
        <v>6</v>
      </c>
      <c r="C485" s="5" t="s">
        <v>7</v>
      </c>
      <c r="D485" t="s">
        <v>607</v>
      </c>
      <c r="E485" t="str">
        <f>E431</f>
        <v>PJ/yr.</v>
      </c>
      <c r="F485" s="13">
        <f t="shared" si="277"/>
        <v>7.39567023760382E-2</v>
      </c>
      <c r="G485" s="13">
        <f t="shared" ref="G485:K485" si="283">G474-G496</f>
        <v>2.3980619811422091E-3</v>
      </c>
      <c r="H485" s="13">
        <f t="shared" si="283"/>
        <v>3.9156071232336869E-3</v>
      </c>
      <c r="I485" s="13">
        <f t="shared" si="283"/>
        <v>0.55368918333637263</v>
      </c>
      <c r="J485" s="13">
        <f t="shared" si="283"/>
        <v>0.85274511446901891</v>
      </c>
      <c r="K485" s="13">
        <f t="shared" si="283"/>
        <v>0.61095202005552585</v>
      </c>
    </row>
    <row r="486" spans="1:18">
      <c r="A486" s="5" t="s">
        <v>5</v>
      </c>
      <c r="B486" s="5" t="s">
        <v>6</v>
      </c>
      <c r="C486" s="5" t="s">
        <v>7</v>
      </c>
      <c r="D486" t="s">
        <v>608</v>
      </c>
      <c r="E486" t="str">
        <f>E432</f>
        <v>PJ/yr.</v>
      </c>
      <c r="F486" s="13">
        <f t="shared" si="277"/>
        <v>0</v>
      </c>
      <c r="G486" s="13">
        <f t="shared" ref="G486:K486" si="284">G475-G497</f>
        <v>0</v>
      </c>
      <c r="H486" s="13">
        <f t="shared" si="284"/>
        <v>0</v>
      </c>
      <c r="I486" s="13">
        <f t="shared" si="284"/>
        <v>0</v>
      </c>
      <c r="J486" s="13">
        <f t="shared" si="284"/>
        <v>0</v>
      </c>
      <c r="K486" s="13">
        <f t="shared" si="284"/>
        <v>0</v>
      </c>
    </row>
    <row r="487" spans="1:18">
      <c r="A487" s="5" t="s">
        <v>5</v>
      </c>
      <c r="B487" s="5" t="s">
        <v>6</v>
      </c>
      <c r="C487" s="5" t="s">
        <v>7</v>
      </c>
      <c r="D487" t="s">
        <v>609</v>
      </c>
      <c r="E487" t="str">
        <f>E469</f>
        <v>PJ/yr.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</row>
    <row r="488" spans="1:18">
      <c r="A488" s="5" t="s">
        <v>5</v>
      </c>
      <c r="B488" s="5" t="s">
        <v>6</v>
      </c>
      <c r="C488" s="5" t="s">
        <v>7</v>
      </c>
      <c r="D488" t="s">
        <v>610</v>
      </c>
      <c r="E488" t="str">
        <f>E471</f>
        <v>PJ/yr.</v>
      </c>
      <c r="F488" s="13">
        <f>F477-F499</f>
        <v>0.86680472784735108</v>
      </c>
      <c r="G488" s="13">
        <f t="shared" ref="G488:K488" si="285">G477-G499</f>
        <v>0.80643615902320565</v>
      </c>
      <c r="H488" s="13">
        <f t="shared" si="285"/>
        <v>0.77942584397232273</v>
      </c>
      <c r="I488" s="13">
        <f t="shared" si="285"/>
        <v>0.78066402667580426</v>
      </c>
      <c r="J488" s="13">
        <f t="shared" si="285"/>
        <v>0.30586026235224878</v>
      </c>
      <c r="K488" s="13">
        <f t="shared" si="285"/>
        <v>8.3592405107352905E-5</v>
      </c>
    </row>
    <row r="489" spans="1:18">
      <c r="A489" s="5" t="s">
        <v>5</v>
      </c>
      <c r="B489" s="5" t="s">
        <v>6</v>
      </c>
      <c r="C489" s="5" t="s">
        <v>7</v>
      </c>
      <c r="D489" t="s">
        <v>611</v>
      </c>
      <c r="E489" t="str">
        <f>E473</f>
        <v>PJ/yr.</v>
      </c>
      <c r="F489" s="13">
        <f>F478-F500</f>
        <v>0</v>
      </c>
      <c r="G489" s="13">
        <f t="shared" ref="G489:K489" si="286">G478-G500</f>
        <v>0</v>
      </c>
      <c r="H489" s="13">
        <f t="shared" si="286"/>
        <v>0</v>
      </c>
      <c r="I489" s="13">
        <f t="shared" si="286"/>
        <v>3.6969345325702052E-6</v>
      </c>
      <c r="J489" s="13">
        <f t="shared" si="286"/>
        <v>1.1904257550597856E-5</v>
      </c>
      <c r="K489" s="13">
        <f t="shared" si="286"/>
        <v>3.3873617590170938E-6</v>
      </c>
    </row>
    <row r="490" spans="1:18">
      <c r="A490" s="5" t="s">
        <v>5</v>
      </c>
      <c r="B490" s="5" t="s">
        <v>6</v>
      </c>
      <c r="C490" s="5" t="s">
        <v>7</v>
      </c>
      <c r="D490" t="s">
        <v>928</v>
      </c>
      <c r="E490" t="str">
        <f>E401</f>
        <v>PJ/yr.</v>
      </c>
      <c r="F490" s="13">
        <f>SUM(F491:F500)</f>
        <v>1.6415328559126461</v>
      </c>
      <c r="G490" s="13">
        <f t="shared" ref="G490:K490" si="287">SUM(G491:G500)</f>
        <v>1.9574452238712376</v>
      </c>
      <c r="H490" s="13">
        <f t="shared" si="287"/>
        <v>1.8802900664368472</v>
      </c>
      <c r="I490" s="13">
        <f t="shared" si="287"/>
        <v>1.7793619785701198</v>
      </c>
      <c r="J490" s="13">
        <f t="shared" si="287"/>
        <v>1.9288606092537857</v>
      </c>
      <c r="K490" s="13">
        <f t="shared" si="287"/>
        <v>3.0768022698412971</v>
      </c>
      <c r="M490" s="7"/>
      <c r="N490" s="7"/>
      <c r="O490" s="7"/>
      <c r="P490" s="7"/>
      <c r="Q490" s="7"/>
      <c r="R490" s="7"/>
    </row>
    <row r="491" spans="1:18">
      <c r="A491" s="5" t="s">
        <v>5</v>
      </c>
      <c r="B491" s="5" t="s">
        <v>6</v>
      </c>
      <c r="C491" s="5" t="s">
        <v>7</v>
      </c>
      <c r="D491" t="s">
        <v>663</v>
      </c>
      <c r="E491" t="str">
        <f>E403</f>
        <v>PJ/yr.</v>
      </c>
      <c r="F491" s="13">
        <f t="shared" ref="F491:F497" si="288">IFERROR(F346/F314,0)*F469</f>
        <v>3.6029251019507984E-2</v>
      </c>
      <c r="G491" s="13">
        <f t="shared" ref="G491:K491" si="289">IFERROR(G346/G314,0)*G469</f>
        <v>2.4515654997287757E-2</v>
      </c>
      <c r="H491" s="13">
        <f t="shared" si="289"/>
        <v>3.5989520012407964E-3</v>
      </c>
      <c r="I491" s="13">
        <f t="shared" si="289"/>
        <v>3.5512041429986521E-3</v>
      </c>
      <c r="J491" s="13">
        <f t="shared" si="289"/>
        <v>1.5538898749880867E-4</v>
      </c>
      <c r="K491" s="13">
        <f t="shared" si="289"/>
        <v>0.1170751015929085</v>
      </c>
    </row>
    <row r="492" spans="1:18">
      <c r="A492" s="5" t="s">
        <v>5</v>
      </c>
      <c r="B492" s="5" t="s">
        <v>6</v>
      </c>
      <c r="C492" s="5" t="s">
        <v>7</v>
      </c>
      <c r="D492" t="s">
        <v>664</v>
      </c>
      <c r="E492" t="str">
        <f>E404</f>
        <v>PJ/yr.</v>
      </c>
      <c r="F492" s="13">
        <f t="shared" si="288"/>
        <v>0</v>
      </c>
      <c r="G492" s="13">
        <f t="shared" ref="G492:K492" si="290">IFERROR(G347/G315,0)*G470</f>
        <v>0</v>
      </c>
      <c r="H492" s="13">
        <f t="shared" si="290"/>
        <v>0</v>
      </c>
      <c r="I492" s="13">
        <f t="shared" si="290"/>
        <v>0</v>
      </c>
      <c r="J492" s="13">
        <f t="shared" si="290"/>
        <v>3.1587339926826113E-7</v>
      </c>
      <c r="K492" s="13">
        <f t="shared" si="290"/>
        <v>4.5737208459073538E-2</v>
      </c>
    </row>
    <row r="493" spans="1:18">
      <c r="A493" s="5" t="s">
        <v>5</v>
      </c>
      <c r="B493" s="5" t="s">
        <v>6</v>
      </c>
      <c r="C493" s="5" t="s">
        <v>7</v>
      </c>
      <c r="D493" t="s">
        <v>665</v>
      </c>
      <c r="E493" t="str">
        <f>E405</f>
        <v>PJ/yr.</v>
      </c>
      <c r="F493" s="13">
        <f t="shared" si="288"/>
        <v>0</v>
      </c>
      <c r="G493" s="13">
        <f t="shared" ref="G493:K493" si="291">IFERROR(G348/G316,0)*G471</f>
        <v>0</v>
      </c>
      <c r="H493" s="13">
        <f t="shared" si="291"/>
        <v>0</v>
      </c>
      <c r="I493" s="13">
        <f t="shared" si="291"/>
        <v>0</v>
      </c>
      <c r="J493" s="13">
        <f t="shared" si="291"/>
        <v>0</v>
      </c>
      <c r="K493" s="13">
        <f t="shared" si="291"/>
        <v>0</v>
      </c>
    </row>
    <row r="494" spans="1:18">
      <c r="A494" s="5" t="s">
        <v>5</v>
      </c>
      <c r="B494" s="5" t="s">
        <v>6</v>
      </c>
      <c r="C494" s="5" t="s">
        <v>7</v>
      </c>
      <c r="D494" t="s">
        <v>666</v>
      </c>
      <c r="E494" t="str">
        <f>E433</f>
        <v>PJ/yr.</v>
      </c>
      <c r="F494" s="13">
        <f t="shared" si="288"/>
        <v>8.3515508848012673E-4</v>
      </c>
      <c r="G494" s="13">
        <f t="shared" ref="G494:K494" si="292">IFERROR(G349/G317,0)*G472</f>
        <v>1.4307810163611322E-4</v>
      </c>
      <c r="H494" s="13">
        <f t="shared" si="292"/>
        <v>4.052333508493436E-5</v>
      </c>
      <c r="I494" s="13">
        <f t="shared" si="292"/>
        <v>1.8515189166495966E-5</v>
      </c>
      <c r="J494" s="13">
        <f t="shared" si="292"/>
        <v>1.5931433417871461E-5</v>
      </c>
      <c r="K494" s="13">
        <f t="shared" si="292"/>
        <v>4.5052514124673015E-4</v>
      </c>
    </row>
    <row r="495" spans="1:18">
      <c r="A495" s="5" t="s">
        <v>5</v>
      </c>
      <c r="B495" s="5" t="s">
        <v>6</v>
      </c>
      <c r="C495" s="5" t="s">
        <v>7</v>
      </c>
      <c r="D495" t="s">
        <v>667</v>
      </c>
      <c r="E495" t="str">
        <f>E435</f>
        <v>PJ/yr.</v>
      </c>
      <c r="F495" s="13">
        <f t="shared" si="288"/>
        <v>0</v>
      </c>
      <c r="G495" s="13">
        <f t="shared" ref="G495:K495" si="293">IFERROR(G350/G318,0)*G473</f>
        <v>0</v>
      </c>
      <c r="H495" s="13">
        <f t="shared" si="293"/>
        <v>0</v>
      </c>
      <c r="I495" s="13">
        <f t="shared" si="293"/>
        <v>0</v>
      </c>
      <c r="J495" s="13">
        <f t="shared" si="293"/>
        <v>0</v>
      </c>
      <c r="K495" s="13">
        <f t="shared" si="293"/>
        <v>0</v>
      </c>
    </row>
    <row r="496" spans="1:18">
      <c r="A496" s="5" t="s">
        <v>5</v>
      </c>
      <c r="B496" s="5" t="s">
        <v>6</v>
      </c>
      <c r="C496" s="5" t="s">
        <v>7</v>
      </c>
      <c r="D496" t="s">
        <v>668</v>
      </c>
      <c r="E496" t="str">
        <f>E437</f>
        <v>PJ/yr.</v>
      </c>
      <c r="F496" s="13">
        <f t="shared" si="288"/>
        <v>1.8861326218356607E-3</v>
      </c>
      <c r="G496" s="13">
        <f t="shared" ref="G496:K496" si="294">IFERROR(G351/G319,0)*G474</f>
        <v>4.2033471601524158E-4</v>
      </c>
      <c r="H496" s="13">
        <f t="shared" si="294"/>
        <v>1.436514422025786E-4</v>
      </c>
      <c r="I496" s="13">
        <f t="shared" si="294"/>
        <v>9.5945579656426926E-3</v>
      </c>
      <c r="J496" s="13">
        <f t="shared" si="294"/>
        <v>6.5018615662760645E-3</v>
      </c>
      <c r="K496" s="13">
        <f t="shared" si="294"/>
        <v>0.2582090697622389</v>
      </c>
    </row>
    <row r="497" spans="1:11">
      <c r="A497" s="5" t="s">
        <v>5</v>
      </c>
      <c r="B497" s="5" t="s">
        <v>6</v>
      </c>
      <c r="C497" s="5" t="s">
        <v>7</v>
      </c>
      <c r="D497" t="s">
        <v>669</v>
      </c>
      <c r="E497" t="str">
        <f>E438</f>
        <v>PJ/yr.</v>
      </c>
      <c r="F497" s="13">
        <f t="shared" si="288"/>
        <v>0</v>
      </c>
      <c r="G497" s="13">
        <f t="shared" ref="G497:K497" si="295">IFERROR(G352/G320,0)*G475</f>
        <v>0</v>
      </c>
      <c r="H497" s="13">
        <f t="shared" si="295"/>
        <v>0</v>
      </c>
      <c r="I497" s="13">
        <f t="shared" si="295"/>
        <v>0</v>
      </c>
      <c r="J497" s="13">
        <f t="shared" si="295"/>
        <v>0</v>
      </c>
      <c r="K497" s="13">
        <f t="shared" si="295"/>
        <v>0</v>
      </c>
    </row>
    <row r="498" spans="1:11">
      <c r="A498" s="5" t="s">
        <v>5</v>
      </c>
      <c r="B498" s="5" t="s">
        <v>6</v>
      </c>
      <c r="C498" s="5" t="s">
        <v>7</v>
      </c>
      <c r="D498" t="s">
        <v>670</v>
      </c>
      <c r="E498" t="str">
        <f>E461</f>
        <v>PJ/yr.</v>
      </c>
      <c r="F498" s="13">
        <f>F476</f>
        <v>1.5806760222639189</v>
      </c>
      <c r="G498" s="13">
        <f t="shared" ref="G498:K498" si="296">G476</f>
        <v>1.7910132149926208</v>
      </c>
      <c r="H498" s="13">
        <f t="shared" si="296"/>
        <v>1.8479122305741962</v>
      </c>
      <c r="I498" s="13">
        <f t="shared" si="296"/>
        <v>1.7526699641383625</v>
      </c>
      <c r="J498" s="13">
        <f t="shared" si="296"/>
        <v>1.9198549508794249</v>
      </c>
      <c r="K498" s="13">
        <f t="shared" si="296"/>
        <v>2.6552936042827811</v>
      </c>
    </row>
    <row r="499" spans="1:11">
      <c r="A499" s="5" t="s">
        <v>5</v>
      </c>
      <c r="B499" s="5" t="s">
        <v>6</v>
      </c>
      <c r="C499" s="5" t="s">
        <v>7</v>
      </c>
      <c r="D499" t="s">
        <v>671</v>
      </c>
      <c r="E499" t="str">
        <f>E463</f>
        <v>PJ/yr.</v>
      </c>
      <c r="F499" s="13">
        <f>IFERROR(F354/F322,0)*F477</f>
        <v>2.2106294918903487E-2</v>
      </c>
      <c r="G499" s="13">
        <f t="shared" ref="G499:K499" si="297">IFERROR(G354/G322,0)*G477</f>
        <v>0.14135294106367774</v>
      </c>
      <c r="H499" s="13">
        <f t="shared" si="297"/>
        <v>2.8594709084122795E-2</v>
      </c>
      <c r="I499" s="13">
        <f t="shared" si="297"/>
        <v>1.3527673071920338E-2</v>
      </c>
      <c r="J499" s="13">
        <f t="shared" si="297"/>
        <v>2.3320697482710939E-3</v>
      </c>
      <c r="K499" s="13">
        <f t="shared" si="297"/>
        <v>3.532898894416641E-5</v>
      </c>
    </row>
    <row r="500" spans="1:11">
      <c r="A500" s="5" t="s">
        <v>5</v>
      </c>
      <c r="B500" s="5" t="s">
        <v>6</v>
      </c>
      <c r="C500" s="5" t="s">
        <v>7</v>
      </c>
      <c r="D500" t="s">
        <v>672</v>
      </c>
      <c r="E500" t="str">
        <f>E467</f>
        <v>PJ/yr.</v>
      </c>
      <c r="F500" s="13">
        <f>IFERROR(F355/F323,0)*F478</f>
        <v>0</v>
      </c>
      <c r="G500" s="13">
        <f t="shared" ref="G500:K500" si="298">IFERROR(G355/G323,0)*G478</f>
        <v>0</v>
      </c>
      <c r="H500" s="13">
        <f t="shared" si="298"/>
        <v>0</v>
      </c>
      <c r="I500" s="13">
        <f t="shared" si="298"/>
        <v>6.4062029267388139E-8</v>
      </c>
      <c r="J500" s="13">
        <f t="shared" si="298"/>
        <v>9.0765497602973409E-8</v>
      </c>
      <c r="K500" s="13">
        <f t="shared" si="298"/>
        <v>1.4316141039430448E-6</v>
      </c>
    </row>
    <row r="501" spans="1:11">
      <c r="A501" s="5" t="s">
        <v>5</v>
      </c>
      <c r="B501" s="5" t="s">
        <v>6</v>
      </c>
      <c r="C501" s="5" t="s">
        <v>7</v>
      </c>
      <c r="D501" t="s">
        <v>929</v>
      </c>
      <c r="E501" t="str">
        <f>E405</f>
        <v>PJ/yr.</v>
      </c>
      <c r="F501" s="13">
        <f>SUM(F502:F503)</f>
        <v>3.31751641391581</v>
      </c>
      <c r="G501" s="13">
        <f t="shared" ref="G501:K501" si="299">SUM(G502:G503)</f>
        <v>2.9799093586033942</v>
      </c>
      <c r="H501" s="13">
        <f t="shared" si="299"/>
        <v>4.7994717927697845</v>
      </c>
      <c r="I501" s="13">
        <f t="shared" si="299"/>
        <v>4.6781432299853796</v>
      </c>
      <c r="J501" s="13">
        <f t="shared" si="299"/>
        <v>4.7795379972973135</v>
      </c>
      <c r="K501" s="13">
        <f t="shared" si="299"/>
        <v>10.631299359872434</v>
      </c>
    </row>
    <row r="502" spans="1:11">
      <c r="A502" s="5" t="s">
        <v>5</v>
      </c>
      <c r="B502" s="5" t="s">
        <v>6</v>
      </c>
      <c r="C502" s="5" t="s">
        <v>7</v>
      </c>
      <c r="D502" t="s">
        <v>219</v>
      </c>
      <c r="E502" t="str">
        <f>E406</f>
        <v>PJ/yr.</v>
      </c>
      <c r="F502" s="18">
        <f>'[1]Electricity and CHPs_IN'!B$44-F361</f>
        <v>3.31751641391581</v>
      </c>
      <c r="G502" s="18">
        <f>'[1]Electricity and CHPs_IN'!C$44-G361</f>
        <v>2.9799093586033942</v>
      </c>
      <c r="H502" s="18">
        <f>'[1]Electricity and CHPs_IN'!D$44-H361</f>
        <v>4.7994717927697845</v>
      </c>
      <c r="I502" s="18">
        <f>'[1]Electricity and CHPs_IN'!E$44-I361</f>
        <v>4.6781432299853796</v>
      </c>
      <c r="J502" s="18">
        <f>'[1]Electricity and CHPs_IN'!F$44-J361</f>
        <v>2.5600353135436871</v>
      </c>
      <c r="K502" s="18">
        <f>'[1]Electricity and CHPs_IN'!G$44-K361</f>
        <v>1.760621405761003E-5</v>
      </c>
    </row>
    <row r="503" spans="1:11">
      <c r="A503" s="5" t="s">
        <v>5</v>
      </c>
      <c r="B503" s="5" t="s">
        <v>6</v>
      </c>
      <c r="C503" s="5" t="s">
        <v>7</v>
      </c>
      <c r="D503" t="s">
        <v>220</v>
      </c>
      <c r="E503" t="str">
        <f>E407</f>
        <v>PJ/yr.</v>
      </c>
      <c r="F503" s="13">
        <f>'[1]Electricity and CHPs_IN'!B$45</f>
        <v>0</v>
      </c>
      <c r="G503" s="13">
        <f>'[1]Electricity and CHPs_IN'!C$45</f>
        <v>0</v>
      </c>
      <c r="H503" s="13">
        <f>'[1]Electricity and CHPs_IN'!D$45</f>
        <v>0</v>
      </c>
      <c r="I503" s="13">
        <f>'[1]Electricity and CHPs_IN'!E$45</f>
        <v>0</v>
      </c>
      <c r="J503" s="13">
        <f>'[1]Electricity and CHPs_IN'!F$45</f>
        <v>2.2195026837536265</v>
      </c>
      <c r="K503" s="13">
        <f>'[1]Electricity and CHPs_IN'!G$45</f>
        <v>10.631281753658376</v>
      </c>
    </row>
    <row r="504" spans="1:11">
      <c r="A504" s="5" t="s">
        <v>5</v>
      </c>
      <c r="B504" s="5" t="s">
        <v>6</v>
      </c>
      <c r="C504" s="5" t="s">
        <v>7</v>
      </c>
      <c r="D504" t="s">
        <v>930</v>
      </c>
      <c r="E504" t="str">
        <f>E407</f>
        <v>PJ/yr.</v>
      </c>
      <c r="F504" s="13">
        <f>SUM(F505:F506)</f>
        <v>0</v>
      </c>
      <c r="G504" s="13">
        <f t="shared" ref="G504:K504" si="300">SUM(G505:G506)</f>
        <v>0</v>
      </c>
      <c r="H504" s="13">
        <f t="shared" si="300"/>
        <v>0</v>
      </c>
      <c r="I504" s="13">
        <f t="shared" si="300"/>
        <v>0</v>
      </c>
      <c r="J504" s="13">
        <f t="shared" si="300"/>
        <v>0</v>
      </c>
      <c r="K504" s="13">
        <f t="shared" si="300"/>
        <v>0</v>
      </c>
    </row>
    <row r="505" spans="1:11">
      <c r="A505" s="5" t="s">
        <v>5</v>
      </c>
      <c r="B505" s="5" t="s">
        <v>6</v>
      </c>
      <c r="C505" s="5" t="s">
        <v>7</v>
      </c>
      <c r="D505" t="s">
        <v>221</v>
      </c>
      <c r="E505" t="str">
        <f>E408</f>
        <v>PJ/yr.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0</v>
      </c>
    </row>
    <row r="506" spans="1:11">
      <c r="A506" s="5" t="s">
        <v>5</v>
      </c>
      <c r="B506" s="5" t="s">
        <v>6</v>
      </c>
      <c r="C506" s="5" t="s">
        <v>7</v>
      </c>
      <c r="D506" t="s">
        <v>222</v>
      </c>
      <c r="E506" t="str">
        <f>E409</f>
        <v>PJ/yr.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</row>
    <row r="507" spans="1:11">
      <c r="A507" s="5" t="s">
        <v>5</v>
      </c>
      <c r="B507" s="5" t="s">
        <v>6</v>
      </c>
      <c r="C507" s="5" t="s">
        <v>7</v>
      </c>
      <c r="D507" t="s">
        <v>931</v>
      </c>
      <c r="E507" t="str">
        <f>E410</f>
        <v>PJ/yr.</v>
      </c>
      <c r="F507" s="13">
        <f>SUM(F508:F509)</f>
        <v>3.31751641391581</v>
      </c>
      <c r="G507" s="13">
        <f t="shared" ref="G507:K507" si="301">SUM(G508:G509)</f>
        <v>2.9799093586033942</v>
      </c>
      <c r="H507" s="13">
        <f t="shared" si="301"/>
        <v>4.7994717927697845</v>
      </c>
      <c r="I507" s="13">
        <f t="shared" si="301"/>
        <v>4.6781432299853796</v>
      </c>
      <c r="J507" s="13">
        <f t="shared" si="301"/>
        <v>4.7795379972973135</v>
      </c>
      <c r="K507" s="13">
        <f t="shared" si="301"/>
        <v>10.631299359872434</v>
      </c>
    </row>
    <row r="508" spans="1:11">
      <c r="A508" s="5" t="s">
        <v>5</v>
      </c>
      <c r="B508" s="5" t="s">
        <v>6</v>
      </c>
      <c r="C508" s="5" t="s">
        <v>7</v>
      </c>
      <c r="D508" t="s">
        <v>223</v>
      </c>
      <c r="E508" t="str">
        <f>E411</f>
        <v>PJ/yr.</v>
      </c>
      <c r="F508" s="13">
        <f>F502</f>
        <v>3.31751641391581</v>
      </c>
      <c r="G508" s="13">
        <f t="shared" ref="G508:K508" si="302">G502</f>
        <v>2.9799093586033942</v>
      </c>
      <c r="H508" s="13">
        <f t="shared" si="302"/>
        <v>4.7994717927697845</v>
      </c>
      <c r="I508" s="13">
        <f t="shared" si="302"/>
        <v>4.6781432299853796</v>
      </c>
      <c r="J508" s="13">
        <f t="shared" si="302"/>
        <v>2.5600353135436871</v>
      </c>
      <c r="K508" s="13">
        <f t="shared" si="302"/>
        <v>1.760621405761003E-5</v>
      </c>
    </row>
    <row r="509" spans="1:11">
      <c r="A509" s="5" t="s">
        <v>5</v>
      </c>
      <c r="B509" s="5" t="s">
        <v>6</v>
      </c>
      <c r="C509" s="5" t="s">
        <v>7</v>
      </c>
      <c r="D509" t="s">
        <v>224</v>
      </c>
      <c r="E509" t="str">
        <f>E415</f>
        <v>PJ/yr.</v>
      </c>
      <c r="F509" s="13">
        <f>F503</f>
        <v>0</v>
      </c>
      <c r="G509" s="13">
        <f t="shared" ref="G509:K509" si="303">G503</f>
        <v>0</v>
      </c>
      <c r="H509" s="13">
        <f t="shared" si="303"/>
        <v>0</v>
      </c>
      <c r="I509" s="13">
        <f t="shared" si="303"/>
        <v>0</v>
      </c>
      <c r="J509" s="13">
        <f t="shared" si="303"/>
        <v>2.2195026837536265</v>
      </c>
      <c r="K509" s="13">
        <f t="shared" si="303"/>
        <v>10.631281753658376</v>
      </c>
    </row>
    <row r="510" spans="1:11">
      <c r="A510" s="5" t="s">
        <v>5</v>
      </c>
      <c r="B510" s="5" t="s">
        <v>6</v>
      </c>
      <c r="C510" s="5" t="s">
        <v>7</v>
      </c>
      <c r="D510" t="s">
        <v>932</v>
      </c>
      <c r="E510" t="str">
        <f>E416</f>
        <v>PJ/yr.</v>
      </c>
      <c r="F510" s="13">
        <f>SUM(F511:F515)</f>
        <v>0.69168335803471859</v>
      </c>
      <c r="G510" s="13">
        <f t="shared" ref="G510:K510" si="304">SUM(G511:G515)</f>
        <v>2.010820592701287</v>
      </c>
      <c r="H510" s="13">
        <f t="shared" si="304"/>
        <v>3.5727000264448474</v>
      </c>
      <c r="I510" s="13">
        <f t="shared" si="304"/>
        <v>3.6873361318960409</v>
      </c>
      <c r="J510" s="13">
        <f t="shared" si="304"/>
        <v>8.769893346540881</v>
      </c>
      <c r="K510" s="13">
        <f t="shared" si="304"/>
        <v>9.9339806869367244</v>
      </c>
    </row>
    <row r="511" spans="1:11">
      <c r="A511" s="5" t="s">
        <v>5</v>
      </c>
      <c r="B511" s="5" t="s">
        <v>6</v>
      </c>
      <c r="C511" s="5" t="s">
        <v>7</v>
      </c>
      <c r="D511" t="s">
        <v>225</v>
      </c>
      <c r="E511" t="str">
        <f>E417</f>
        <v>PJ/yr.</v>
      </c>
      <c r="F511" s="18">
        <f>'[1]Electricity and CHPs_IN'!B$42-F380</f>
        <v>0.69168335803471859</v>
      </c>
      <c r="G511" s="18">
        <f>'[1]Electricity and CHPs_IN'!C$42-G380</f>
        <v>2.010820592701287</v>
      </c>
      <c r="H511" s="18">
        <f>'[1]Electricity and CHPs_IN'!D$42-H380</f>
        <v>3.5727000264448474</v>
      </c>
      <c r="I511" s="18">
        <f>'[1]Electricity and CHPs_IN'!E$42-I380</f>
        <v>3.687148599857359</v>
      </c>
      <c r="J511" s="18">
        <f>'[1]Electricity and CHPs_IN'!F$42-J380</f>
        <v>3.2967365655416723</v>
      </c>
      <c r="K511" s="18">
        <f>'[1]Electricity and CHPs_IN'!G$42-K380</f>
        <v>1.6983926801122065</v>
      </c>
    </row>
    <row r="512" spans="1:11">
      <c r="A512" s="5" t="s">
        <v>5</v>
      </c>
      <c r="B512" s="5" t="s">
        <v>6</v>
      </c>
      <c r="C512" s="5" t="s">
        <v>7</v>
      </c>
      <c r="D512" t="s">
        <v>226</v>
      </c>
      <c r="E512" t="str">
        <f>E418</f>
        <v>PJ/yr.</v>
      </c>
      <c r="F512" s="13">
        <f>'[1]Electricity and CHPs_IN'!B$43-F381</f>
        <v>0</v>
      </c>
      <c r="G512" s="13">
        <f>'[1]Electricity and CHPs_IN'!C$43-G381</f>
        <v>0</v>
      </c>
      <c r="H512" s="13">
        <f>'[1]Electricity and CHPs_IN'!D$43-H381</f>
        <v>0</v>
      </c>
      <c r="I512" s="13">
        <f>'[1]Electricity and CHPs_IN'!E$43-I381</f>
        <v>0</v>
      </c>
      <c r="J512" s="13">
        <f>'[1]Electricity and CHPs_IN'!F$43-J381</f>
        <v>5.4727810455139352</v>
      </c>
      <c r="K512" s="13">
        <f>'[1]Electricity and CHPs_IN'!G$43-K381</f>
        <v>8.2353774714142922</v>
      </c>
    </row>
    <row r="513" spans="1:11">
      <c r="A513" s="5" t="s">
        <v>5</v>
      </c>
      <c r="B513" s="5" t="s">
        <v>6</v>
      </c>
      <c r="C513" s="5" t="s">
        <v>7</v>
      </c>
      <c r="D513" t="s">
        <v>227</v>
      </c>
      <c r="E513" t="str">
        <f>E440</f>
        <v>PJ/yr.</v>
      </c>
      <c r="F513" s="13">
        <f>'[1]Electricity and CHPs_IN'!B$50-F382</f>
        <v>0</v>
      </c>
      <c r="G513" s="13">
        <f>'[1]Electricity and CHPs_IN'!C$50-G382</f>
        <v>0</v>
      </c>
      <c r="H513" s="13">
        <f>'[1]Electricity and CHPs_IN'!D$50-H382</f>
        <v>0</v>
      </c>
      <c r="I513" s="13">
        <f>'[1]Electricity and CHPs_IN'!E$50-I382</f>
        <v>9.6972160512112613E-5</v>
      </c>
      <c r="J513" s="13">
        <f>'[1]Electricity and CHPs_IN'!F$50-J382</f>
        <v>1.9478417741722971E-4</v>
      </c>
      <c r="K513" s="13">
        <f>'[1]Electricity and CHPs_IN'!G$50-K382</f>
        <v>1.3490306213553437E-4</v>
      </c>
    </row>
    <row r="514" spans="1:11">
      <c r="A514" s="5" t="s">
        <v>5</v>
      </c>
      <c r="B514" s="5" t="s">
        <v>6</v>
      </c>
      <c r="C514" s="5" t="s">
        <v>7</v>
      </c>
      <c r="D514" t="s">
        <v>228</v>
      </c>
      <c r="E514" t="str">
        <f>E444</f>
        <v>PJ/yr.</v>
      </c>
      <c r="F514" s="13">
        <f>'[1]Electricity and CHPs_IN'!B$53-F383</f>
        <v>0</v>
      </c>
      <c r="G514" s="13">
        <f>'[1]Electricity and CHPs_IN'!C$53-G383</f>
        <v>0</v>
      </c>
      <c r="H514" s="13">
        <f>'[1]Electricity and CHPs_IN'!D$53-H383</f>
        <v>0</v>
      </c>
      <c r="I514" s="13">
        <f>'[1]Electricity and CHPs_IN'!E$53-I383</f>
        <v>1.2996430848407148E-5</v>
      </c>
      <c r="J514" s="13">
        <f>'[1]Electricity and CHPs_IN'!F$53-J383</f>
        <v>2.1052842671159205E-5</v>
      </c>
      <c r="K514" s="13">
        <f>'[1]Electricity and CHPs_IN'!G$53-K383</f>
        <v>5.8006687400938647E-6</v>
      </c>
    </row>
    <row r="515" spans="1:11">
      <c r="A515" s="5" t="s">
        <v>5</v>
      </c>
      <c r="B515" s="5" t="s">
        <v>6</v>
      </c>
      <c r="C515" s="5" t="s">
        <v>7</v>
      </c>
      <c r="D515" t="s">
        <v>240</v>
      </c>
      <c r="E515" t="str">
        <f>E469</f>
        <v>PJ/yr.</v>
      </c>
      <c r="F515" s="13">
        <f>'[1]Electricity and CHPs_IN'!B$56-F384</f>
        <v>0</v>
      </c>
      <c r="G515" s="13">
        <f>'[1]Electricity and CHPs_IN'!C$56-G384</f>
        <v>0</v>
      </c>
      <c r="H515" s="13">
        <f>'[1]Electricity and CHPs_IN'!D$56-H384</f>
        <v>0</v>
      </c>
      <c r="I515" s="13">
        <f>'[1]Electricity and CHPs_IN'!E$56-I384</f>
        <v>7.756344732150265E-5</v>
      </c>
      <c r="J515" s="13">
        <f>'[1]Electricity and CHPs_IN'!F$56-J384</f>
        <v>1.5989846518577961E-4</v>
      </c>
      <c r="K515" s="13">
        <f>'[1]Electricity and CHPs_IN'!G$56-K384</f>
        <v>6.9831679349728303E-5</v>
      </c>
    </row>
    <row r="516" spans="1:11">
      <c r="A516" s="5" t="s">
        <v>5</v>
      </c>
      <c r="B516" s="5" t="s">
        <v>6</v>
      </c>
      <c r="C516" s="5" t="s">
        <v>7</v>
      </c>
      <c r="D516" t="s">
        <v>933</v>
      </c>
      <c r="E516" t="str">
        <f>E423</f>
        <v>PJ/yr.</v>
      </c>
      <c r="F516" s="13">
        <f>SUM(F517:F518)</f>
        <v>0</v>
      </c>
      <c r="G516" s="13">
        <f t="shared" ref="G516:K516" si="305">SUM(G517:G518)</f>
        <v>0</v>
      </c>
      <c r="H516" s="13">
        <f t="shared" si="305"/>
        <v>0</v>
      </c>
      <c r="I516" s="13">
        <f t="shared" si="305"/>
        <v>1.1329909263740479E-4</v>
      </c>
      <c r="J516" s="13">
        <f t="shared" si="305"/>
        <v>3.6120552100517089E-4</v>
      </c>
      <c r="K516" s="13">
        <f t="shared" si="305"/>
        <v>0.26027738902622871</v>
      </c>
    </row>
    <row r="517" spans="1:11">
      <c r="A517" s="5" t="s">
        <v>5</v>
      </c>
      <c r="B517" s="5" t="s">
        <v>6</v>
      </c>
      <c r="C517" s="5" t="s">
        <v>7</v>
      </c>
      <c r="D517" t="s">
        <v>229</v>
      </c>
      <c r="E517" t="str">
        <f>E424</f>
        <v>PJ/yr.</v>
      </c>
      <c r="F517" s="13">
        <f>'[1]Electricity and CHPs_IN'!B$46-F397</f>
        <v>0</v>
      </c>
      <c r="G517" s="13">
        <f>'[1]Electricity and CHPs_IN'!C$46-G397</f>
        <v>0</v>
      </c>
      <c r="H517" s="13">
        <f>'[1]Electricity and CHPs_IN'!D$46-H397</f>
        <v>0</v>
      </c>
      <c r="I517" s="13">
        <f>'[1]Electricity and CHPs_IN'!E$46-I397</f>
        <v>8.7977715650167424E-5</v>
      </c>
      <c r="J517" s="13">
        <f>'[1]Electricity and CHPs_IN'!F$46-J397</f>
        <v>3.2954509721463987E-4</v>
      </c>
      <c r="K517" s="13">
        <f>'[1]Electricity and CHPs_IN'!G$46-K397</f>
        <v>0.26024014992318734</v>
      </c>
    </row>
    <row r="518" spans="1:11">
      <c r="A518" s="5" t="s">
        <v>5</v>
      </c>
      <c r="B518" s="5" t="s">
        <v>6</v>
      </c>
      <c r="C518" s="5" t="s">
        <v>7</v>
      </c>
      <c r="D518" t="s">
        <v>241</v>
      </c>
      <c r="E518" t="str">
        <f>E471</f>
        <v>PJ/yr.</v>
      </c>
      <c r="F518" s="13">
        <f>'[1]Electricity and CHPs_IN'!B$57-F398</f>
        <v>0</v>
      </c>
      <c r="G518" s="13">
        <f>'[1]Electricity and CHPs_IN'!C$57-G398</f>
        <v>0</v>
      </c>
      <c r="H518" s="13">
        <f>'[1]Electricity and CHPs_IN'!D$57-H398</f>
        <v>0</v>
      </c>
      <c r="I518" s="13">
        <f>'[1]Electricity and CHPs_IN'!E$57-I398</f>
        <v>2.5321376987237363E-5</v>
      </c>
      <c r="J518" s="13">
        <f>'[1]Electricity and CHPs_IN'!F$57-J398</f>
        <v>3.1660423790531034E-5</v>
      </c>
      <c r="K518" s="13">
        <f>'[1]Electricity and CHPs_IN'!G$57-K398</f>
        <v>3.7239103041385293E-5</v>
      </c>
    </row>
    <row r="519" spans="1:11">
      <c r="A519" s="5" t="s">
        <v>5</v>
      </c>
      <c r="B519" s="8" t="s">
        <v>6</v>
      </c>
      <c r="C519" s="8" t="s">
        <v>7</v>
      </c>
      <c r="D519" s="1" t="s">
        <v>243</v>
      </c>
      <c r="E519" s="5" t="s">
        <v>242</v>
      </c>
      <c r="F519" s="19" t="s">
        <v>295</v>
      </c>
      <c r="G519" s="19" t="s">
        <v>295</v>
      </c>
      <c r="H519" s="19" t="s">
        <v>295</v>
      </c>
      <c r="I519" s="19" t="s">
        <v>295</v>
      </c>
      <c r="J519" s="19" t="s">
        <v>295</v>
      </c>
      <c r="K519" s="19" t="s">
        <v>295</v>
      </c>
    </row>
    <row r="520" spans="1:11">
      <c r="A520" s="5" t="s">
        <v>5</v>
      </c>
      <c r="B520" s="5" t="s">
        <v>6</v>
      </c>
      <c r="C520" s="5" t="s">
        <v>7</v>
      </c>
      <c r="D520" t="s">
        <v>244</v>
      </c>
      <c r="E520" s="5" t="s">
        <v>242</v>
      </c>
      <c r="F520" s="20">
        <f t="shared" ref="F520:K520" si="306">IFERROR(F63/F291,"-")</f>
        <v>0.32978921518302073</v>
      </c>
      <c r="G520" s="20">
        <f t="shared" si="306"/>
        <v>0.3267270594324202</v>
      </c>
      <c r="H520" s="20">
        <f t="shared" si="306"/>
        <v>0.32575138690089211</v>
      </c>
      <c r="I520" s="20">
        <f t="shared" si="306"/>
        <v>0.33003138157769246</v>
      </c>
      <c r="J520" s="20">
        <f t="shared" si="306"/>
        <v>0.33170584005147624</v>
      </c>
      <c r="K520" s="20" t="str">
        <f t="shared" si="306"/>
        <v>-</v>
      </c>
    </row>
    <row r="521" spans="1:11">
      <c r="A521" s="5" t="s">
        <v>5</v>
      </c>
      <c r="B521" s="5" t="s">
        <v>6</v>
      </c>
      <c r="C521" s="5" t="s">
        <v>7</v>
      </c>
      <c r="D521" t="s">
        <v>245</v>
      </c>
      <c r="E521" s="5" t="s">
        <v>242</v>
      </c>
      <c r="F521" s="20">
        <f t="shared" ref="F521:K523" si="307">IFERROR(F65/F293,"-")</f>
        <v>1</v>
      </c>
      <c r="G521" s="20">
        <f t="shared" si="307"/>
        <v>1</v>
      </c>
      <c r="H521" s="20">
        <f t="shared" si="307"/>
        <v>1</v>
      </c>
      <c r="I521" s="20">
        <f t="shared" si="307"/>
        <v>1</v>
      </c>
      <c r="J521" s="20">
        <f t="shared" si="307"/>
        <v>1</v>
      </c>
      <c r="K521" s="20">
        <f t="shared" si="307"/>
        <v>1</v>
      </c>
    </row>
    <row r="522" spans="1:11">
      <c r="A522" s="5" t="s">
        <v>5</v>
      </c>
      <c r="B522" s="5" t="s">
        <v>6</v>
      </c>
      <c r="C522" s="5" t="s">
        <v>7</v>
      </c>
      <c r="D522" t="s">
        <v>246</v>
      </c>
      <c r="E522" s="5" t="s">
        <v>242</v>
      </c>
      <c r="F522" s="20">
        <f t="shared" si="307"/>
        <v>1</v>
      </c>
      <c r="G522" s="20">
        <f t="shared" si="307"/>
        <v>1</v>
      </c>
      <c r="H522" s="20">
        <f t="shared" si="307"/>
        <v>1</v>
      </c>
      <c r="I522" s="20">
        <f t="shared" si="307"/>
        <v>1</v>
      </c>
      <c r="J522" s="20">
        <f t="shared" si="307"/>
        <v>1</v>
      </c>
      <c r="K522" s="20">
        <f t="shared" si="307"/>
        <v>1</v>
      </c>
    </row>
    <row r="523" spans="1:11">
      <c r="A523" s="5" t="s">
        <v>5</v>
      </c>
      <c r="B523" s="5" t="s">
        <v>6</v>
      </c>
      <c r="C523" s="5" t="s">
        <v>7</v>
      </c>
      <c r="D523" t="s">
        <v>247</v>
      </c>
      <c r="E523" s="5" t="s">
        <v>242</v>
      </c>
      <c r="F523" s="20">
        <f t="shared" si="307"/>
        <v>0.79999999824536916</v>
      </c>
      <c r="G523" s="20">
        <f t="shared" si="307"/>
        <v>0.79999999744958017</v>
      </c>
      <c r="H523" s="20">
        <f t="shared" si="307"/>
        <v>0.79999998610723821</v>
      </c>
      <c r="I523" s="20">
        <f t="shared" si="307"/>
        <v>0.80000000215257561</v>
      </c>
      <c r="J523" s="20">
        <f t="shared" si="307"/>
        <v>0.80000000385531056</v>
      </c>
      <c r="K523" s="20">
        <f t="shared" si="307"/>
        <v>0.80000000319151177</v>
      </c>
    </row>
    <row r="524" spans="1:11">
      <c r="A524" s="5" t="s">
        <v>5</v>
      </c>
      <c r="B524" s="5" t="s">
        <v>6</v>
      </c>
      <c r="C524" s="5" t="s">
        <v>7</v>
      </c>
      <c r="D524" t="s">
        <v>248</v>
      </c>
      <c r="E524" s="5" t="s">
        <v>242</v>
      </c>
      <c r="F524" s="20">
        <f>IFERROR(F69/F297,"-")</f>
        <v>0.34989032580195067</v>
      </c>
      <c r="G524" s="20" t="str">
        <f t="shared" ref="G524:K524" si="308">IFERROR(G69/G297,"-")</f>
        <v>-</v>
      </c>
      <c r="H524" s="20">
        <f t="shared" si="308"/>
        <v>0.31681279797151091</v>
      </c>
      <c r="I524" s="20">
        <f t="shared" si="308"/>
        <v>0.28713640581786615</v>
      </c>
      <c r="J524" s="20">
        <f t="shared" si="308"/>
        <v>0.32356913024878847</v>
      </c>
      <c r="K524" s="20">
        <f t="shared" si="308"/>
        <v>0.3074217417660009</v>
      </c>
    </row>
    <row r="525" spans="1:11">
      <c r="A525" s="5" t="s">
        <v>5</v>
      </c>
      <c r="B525" s="5" t="s">
        <v>6</v>
      </c>
      <c r="C525" s="5" t="s">
        <v>7</v>
      </c>
      <c r="D525" t="s">
        <v>249</v>
      </c>
      <c r="E525" s="5" t="s">
        <v>242</v>
      </c>
      <c r="F525" s="20">
        <f>IFERROR(F70/(F298+F411),"-")</f>
        <v>0.11541463005129547</v>
      </c>
      <c r="G525" s="20" t="str">
        <f t="shared" ref="G525:K525" si="309">IFERROR(G70/(G298+G411),"-")</f>
        <v>-</v>
      </c>
      <c r="H525" s="20">
        <f t="shared" si="309"/>
        <v>0.1083412456133995</v>
      </c>
      <c r="I525" s="20">
        <f t="shared" si="309"/>
        <v>0.10113555778763246</v>
      </c>
      <c r="J525" s="20">
        <f t="shared" si="309"/>
        <v>0.10632348384594167</v>
      </c>
      <c r="K525" s="20">
        <f t="shared" si="309"/>
        <v>0</v>
      </c>
    </row>
    <row r="526" spans="1:11">
      <c r="A526" s="5" t="s">
        <v>5</v>
      </c>
      <c r="B526" s="5" t="s">
        <v>6</v>
      </c>
      <c r="C526" s="5" t="s">
        <v>7</v>
      </c>
      <c r="D526" t="s">
        <v>250</v>
      </c>
      <c r="E526" s="5" t="s">
        <v>242</v>
      </c>
      <c r="F526" s="20">
        <f>IFERROR(F71/(F299+F463),"-")</f>
        <v>0.24225345187110986</v>
      </c>
      <c r="G526" s="20">
        <f t="shared" ref="G526:K526" si="310">IFERROR(G71/(G299+G463),"-")</f>
        <v>0.24668462182227213</v>
      </c>
      <c r="H526" s="20">
        <f t="shared" si="310"/>
        <v>0.2523081774347033</v>
      </c>
      <c r="I526" s="20">
        <f t="shared" si="310"/>
        <v>0.26340821556092742</v>
      </c>
      <c r="J526" s="20">
        <f t="shared" si="310"/>
        <v>0.26333262924740308</v>
      </c>
      <c r="K526" s="20">
        <f t="shared" si="310"/>
        <v>0.26327275820719798</v>
      </c>
    </row>
    <row r="527" spans="1:11">
      <c r="A527" s="5" t="s">
        <v>5</v>
      </c>
      <c r="B527" s="5" t="s">
        <v>6</v>
      </c>
      <c r="C527" s="5" t="s">
        <v>7</v>
      </c>
      <c r="D527" t="s">
        <v>251</v>
      </c>
      <c r="E527" s="5" t="s">
        <v>242</v>
      </c>
      <c r="F527" s="20" t="str">
        <f>IFERROR(F81/F309,"-")</f>
        <v>-</v>
      </c>
      <c r="G527" s="20" t="str">
        <f t="shared" ref="G527:K527" si="311">IFERROR(G81/G309,"-")</f>
        <v>-</v>
      </c>
      <c r="H527" s="20" t="str">
        <f t="shared" si="311"/>
        <v>-</v>
      </c>
      <c r="I527" s="20" t="str">
        <f t="shared" si="311"/>
        <v>-</v>
      </c>
      <c r="J527" s="20">
        <f t="shared" si="311"/>
        <v>0.61631754150585916</v>
      </c>
      <c r="K527" s="20">
        <f t="shared" si="311"/>
        <v>0.54592057163126284</v>
      </c>
    </row>
    <row r="528" spans="1:11">
      <c r="A528" s="5" t="s">
        <v>5</v>
      </c>
      <c r="B528" s="5" t="s">
        <v>6</v>
      </c>
      <c r="C528" s="5" t="s">
        <v>7</v>
      </c>
      <c r="D528" t="s">
        <v>252</v>
      </c>
      <c r="E528" s="5" t="s">
        <v>242</v>
      </c>
      <c r="F528" s="20" t="str">
        <f>IFERROR(F82/F310,"-")</f>
        <v>-</v>
      </c>
      <c r="G528" s="20" t="str">
        <f t="shared" ref="G528:K528" si="312">IFERROR(G82/G310,"-")</f>
        <v>-</v>
      </c>
      <c r="H528" s="20">
        <f t="shared" si="312"/>
        <v>0.36583054033354379</v>
      </c>
      <c r="I528" s="20">
        <f t="shared" si="312"/>
        <v>0.39317200346275188</v>
      </c>
      <c r="J528" s="20">
        <f t="shared" si="312"/>
        <v>0.38936729305579365</v>
      </c>
      <c r="K528" s="20">
        <f t="shared" si="312"/>
        <v>0.40975174935042358</v>
      </c>
    </row>
    <row r="529" spans="1:11">
      <c r="A529" s="5" t="s">
        <v>5</v>
      </c>
      <c r="B529" s="5" t="s">
        <v>6</v>
      </c>
      <c r="C529" s="5" t="s">
        <v>7</v>
      </c>
      <c r="D529" t="s">
        <v>253</v>
      </c>
      <c r="E529" s="5" t="s">
        <v>242</v>
      </c>
      <c r="F529" s="20" t="str">
        <f>IFERROR(F83/F311,"-")</f>
        <v>-</v>
      </c>
      <c r="G529" s="20" t="str">
        <f t="shared" ref="G529:K529" si="313">IFERROR(G83/G311,"-")</f>
        <v>-</v>
      </c>
      <c r="H529" s="20" t="str">
        <f t="shared" si="313"/>
        <v>-</v>
      </c>
      <c r="I529" s="20" t="str">
        <f t="shared" si="313"/>
        <v>-</v>
      </c>
      <c r="J529" s="20">
        <f t="shared" si="313"/>
        <v>0.52622807515583436</v>
      </c>
      <c r="K529" s="20">
        <f t="shared" si="313"/>
        <v>0.54266185901851327</v>
      </c>
    </row>
    <row r="530" spans="1:11">
      <c r="A530" s="5" t="s">
        <v>5</v>
      </c>
      <c r="B530" s="5" t="s">
        <v>6</v>
      </c>
      <c r="C530" s="5" t="s">
        <v>7</v>
      </c>
      <c r="D530" t="s">
        <v>254</v>
      </c>
      <c r="E530" s="5" t="s">
        <v>242</v>
      </c>
      <c r="F530" s="20">
        <f>IFERROR(F84/SUM(F312,F417),"-")</f>
        <v>0.26349409834379944</v>
      </c>
      <c r="G530" s="20" t="str">
        <f t="shared" ref="G530:K530" si="314">IFERROR(G84/SUM(G312,G417),"-")</f>
        <v>-</v>
      </c>
      <c r="H530" s="20">
        <f t="shared" si="314"/>
        <v>0.25498303596128097</v>
      </c>
      <c r="I530" s="20">
        <f t="shared" si="314"/>
        <v>0.24659677855746218</v>
      </c>
      <c r="J530" s="20">
        <f t="shared" si="314"/>
        <v>0.24919971288276313</v>
      </c>
      <c r="K530" s="20">
        <f t="shared" si="314"/>
        <v>0.20843000615873283</v>
      </c>
    </row>
    <row r="531" spans="1:11">
      <c r="A531" s="5" t="s">
        <v>5</v>
      </c>
      <c r="B531" s="5" t="s">
        <v>6</v>
      </c>
      <c r="C531" s="5" t="s">
        <v>7</v>
      </c>
      <c r="D531" t="s">
        <v>255</v>
      </c>
      <c r="E531" s="5" t="s">
        <v>242</v>
      </c>
      <c r="F531" s="20" t="str">
        <f>IFERROR(F85/SUM(F313,F418),"-")</f>
        <v>-</v>
      </c>
      <c r="G531" s="20" t="str">
        <f t="shared" ref="G531:K531" si="315">IFERROR(G85/SUM(G313,G418),"-")</f>
        <v>-</v>
      </c>
      <c r="H531" s="20" t="str">
        <f t="shared" si="315"/>
        <v>-</v>
      </c>
      <c r="I531" s="20" t="str">
        <f t="shared" si="315"/>
        <v>-</v>
      </c>
      <c r="J531" s="20">
        <f t="shared" si="315"/>
        <v>0.39999999999999997</v>
      </c>
      <c r="K531" s="20">
        <f t="shared" si="315"/>
        <v>0.39406381285245229</v>
      </c>
    </row>
    <row r="532" spans="1:11">
      <c r="A532" s="5" t="s">
        <v>5</v>
      </c>
      <c r="B532" s="5" t="s">
        <v>6</v>
      </c>
      <c r="C532" s="5" t="s">
        <v>7</v>
      </c>
      <c r="D532" t="s">
        <v>256</v>
      </c>
      <c r="E532" s="5" t="s">
        <v>242</v>
      </c>
      <c r="F532" s="20">
        <f>IFERROR(F86/SUM(F314,F469),"-'")</f>
        <v>0.34997962183984593</v>
      </c>
      <c r="G532" s="20">
        <f t="shared" ref="G532:K532" si="316">IFERROR(G86/SUM(G314,G469),"-'")</f>
        <v>0.35200000692173544</v>
      </c>
      <c r="H532" s="20">
        <f t="shared" si="316"/>
        <v>0.35169737240948701</v>
      </c>
      <c r="I532" s="20">
        <f t="shared" si="316"/>
        <v>0.3599972540657933</v>
      </c>
      <c r="J532" s="20">
        <f t="shared" si="316"/>
        <v>0.35339434715404294</v>
      </c>
      <c r="K532" s="20">
        <f t="shared" si="316"/>
        <v>0.21873655865240135</v>
      </c>
    </row>
    <row r="533" spans="1:11">
      <c r="A533" s="5" t="s">
        <v>5</v>
      </c>
      <c r="B533" s="5" t="s">
        <v>6</v>
      </c>
      <c r="C533" s="5" t="s">
        <v>7</v>
      </c>
      <c r="D533" t="s">
        <v>257</v>
      </c>
      <c r="E533" s="5" t="s">
        <v>242</v>
      </c>
      <c r="F533" s="20" t="str">
        <f t="shared" ref="F533:F541" si="317">IFERROR(F87/SUM(F315,F470),"-")</f>
        <v>-</v>
      </c>
      <c r="G533" s="20" t="str">
        <f t="shared" ref="G533:K533" si="318">IFERROR(G87/SUM(G315,G470),"-")</f>
        <v>-</v>
      </c>
      <c r="H533" s="20" t="str">
        <f t="shared" si="318"/>
        <v>-</v>
      </c>
      <c r="I533" s="20" t="str">
        <f t="shared" si="318"/>
        <v>-</v>
      </c>
      <c r="J533" s="20">
        <f t="shared" si="318"/>
        <v>0.28746890848428219</v>
      </c>
      <c r="K533" s="20">
        <f t="shared" si="318"/>
        <v>0.32373579574392858</v>
      </c>
    </row>
    <row r="534" spans="1:11">
      <c r="A534" s="5" t="s">
        <v>5</v>
      </c>
      <c r="B534" s="5" t="s">
        <v>6</v>
      </c>
      <c r="C534" s="5" t="s">
        <v>7</v>
      </c>
      <c r="D534" t="s">
        <v>258</v>
      </c>
      <c r="E534" s="5" t="s">
        <v>242</v>
      </c>
      <c r="F534" s="20" t="str">
        <f t="shared" si="317"/>
        <v>-</v>
      </c>
      <c r="G534" s="20" t="str">
        <f t="shared" ref="G534:K534" si="319">IFERROR(G88/SUM(G316,G471),"-")</f>
        <v>-</v>
      </c>
      <c r="H534" s="20" t="str">
        <f t="shared" si="319"/>
        <v>-</v>
      </c>
      <c r="I534" s="20" t="str">
        <f t="shared" si="319"/>
        <v>-</v>
      </c>
      <c r="J534" s="20" t="str">
        <f t="shared" si="319"/>
        <v>-</v>
      </c>
      <c r="K534" s="20" t="str">
        <f t="shared" si="319"/>
        <v>-</v>
      </c>
    </row>
    <row r="535" spans="1:11">
      <c r="A535" s="5" t="s">
        <v>5</v>
      </c>
      <c r="B535" s="5" t="s">
        <v>6</v>
      </c>
      <c r="C535" s="5" t="s">
        <v>7</v>
      </c>
      <c r="D535" t="s">
        <v>259</v>
      </c>
      <c r="E535" s="5" t="s">
        <v>242</v>
      </c>
      <c r="F535" s="20">
        <f t="shared" si="317"/>
        <v>0.26505926700063398</v>
      </c>
      <c r="G535" s="20">
        <f t="shared" ref="G535:K535" si="320">IFERROR(G89/SUM(G317,G472),"-")</f>
        <v>0.27179581750025222</v>
      </c>
      <c r="H535" s="20">
        <f t="shared" si="320"/>
        <v>0.264088198464418</v>
      </c>
      <c r="I535" s="20">
        <f t="shared" si="320"/>
        <v>0.27689536694063965</v>
      </c>
      <c r="J535" s="20">
        <f t="shared" si="320"/>
        <v>0.28290305218593104</v>
      </c>
      <c r="K535" s="20">
        <f t="shared" si="320"/>
        <v>0.28844574131207906</v>
      </c>
    </row>
    <row r="536" spans="1:11">
      <c r="A536" s="5" t="s">
        <v>5</v>
      </c>
      <c r="B536" s="5" t="s">
        <v>6</v>
      </c>
      <c r="C536" s="5" t="s">
        <v>7</v>
      </c>
      <c r="D536" t="s">
        <v>260</v>
      </c>
      <c r="E536" s="5" t="s">
        <v>242</v>
      </c>
      <c r="F536" s="20" t="str">
        <f t="shared" si="317"/>
        <v>-</v>
      </c>
      <c r="G536" s="20" t="str">
        <f t="shared" ref="G536:K536" si="321">IFERROR(G90/SUM(G318,G473),"-")</f>
        <v>-</v>
      </c>
      <c r="H536" s="20" t="str">
        <f t="shared" si="321"/>
        <v>-</v>
      </c>
      <c r="I536" s="20">
        <f t="shared" si="321"/>
        <v>0.23756411188151452</v>
      </c>
      <c r="J536" s="20">
        <f t="shared" si="321"/>
        <v>0.42417337994502124</v>
      </c>
      <c r="K536" s="20">
        <f t="shared" si="321"/>
        <v>0.37235071945447235</v>
      </c>
    </row>
    <row r="537" spans="1:11">
      <c r="A537" s="5" t="s">
        <v>5</v>
      </c>
      <c r="B537" s="5" t="s">
        <v>6</v>
      </c>
      <c r="C537" s="5" t="s">
        <v>7</v>
      </c>
      <c r="D537" t="s">
        <v>261</v>
      </c>
      <c r="E537" s="5" t="s">
        <v>242</v>
      </c>
      <c r="F537" s="20">
        <f t="shared" si="317"/>
        <v>0.28884139166893535</v>
      </c>
      <c r="G537" s="20">
        <f t="shared" ref="G537:K537" si="322">IFERROR(G91/SUM(G319,G474),"-")</f>
        <v>0.29175186685076088</v>
      </c>
      <c r="H537" s="20">
        <f t="shared" si="322"/>
        <v>0.29191055502781771</v>
      </c>
      <c r="I537" s="20">
        <f t="shared" si="322"/>
        <v>0.29939666452745201</v>
      </c>
      <c r="J537" s="20">
        <f t="shared" si="322"/>
        <v>0.30431557377752388</v>
      </c>
      <c r="K537" s="20">
        <f t="shared" si="322"/>
        <v>0.30922021974873726</v>
      </c>
    </row>
    <row r="538" spans="1:11">
      <c r="A538" s="5" t="s">
        <v>5</v>
      </c>
      <c r="B538" s="5" t="s">
        <v>6</v>
      </c>
      <c r="C538" s="5" t="s">
        <v>7</v>
      </c>
      <c r="D538" t="s">
        <v>262</v>
      </c>
      <c r="E538" s="5" t="s">
        <v>242</v>
      </c>
      <c r="F538" s="20" t="str">
        <f t="shared" si="317"/>
        <v>-</v>
      </c>
      <c r="G538" s="20" t="str">
        <f t="shared" ref="G538:K538" si="323">IFERROR(G92/SUM(G320,G475),"-")</f>
        <v>-</v>
      </c>
      <c r="H538" s="20" t="str">
        <f t="shared" si="323"/>
        <v>-</v>
      </c>
      <c r="I538" s="20">
        <f t="shared" si="323"/>
        <v>0.42000000000000004</v>
      </c>
      <c r="J538" s="20">
        <f t="shared" si="323"/>
        <v>0.44</v>
      </c>
      <c r="K538" s="20">
        <f t="shared" si="323"/>
        <v>0.44989743758616457</v>
      </c>
    </row>
    <row r="539" spans="1:11">
      <c r="A539" s="5" t="s">
        <v>5</v>
      </c>
      <c r="B539" s="5" t="s">
        <v>6</v>
      </c>
      <c r="C539" s="5" t="s">
        <v>7</v>
      </c>
      <c r="D539" t="s">
        <v>263</v>
      </c>
      <c r="E539" s="5" t="s">
        <v>242</v>
      </c>
      <c r="F539" s="20">
        <f t="shared" si="317"/>
        <v>0.36265855843957895</v>
      </c>
      <c r="G539" s="20">
        <f t="shared" ref="G539:K539" si="324">IFERROR(G93/SUM(G321,G476),"-")</f>
        <v>0.36307852887693531</v>
      </c>
      <c r="H539" s="20">
        <f t="shared" si="324"/>
        <v>0.36370710320394051</v>
      </c>
      <c r="I539" s="20">
        <f t="shared" si="324"/>
        <v>0.3647571907449591</v>
      </c>
      <c r="J539" s="20">
        <f t="shared" si="324"/>
        <v>0.37465995371392868</v>
      </c>
      <c r="K539" s="20">
        <f t="shared" si="324"/>
        <v>0.38419595062646161</v>
      </c>
    </row>
    <row r="540" spans="1:11">
      <c r="A540" s="5" t="s">
        <v>5</v>
      </c>
      <c r="B540" s="5" t="s">
        <v>6</v>
      </c>
      <c r="C540" s="5" t="s">
        <v>7</v>
      </c>
      <c r="D540" t="s">
        <v>264</v>
      </c>
      <c r="E540" s="5" t="s">
        <v>242</v>
      </c>
      <c r="F540" s="20">
        <f t="shared" si="317"/>
        <v>0.35984507486313894</v>
      </c>
      <c r="G540" s="20">
        <f t="shared" ref="G540:K540" si="325">IFERROR(G94/SUM(G322,G477),"-")</f>
        <v>0.36000005492495357</v>
      </c>
      <c r="H540" s="20">
        <f t="shared" si="325"/>
        <v>0.35999532868476808</v>
      </c>
      <c r="I540" s="20">
        <f t="shared" si="325"/>
        <v>0.35999901101856152</v>
      </c>
      <c r="J540" s="20">
        <f t="shared" si="325"/>
        <v>0.35990728938090838</v>
      </c>
      <c r="K540" s="20">
        <f t="shared" si="325"/>
        <v>0.35536466357501151</v>
      </c>
    </row>
    <row r="541" spans="1:11">
      <c r="A541" s="5" t="s">
        <v>5</v>
      </c>
      <c r="B541" s="5" t="s">
        <v>6</v>
      </c>
      <c r="C541" s="5" t="s">
        <v>7</v>
      </c>
      <c r="D541" t="s">
        <v>265</v>
      </c>
      <c r="E541" s="5" t="s">
        <v>242</v>
      </c>
      <c r="F541" s="20" t="str">
        <f t="shared" si="317"/>
        <v>-</v>
      </c>
      <c r="G541" s="20" t="str">
        <f t="shared" ref="G541:K541" si="326">IFERROR(G95/SUM(G323,G478),"-")</f>
        <v>-</v>
      </c>
      <c r="H541" s="20" t="str">
        <f t="shared" si="326"/>
        <v>-</v>
      </c>
      <c r="I541" s="20">
        <f t="shared" si="326"/>
        <v>0.6</v>
      </c>
      <c r="J541" s="20">
        <f t="shared" si="326"/>
        <v>0.61000000000000021</v>
      </c>
      <c r="K541" s="20">
        <f t="shared" si="326"/>
        <v>0.61999999999999966</v>
      </c>
    </row>
    <row r="542" spans="1:11">
      <c r="A542" t="s">
        <v>5</v>
      </c>
      <c r="B542" s="5" t="s">
        <v>6</v>
      </c>
      <c r="C542" s="5" t="s">
        <v>7</v>
      </c>
      <c r="D542" t="s">
        <v>266</v>
      </c>
      <c r="E542" s="5" t="s">
        <v>242</v>
      </c>
      <c r="F542" s="20">
        <f>IFERROR(F129/F357,"-")</f>
        <v>0.35745695376016573</v>
      </c>
      <c r="G542" s="20">
        <f t="shared" ref="G542:K542" si="327">IFERROR(G129/G357,"-")</f>
        <v>0.35745695376016545</v>
      </c>
      <c r="H542" s="20">
        <f t="shared" si="327"/>
        <v>0.35745695376016623</v>
      </c>
      <c r="I542" s="20">
        <f t="shared" si="327"/>
        <v>0.35745695376016595</v>
      </c>
      <c r="J542" s="20">
        <f t="shared" si="327"/>
        <v>0.35745695376016623</v>
      </c>
      <c r="K542" s="20">
        <f t="shared" si="327"/>
        <v>0.35745695376016567</v>
      </c>
    </row>
    <row r="543" spans="1:11">
      <c r="A543" t="s">
        <v>5</v>
      </c>
      <c r="B543" s="5" t="s">
        <v>6</v>
      </c>
      <c r="C543" s="5" t="s">
        <v>7</v>
      </c>
      <c r="D543" t="s">
        <v>267</v>
      </c>
      <c r="E543" s="5" t="s">
        <v>242</v>
      </c>
      <c r="F543" s="20" t="str">
        <f>IFERROR(F130/F358,"-")</f>
        <v>-</v>
      </c>
      <c r="G543" s="20" t="str">
        <f t="shared" ref="G543:K543" si="328">IFERROR(G130/G358,"-")</f>
        <v>-</v>
      </c>
      <c r="H543" s="20" t="str">
        <f t="shared" si="328"/>
        <v>-</v>
      </c>
      <c r="I543" s="20" t="str">
        <f t="shared" si="328"/>
        <v>-</v>
      </c>
      <c r="J543" s="20">
        <f t="shared" si="328"/>
        <v>0.33470839322286922</v>
      </c>
      <c r="K543" s="20">
        <f t="shared" si="328"/>
        <v>0.34140256108732592</v>
      </c>
    </row>
    <row r="544" spans="1:11">
      <c r="A544" t="s">
        <v>5</v>
      </c>
      <c r="B544" s="5" t="s">
        <v>6</v>
      </c>
      <c r="C544" s="5" t="s">
        <v>7</v>
      </c>
      <c r="D544" t="s">
        <v>268</v>
      </c>
      <c r="E544" s="5" t="s">
        <v>242</v>
      </c>
      <c r="F544" s="20">
        <f>IFERROR(F131/SUM(F359,F426),"-")</f>
        <v>3.8247674509458159E-2</v>
      </c>
      <c r="G544" s="20">
        <f t="shared" ref="G544:K544" si="329">IFERROR(G131/SUM(G359,G426),"-")</f>
        <v>3.8077529084314707E-2</v>
      </c>
      <c r="H544" s="20">
        <f t="shared" si="329"/>
        <v>3.7631367339286424E-2</v>
      </c>
      <c r="I544" s="20">
        <f t="shared" si="329"/>
        <v>3.7695938049999045E-2</v>
      </c>
      <c r="J544" s="20">
        <f t="shared" si="329"/>
        <v>3.6206482897279672E-2</v>
      </c>
      <c r="K544" s="20">
        <f t="shared" si="329"/>
        <v>2.528765848608909E-2</v>
      </c>
    </row>
    <row r="545" spans="1:11">
      <c r="A545" t="s">
        <v>5</v>
      </c>
      <c r="B545" s="5" t="s">
        <v>6</v>
      </c>
      <c r="C545" s="5" t="s">
        <v>7</v>
      </c>
      <c r="D545" t="s">
        <v>269</v>
      </c>
      <c r="E545" s="5" t="s">
        <v>242</v>
      </c>
      <c r="F545" s="20" t="str">
        <f>IFERROR(F132/SUM(F360,F427),"-")</f>
        <v>-</v>
      </c>
      <c r="G545" s="20" t="str">
        <f t="shared" ref="G545:K545" si="330">IFERROR(G132/SUM(G360,G427),"-")</f>
        <v>-</v>
      </c>
      <c r="H545" s="20" t="str">
        <f t="shared" si="330"/>
        <v>-</v>
      </c>
      <c r="I545" s="20" t="str">
        <f t="shared" si="330"/>
        <v>-</v>
      </c>
      <c r="J545" s="20">
        <f t="shared" si="330"/>
        <v>4.8242849883234871E-2</v>
      </c>
      <c r="K545" s="20">
        <f t="shared" si="330"/>
        <v>5.4000000000000013E-2</v>
      </c>
    </row>
    <row r="546" spans="1:11">
      <c r="A546" t="s">
        <v>5</v>
      </c>
      <c r="B546" s="5" t="s">
        <v>6</v>
      </c>
      <c r="C546" s="5" t="s">
        <v>7</v>
      </c>
      <c r="D546" t="s">
        <v>270</v>
      </c>
      <c r="E546" s="5" t="s">
        <v>242</v>
      </c>
      <c r="F546" s="20">
        <f>IFERROR(F133/SUM(F361,F502),"-")</f>
        <v>6.1972671234291565E-2</v>
      </c>
      <c r="G546" s="20">
        <f t="shared" ref="G546:K546" si="331">IFERROR(G133/SUM(G361,G502),"-")</f>
        <v>6.1972657871288014E-2</v>
      </c>
      <c r="H546" s="20">
        <f t="shared" si="331"/>
        <v>6.1972650567355285E-2</v>
      </c>
      <c r="I546" s="20">
        <f t="shared" si="331"/>
        <v>6.197265056735525E-2</v>
      </c>
      <c r="J546" s="20">
        <f t="shared" si="331"/>
        <v>6.1972649916792008E-2</v>
      </c>
      <c r="K546" s="20">
        <f t="shared" si="331"/>
        <v>0</v>
      </c>
    </row>
    <row r="547" spans="1:11">
      <c r="A547" t="s">
        <v>5</v>
      </c>
      <c r="B547" s="5" t="s">
        <v>6</v>
      </c>
      <c r="C547" s="5" t="s">
        <v>7</v>
      </c>
      <c r="D547" t="s">
        <v>271</v>
      </c>
      <c r="E547" s="5" t="s">
        <v>242</v>
      </c>
      <c r="F547" s="20" t="str">
        <f>IFERROR(F134/SUM(F362,F503),"-")</f>
        <v>-</v>
      </c>
      <c r="G547" s="20" t="str">
        <f t="shared" ref="G547:K547" si="332">IFERROR(G134/SUM(G362,G503),"-")</f>
        <v>-</v>
      </c>
      <c r="H547" s="20" t="str">
        <f t="shared" si="332"/>
        <v>-</v>
      </c>
      <c r="I547" s="20" t="str">
        <f t="shared" si="332"/>
        <v>-</v>
      </c>
      <c r="J547" s="20">
        <f t="shared" si="332"/>
        <v>4.7880823847050412E-2</v>
      </c>
      <c r="K547" s="20">
        <f t="shared" si="332"/>
        <v>4.5431760215214341E-2</v>
      </c>
    </row>
    <row r="548" spans="1:11">
      <c r="A548" t="s">
        <v>5</v>
      </c>
      <c r="B548" s="5" t="s">
        <v>6</v>
      </c>
      <c r="C548" s="5" t="s">
        <v>7</v>
      </c>
      <c r="D548" t="s">
        <v>272</v>
      </c>
      <c r="E548" s="5" t="s">
        <v>242</v>
      </c>
      <c r="F548" s="20">
        <f>IFERROR(F150/SUM(F378,F435),"-")</f>
        <v>0.24392816437117337</v>
      </c>
      <c r="G548" s="20">
        <f t="shared" ref="G548:K548" si="333">IFERROR(G150/SUM(G378,G435),"-")</f>
        <v>0.27169874704165786</v>
      </c>
      <c r="H548" s="20">
        <f t="shared" si="333"/>
        <v>0.25832388183830413</v>
      </c>
      <c r="I548" s="20">
        <f t="shared" si="333"/>
        <v>0.27409432391884003</v>
      </c>
      <c r="J548" s="20">
        <f t="shared" si="333"/>
        <v>0.30610686581667573</v>
      </c>
      <c r="K548" s="20">
        <f t="shared" si="333"/>
        <v>0.30566160883469734</v>
      </c>
    </row>
    <row r="549" spans="1:11">
      <c r="A549" t="s">
        <v>5</v>
      </c>
      <c r="B549" s="5" t="s">
        <v>6</v>
      </c>
      <c r="C549" s="5" t="s">
        <v>7</v>
      </c>
      <c r="D549" t="s">
        <v>273</v>
      </c>
      <c r="E549" s="5" t="s">
        <v>242</v>
      </c>
      <c r="F549" s="20" t="str">
        <f>IFERROR(F151/F379,"-")</f>
        <v>-</v>
      </c>
      <c r="G549" s="20" t="str">
        <f t="shared" ref="G549:K549" si="334">IFERROR(G151/G379,"-")</f>
        <v>-</v>
      </c>
      <c r="H549" s="20" t="str">
        <f t="shared" si="334"/>
        <v>-</v>
      </c>
      <c r="I549" s="20" t="str">
        <f t="shared" si="334"/>
        <v>-</v>
      </c>
      <c r="J549" s="20">
        <f t="shared" si="334"/>
        <v>0.1720131063398016</v>
      </c>
      <c r="K549" s="20">
        <f t="shared" si="334"/>
        <v>0.26403992843465168</v>
      </c>
    </row>
    <row r="550" spans="1:11">
      <c r="A550" t="s">
        <v>5</v>
      </c>
      <c r="B550" s="5" t="s">
        <v>6</v>
      </c>
      <c r="C550" s="5" t="s">
        <v>7</v>
      </c>
      <c r="D550" t="s">
        <v>274</v>
      </c>
      <c r="E550" s="5" t="s">
        <v>242</v>
      </c>
      <c r="F550" s="20">
        <f>IFERROR(F152/SUM(F380,F511),"-")</f>
        <v>0.19764372476605188</v>
      </c>
      <c r="G550" s="20">
        <f t="shared" ref="G550:K550" si="335">IFERROR(G152/SUM(G380,G511),"-")</f>
        <v>0.22581885085436249</v>
      </c>
      <c r="H550" s="20">
        <f t="shared" si="335"/>
        <v>0.23803667610117685</v>
      </c>
      <c r="I550" s="20">
        <f t="shared" si="335"/>
        <v>0.33851545248018911</v>
      </c>
      <c r="J550" s="20">
        <f t="shared" si="335"/>
        <v>0.35274896380026083</v>
      </c>
      <c r="K550" s="20">
        <f t="shared" si="335"/>
        <v>0.36722532573651906</v>
      </c>
    </row>
    <row r="551" spans="1:11">
      <c r="A551" t="s">
        <v>5</v>
      </c>
      <c r="B551" s="5" t="s">
        <v>6</v>
      </c>
      <c r="C551" s="5" t="s">
        <v>7</v>
      </c>
      <c r="D551" t="s">
        <v>275</v>
      </c>
      <c r="E551" s="5" t="s">
        <v>242</v>
      </c>
      <c r="F551" s="20" t="str">
        <f>IFERROR(F153/SUM(F381,F512),"-")</f>
        <v>-</v>
      </c>
      <c r="G551" s="20" t="str">
        <f t="shared" ref="G551:K551" si="336">IFERROR(G153/SUM(G381,G512),"-")</f>
        <v>-</v>
      </c>
      <c r="H551" s="20" t="str">
        <f t="shared" si="336"/>
        <v>-</v>
      </c>
      <c r="I551" s="20" t="str">
        <f t="shared" si="336"/>
        <v>-</v>
      </c>
      <c r="J551" s="20">
        <f t="shared" si="336"/>
        <v>0.33545119346661795</v>
      </c>
      <c r="K551" s="20">
        <f t="shared" si="336"/>
        <v>0.3489442620668734</v>
      </c>
    </row>
    <row r="552" spans="1:11">
      <c r="A552" t="s">
        <v>5</v>
      </c>
      <c r="B552" s="5" t="s">
        <v>6</v>
      </c>
      <c r="C552" s="5" t="s">
        <v>7</v>
      </c>
      <c r="D552" t="s">
        <v>276</v>
      </c>
      <c r="E552" s="5" t="s">
        <v>242</v>
      </c>
      <c r="F552" s="20" t="str">
        <f>IFERROR(F154/SUM(F382,F513),"-")</f>
        <v>-</v>
      </c>
      <c r="G552" s="20" t="str">
        <f t="shared" ref="G552:K552" si="337">IFERROR(G154/SUM(G382,G513),"-")</f>
        <v>-</v>
      </c>
      <c r="H552" s="20" t="str">
        <f t="shared" si="337"/>
        <v>-</v>
      </c>
      <c r="I552" s="20">
        <f t="shared" si="337"/>
        <v>0.21414358838652434</v>
      </c>
      <c r="J552" s="20">
        <f t="shared" si="337"/>
        <v>0.2326381036209815</v>
      </c>
      <c r="K552" s="20">
        <f t="shared" si="337"/>
        <v>0.25389669407356152</v>
      </c>
    </row>
    <row r="553" spans="1:11">
      <c r="A553" t="s">
        <v>5</v>
      </c>
      <c r="B553" s="5" t="s">
        <v>6</v>
      </c>
      <c r="C553" s="5" t="s">
        <v>7</v>
      </c>
      <c r="D553" t="s">
        <v>277</v>
      </c>
      <c r="E553" s="5" t="s">
        <v>242</v>
      </c>
      <c r="F553" s="20" t="str">
        <f>IFERROR(F155/SUM(F383,F514),"-")</f>
        <v>-</v>
      </c>
      <c r="G553" s="20" t="str">
        <f t="shared" ref="G553:K553" si="338">IFERROR(G155/SUM(G383,G514),"-")</f>
        <v>-</v>
      </c>
      <c r="H553" s="20" t="str">
        <f t="shared" si="338"/>
        <v>-</v>
      </c>
      <c r="I553" s="20">
        <f t="shared" si="338"/>
        <v>0</v>
      </c>
      <c r="J553" s="20">
        <f t="shared" si="338"/>
        <v>0</v>
      </c>
      <c r="K553" s="20">
        <f t="shared" si="338"/>
        <v>0</v>
      </c>
    </row>
    <row r="554" spans="1:11">
      <c r="A554" t="s">
        <v>5</v>
      </c>
      <c r="B554" s="5" t="s">
        <v>6</v>
      </c>
      <c r="C554" s="5" t="s">
        <v>7</v>
      </c>
      <c r="D554" t="s">
        <v>296</v>
      </c>
      <c r="E554" s="5" t="s">
        <v>242</v>
      </c>
      <c r="F554" s="20" t="str">
        <f>IFERROR(F156/SUM(F384,F515),"-")</f>
        <v>-</v>
      </c>
      <c r="G554" s="20" t="str">
        <f t="shared" ref="G554:K554" si="339">IFERROR(G156/SUM(G384,G515),"-")</f>
        <v>-</v>
      </c>
      <c r="H554" s="20" t="str">
        <f t="shared" si="339"/>
        <v>-</v>
      </c>
      <c r="I554" s="20">
        <f t="shared" si="339"/>
        <v>0.32230277995562734</v>
      </c>
      <c r="J554" s="20">
        <f t="shared" si="339"/>
        <v>0.33935584728094642</v>
      </c>
      <c r="K554" s="20">
        <f t="shared" si="339"/>
        <v>0.35802825375939279</v>
      </c>
    </row>
    <row r="555" spans="1:11">
      <c r="A555" t="s">
        <v>5</v>
      </c>
      <c r="B555" s="5" t="s">
        <v>6</v>
      </c>
      <c r="C555" s="5" t="s">
        <v>7</v>
      </c>
      <c r="D555" t="s">
        <v>278</v>
      </c>
      <c r="E555" s="5" t="s">
        <v>242</v>
      </c>
      <c r="F555" s="20">
        <v>1</v>
      </c>
      <c r="G555" s="20">
        <v>1</v>
      </c>
      <c r="H555" s="20">
        <v>1</v>
      </c>
      <c r="I555" s="20">
        <v>1</v>
      </c>
      <c r="J555" s="20">
        <v>1</v>
      </c>
      <c r="K555" s="20">
        <v>1</v>
      </c>
    </row>
    <row r="556" spans="1:11">
      <c r="A556" t="s">
        <v>5</v>
      </c>
      <c r="B556" s="5" t="s">
        <v>6</v>
      </c>
      <c r="C556" s="5" t="s">
        <v>7</v>
      </c>
      <c r="D556" t="s">
        <v>279</v>
      </c>
      <c r="E556" s="5" t="s">
        <v>242</v>
      </c>
      <c r="F556" s="20">
        <v>1</v>
      </c>
      <c r="G556" s="20">
        <v>1</v>
      </c>
      <c r="H556" s="20">
        <v>1</v>
      </c>
      <c r="I556" s="20">
        <v>1</v>
      </c>
      <c r="J556" s="20">
        <v>1</v>
      </c>
      <c r="K556" s="20">
        <v>1</v>
      </c>
    </row>
    <row r="557" spans="1:11">
      <c r="A557" t="s">
        <v>5</v>
      </c>
      <c r="B557" s="5" t="s">
        <v>6</v>
      </c>
      <c r="C557" s="5" t="s">
        <v>7</v>
      </c>
      <c r="D557" t="s">
        <v>280</v>
      </c>
      <c r="E557" s="5" t="s">
        <v>242</v>
      </c>
      <c r="F557" s="20">
        <v>1</v>
      </c>
      <c r="G557" s="20">
        <v>1</v>
      </c>
      <c r="H557" s="20">
        <v>1</v>
      </c>
      <c r="I557" s="20">
        <v>1</v>
      </c>
      <c r="J557" s="20">
        <v>1</v>
      </c>
      <c r="K557" s="20">
        <v>1</v>
      </c>
    </row>
    <row r="558" spans="1:11">
      <c r="A558" t="s">
        <v>5</v>
      </c>
      <c r="B558" s="5" t="s">
        <v>6</v>
      </c>
      <c r="C558" s="5" t="s">
        <v>7</v>
      </c>
      <c r="D558" t="s">
        <v>281</v>
      </c>
      <c r="E558" s="5" t="s">
        <v>242</v>
      </c>
      <c r="F558" s="20">
        <v>1</v>
      </c>
      <c r="G558" s="20">
        <v>1</v>
      </c>
      <c r="H558" s="20">
        <v>1</v>
      </c>
      <c r="I558" s="20">
        <v>1</v>
      </c>
      <c r="J558" s="20">
        <v>1</v>
      </c>
      <c r="K558" s="20">
        <v>1</v>
      </c>
    </row>
    <row r="559" spans="1:11">
      <c r="A559" t="s">
        <v>5</v>
      </c>
      <c r="B559" s="5" t="s">
        <v>6</v>
      </c>
      <c r="C559" s="5" t="s">
        <v>7</v>
      </c>
      <c r="D559" t="s">
        <v>282</v>
      </c>
      <c r="E559" s="5" t="s">
        <v>242</v>
      </c>
      <c r="F559" s="20">
        <v>1</v>
      </c>
      <c r="G559" s="20">
        <v>1</v>
      </c>
      <c r="H559" s="20">
        <v>1</v>
      </c>
      <c r="I559" s="20">
        <v>1</v>
      </c>
      <c r="J559" s="20">
        <v>1</v>
      </c>
      <c r="K559" s="20">
        <v>1</v>
      </c>
    </row>
    <row r="560" spans="1:11">
      <c r="A560" t="s">
        <v>5</v>
      </c>
      <c r="B560" s="5" t="s">
        <v>6</v>
      </c>
      <c r="C560" s="5" t="s">
        <v>7</v>
      </c>
      <c r="D560" t="s">
        <v>283</v>
      </c>
      <c r="E560" s="5" t="s">
        <v>242</v>
      </c>
      <c r="F560" s="20">
        <v>1</v>
      </c>
      <c r="G560" s="20">
        <v>1</v>
      </c>
      <c r="H560" s="20">
        <v>1</v>
      </c>
      <c r="I560" s="20">
        <v>1</v>
      </c>
      <c r="J560" s="20">
        <v>1</v>
      </c>
      <c r="K560" s="20">
        <v>1</v>
      </c>
    </row>
    <row r="561" spans="1:11">
      <c r="A561" t="s">
        <v>5</v>
      </c>
      <c r="B561" s="5" t="s">
        <v>6</v>
      </c>
      <c r="C561" s="5" t="s">
        <v>7</v>
      </c>
      <c r="D561" t="s">
        <v>284</v>
      </c>
      <c r="E561" s="5" t="s">
        <v>242</v>
      </c>
      <c r="F561" s="20" t="str">
        <f>IFERROR(F166/F394,"-")</f>
        <v>-</v>
      </c>
      <c r="G561" s="20" t="str">
        <f t="shared" ref="G561:K561" si="340">IFERROR(G166/G394,"-")</f>
        <v>-</v>
      </c>
      <c r="H561" s="20" t="str">
        <f t="shared" si="340"/>
        <v>-</v>
      </c>
      <c r="I561" s="20" t="str">
        <f t="shared" si="340"/>
        <v>-</v>
      </c>
      <c r="J561" s="20">
        <f t="shared" si="340"/>
        <v>0.14999999999999997</v>
      </c>
      <c r="K561" s="20">
        <f t="shared" si="340"/>
        <v>0.15000000000000019</v>
      </c>
    </row>
    <row r="562" spans="1:11">
      <c r="A562" t="s">
        <v>5</v>
      </c>
      <c r="B562" s="5" t="s">
        <v>6</v>
      </c>
      <c r="C562" s="5" t="s">
        <v>7</v>
      </c>
      <c r="D562" t="s">
        <v>285</v>
      </c>
      <c r="E562" s="5" t="s">
        <v>242</v>
      </c>
      <c r="F562" s="20" t="str">
        <f>IFERROR(F168/SUM(F396,F437),"-")</f>
        <v>-</v>
      </c>
      <c r="G562" s="20" t="str">
        <f t="shared" ref="G562:K562" si="341">IFERROR(G168/SUM(G396,G437),"-")</f>
        <v>-</v>
      </c>
      <c r="H562" s="20" t="str">
        <f t="shared" si="341"/>
        <v>-</v>
      </c>
      <c r="I562" s="20" t="str">
        <f t="shared" si="341"/>
        <v>-</v>
      </c>
      <c r="J562" s="20">
        <f t="shared" si="341"/>
        <v>0.42</v>
      </c>
      <c r="K562" s="20">
        <f t="shared" si="341"/>
        <v>0.41999999999999987</v>
      </c>
    </row>
    <row r="563" spans="1:11">
      <c r="A563" t="s">
        <v>5</v>
      </c>
      <c r="B563" s="5" t="s">
        <v>6</v>
      </c>
      <c r="C563" s="5" t="s">
        <v>7</v>
      </c>
      <c r="D563" t="s">
        <v>286</v>
      </c>
      <c r="E563" s="5" t="s">
        <v>242</v>
      </c>
      <c r="F563" s="20" t="str">
        <f>IFERROR(F169/SUM(F397,F517),"-")</f>
        <v>-</v>
      </c>
      <c r="G563" s="20" t="str">
        <f t="shared" ref="G563:K563" si="342">IFERROR(G169/SUM(G397,G517),"-")</f>
        <v>-</v>
      </c>
      <c r="H563" s="20" t="str">
        <f t="shared" si="342"/>
        <v>-</v>
      </c>
      <c r="I563" s="20">
        <f t="shared" si="342"/>
        <v>0.495</v>
      </c>
      <c r="J563" s="20">
        <f t="shared" si="342"/>
        <v>0.55000000000000016</v>
      </c>
      <c r="K563" s="20">
        <f t="shared" si="342"/>
        <v>0.59999999999999987</v>
      </c>
    </row>
    <row r="564" spans="1:11">
      <c r="A564" t="s">
        <v>5</v>
      </c>
      <c r="B564" s="5" t="s">
        <v>6</v>
      </c>
      <c r="C564" s="5" t="s">
        <v>7</v>
      </c>
      <c r="D564" t="s">
        <v>287</v>
      </c>
      <c r="E564" s="5" t="s">
        <v>242</v>
      </c>
      <c r="F564" s="20" t="str">
        <f>IFERROR(F170/SUM(F398,F518),"-")</f>
        <v>-</v>
      </c>
      <c r="G564" s="20" t="str">
        <f t="shared" ref="G564:K564" si="343">IFERROR(G170/SUM(G398,G518),"-")</f>
        <v>-</v>
      </c>
      <c r="H564" s="20" t="str">
        <f t="shared" si="343"/>
        <v>-</v>
      </c>
      <c r="I564" s="20">
        <f t="shared" si="343"/>
        <v>0.47063752397478448</v>
      </c>
      <c r="J564" s="20">
        <f t="shared" si="343"/>
        <v>0.54000000000000026</v>
      </c>
      <c r="K564" s="20">
        <f t="shared" si="343"/>
        <v>0.57500000000000029</v>
      </c>
    </row>
    <row r="565" spans="1:11">
      <c r="A565" t="s">
        <v>5</v>
      </c>
      <c r="B565" s="5" t="s">
        <v>6</v>
      </c>
      <c r="C565" s="5" t="s">
        <v>7</v>
      </c>
      <c r="D565" t="s">
        <v>288</v>
      </c>
      <c r="E565" s="5" t="s">
        <v>242</v>
      </c>
      <c r="F565" s="20">
        <f t="shared" ref="F565:K571" si="344">IFERROR(F172/F400,"-")</f>
        <v>0.69999852896561143</v>
      </c>
      <c r="G565" s="20">
        <f t="shared" si="344"/>
        <v>0.69998958918777709</v>
      </c>
      <c r="H565" s="20">
        <f t="shared" si="344"/>
        <v>0.69999934721284551</v>
      </c>
      <c r="I565" s="20">
        <f t="shared" si="344"/>
        <v>0.69875835616873982</v>
      </c>
      <c r="J565" s="20">
        <f t="shared" si="344"/>
        <v>0.69995649438512597</v>
      </c>
      <c r="K565" s="20">
        <f t="shared" si="344"/>
        <v>0.69999973312107489</v>
      </c>
    </row>
    <row r="566" spans="1:11">
      <c r="A566" t="s">
        <v>5</v>
      </c>
      <c r="B566" s="5" t="s">
        <v>6</v>
      </c>
      <c r="C566" s="5" t="s">
        <v>7</v>
      </c>
      <c r="D566" t="s">
        <v>289</v>
      </c>
      <c r="E566" s="5" t="s">
        <v>242</v>
      </c>
      <c r="F566" s="20">
        <f t="shared" si="344"/>
        <v>0.86502542839772034</v>
      </c>
      <c r="G566" s="20">
        <f t="shared" si="344"/>
        <v>0.86506319923226793</v>
      </c>
      <c r="H566" s="20">
        <f t="shared" si="344"/>
        <v>0.86653552599820427</v>
      </c>
      <c r="I566" s="20" t="str">
        <f t="shared" si="344"/>
        <v>-</v>
      </c>
      <c r="J566" s="20" t="str">
        <f t="shared" si="344"/>
        <v>-</v>
      </c>
      <c r="K566" s="20" t="str">
        <f t="shared" si="344"/>
        <v>-</v>
      </c>
    </row>
    <row r="567" spans="1:11">
      <c r="A567" t="s">
        <v>5</v>
      </c>
      <c r="B567" s="5" t="s">
        <v>6</v>
      </c>
      <c r="C567" s="5" t="s">
        <v>7</v>
      </c>
      <c r="D567" t="s">
        <v>290</v>
      </c>
      <c r="E567" s="5" t="s">
        <v>242</v>
      </c>
      <c r="F567" s="20">
        <f t="shared" si="344"/>
        <v>0.89404895803049234</v>
      </c>
      <c r="G567" s="20">
        <f t="shared" si="344"/>
        <v>0.89422319429201014</v>
      </c>
      <c r="H567" s="20">
        <f t="shared" si="344"/>
        <v>0.89403520455776142</v>
      </c>
      <c r="I567" s="20" t="str">
        <f t="shared" si="344"/>
        <v>-</v>
      </c>
      <c r="J567" s="20" t="str">
        <f t="shared" si="344"/>
        <v>-</v>
      </c>
      <c r="K567" s="20" t="str">
        <f t="shared" si="344"/>
        <v>-</v>
      </c>
    </row>
    <row r="568" spans="1:11">
      <c r="A568" t="s">
        <v>5</v>
      </c>
      <c r="B568" s="5" t="s">
        <v>6</v>
      </c>
      <c r="C568" s="5" t="s">
        <v>7</v>
      </c>
      <c r="D568" t="s">
        <v>291</v>
      </c>
      <c r="E568" s="5" t="s">
        <v>242</v>
      </c>
      <c r="F568" s="20">
        <f t="shared" si="344"/>
        <v>0.89995306228826932</v>
      </c>
      <c r="G568" s="20">
        <f t="shared" si="344"/>
        <v>0.90016344889159106</v>
      </c>
      <c r="H568" s="20">
        <f t="shared" si="344"/>
        <v>0.9038769237081411</v>
      </c>
      <c r="I568" s="20">
        <f t="shared" si="344"/>
        <v>0.9039318922304993</v>
      </c>
      <c r="J568" s="20">
        <f t="shared" si="344"/>
        <v>0.90412166784152226</v>
      </c>
      <c r="K568" s="20">
        <f t="shared" si="344"/>
        <v>0.90419986644500994</v>
      </c>
    </row>
    <row r="569" spans="1:11">
      <c r="A569" t="s">
        <v>5</v>
      </c>
      <c r="B569" s="5" t="s">
        <v>6</v>
      </c>
      <c r="C569" s="5" t="s">
        <v>7</v>
      </c>
      <c r="D569" t="s">
        <v>292</v>
      </c>
      <c r="E569" s="5" t="s">
        <v>242</v>
      </c>
      <c r="F569" s="20">
        <f t="shared" si="344"/>
        <v>0.90061470552096901</v>
      </c>
      <c r="G569" s="20">
        <f t="shared" si="344"/>
        <v>0.90082393730207933</v>
      </c>
      <c r="H569" s="20">
        <f t="shared" si="344"/>
        <v>0.90381918076281254</v>
      </c>
      <c r="I569" s="20">
        <f t="shared" si="344"/>
        <v>0.90425703786464795</v>
      </c>
      <c r="J569" s="20">
        <f t="shared" si="344"/>
        <v>0.90426626105088537</v>
      </c>
      <c r="K569" s="20">
        <f t="shared" si="344"/>
        <v>0.90426952277313355</v>
      </c>
    </row>
    <row r="570" spans="1:11">
      <c r="A570" t="s">
        <v>5</v>
      </c>
      <c r="B570" s="5" t="s">
        <v>6</v>
      </c>
      <c r="C570" s="5" t="s">
        <v>7</v>
      </c>
      <c r="D570" t="s">
        <v>293</v>
      </c>
      <c r="E570" s="5" t="s">
        <v>242</v>
      </c>
      <c r="F570" s="20">
        <f t="shared" si="344"/>
        <v>0.90019364741629015</v>
      </c>
      <c r="G570" s="20">
        <f t="shared" si="344"/>
        <v>0.90042466284206535</v>
      </c>
      <c r="H570" s="20">
        <f t="shared" si="344"/>
        <v>0.90312069885422752</v>
      </c>
      <c r="I570" s="20">
        <f t="shared" si="344"/>
        <v>0.90424148341566979</v>
      </c>
      <c r="J570" s="20">
        <f t="shared" si="344"/>
        <v>0.90426937648780614</v>
      </c>
      <c r="K570" s="20">
        <f t="shared" si="344"/>
        <v>0.90426963444971531</v>
      </c>
    </row>
    <row r="571" spans="1:11">
      <c r="A571" t="s">
        <v>5</v>
      </c>
      <c r="B571" s="5" t="s">
        <v>6</v>
      </c>
      <c r="C571" s="5" t="s">
        <v>7</v>
      </c>
      <c r="D571" t="s">
        <v>294</v>
      </c>
      <c r="E571" s="5" t="s">
        <v>242</v>
      </c>
      <c r="F571" s="20">
        <f t="shared" si="344"/>
        <v>0.89997032335697524</v>
      </c>
      <c r="G571" s="20">
        <f t="shared" si="344"/>
        <v>0.90021366708274508</v>
      </c>
      <c r="H571" s="20">
        <f t="shared" si="344"/>
        <v>0.90345743994846051</v>
      </c>
      <c r="I571" s="20">
        <f t="shared" si="344"/>
        <v>0.90393052820199571</v>
      </c>
      <c r="J571" s="20">
        <f t="shared" si="344"/>
        <v>0.90410103565726119</v>
      </c>
      <c r="K571" s="20">
        <f t="shared" si="344"/>
        <v>0.90415735733425118</v>
      </c>
    </row>
    <row r="572" spans="1:11">
      <c r="A572" t="s">
        <v>5</v>
      </c>
      <c r="B572" s="8" t="s">
        <v>6</v>
      </c>
      <c r="C572" s="8" t="s">
        <v>7</v>
      </c>
      <c r="D572" s="1" t="s">
        <v>299</v>
      </c>
      <c r="E572" s="5" t="s">
        <v>242</v>
      </c>
      <c r="F572" s="13" t="s">
        <v>295</v>
      </c>
      <c r="G572" s="13" t="s">
        <v>295</v>
      </c>
      <c r="H572" s="13" t="s">
        <v>295</v>
      </c>
      <c r="I572" s="13" t="s">
        <v>295</v>
      </c>
      <c r="J572" s="13" t="s">
        <v>295</v>
      </c>
      <c r="K572" s="13" t="s">
        <v>295</v>
      </c>
    </row>
    <row r="573" spans="1:11">
      <c r="A573" t="s">
        <v>5</v>
      </c>
      <c r="B573" s="5" t="s">
        <v>6</v>
      </c>
      <c r="C573" s="5" t="s">
        <v>7</v>
      </c>
      <c r="D573" t="s">
        <v>300</v>
      </c>
      <c r="E573" s="5" t="s">
        <v>242</v>
      </c>
      <c r="F573" s="21">
        <f>IFERROR(F210/F440,"-")</f>
        <v>0.59933761365252081</v>
      </c>
      <c r="G573" s="21" t="str">
        <f t="shared" ref="G573:K573" si="345">IFERROR(G210/G440,"-")</f>
        <v>-</v>
      </c>
      <c r="H573" s="21">
        <f t="shared" si="345"/>
        <v>0.64805977149737393</v>
      </c>
      <c r="I573" s="21">
        <f t="shared" si="345"/>
        <v>0.85444032719263752</v>
      </c>
      <c r="J573" s="21">
        <f t="shared" si="345"/>
        <v>0.83915086221147595</v>
      </c>
      <c r="K573" s="21">
        <f t="shared" si="345"/>
        <v>0.38083293048419881</v>
      </c>
    </row>
    <row r="574" spans="1:11">
      <c r="A574" t="s">
        <v>5</v>
      </c>
      <c r="B574" s="5" t="s">
        <v>6</v>
      </c>
      <c r="C574" s="5" t="s">
        <v>7</v>
      </c>
      <c r="D574" t="s">
        <v>301</v>
      </c>
      <c r="E574" s="5" t="s">
        <v>242</v>
      </c>
      <c r="F574" s="21">
        <f>IFERROR(F216/F446,"-")</f>
        <v>1</v>
      </c>
      <c r="G574" s="21">
        <f t="shared" ref="G574:K574" si="346">IFERROR(G216/G446,"-")</f>
        <v>1</v>
      </c>
      <c r="H574" s="21">
        <f t="shared" si="346"/>
        <v>1</v>
      </c>
      <c r="I574" s="21">
        <f t="shared" si="346"/>
        <v>1</v>
      </c>
      <c r="J574" s="21" t="str">
        <f t="shared" si="346"/>
        <v>-</v>
      </c>
      <c r="K574" s="21" t="str">
        <f t="shared" si="346"/>
        <v>-</v>
      </c>
    </row>
    <row r="575" spans="1:11">
      <c r="A575" t="s">
        <v>5</v>
      </c>
      <c r="B575" s="5" t="s">
        <v>6</v>
      </c>
      <c r="C575" s="5" t="s">
        <v>7</v>
      </c>
      <c r="D575" t="s">
        <v>302</v>
      </c>
      <c r="E575" s="5" t="s">
        <v>242</v>
      </c>
      <c r="F575" s="21">
        <f>IFERROR(F218/F448,"-")</f>
        <v>0.85445501111132471</v>
      </c>
      <c r="G575" s="21" t="str">
        <f t="shared" ref="G575:K575" si="347">IFERROR(G218/G448,"-")</f>
        <v>-</v>
      </c>
      <c r="H575" s="21">
        <f t="shared" si="347"/>
        <v>0.85445501111132538</v>
      </c>
      <c r="I575" s="21">
        <f t="shared" si="347"/>
        <v>0.8544550111113246</v>
      </c>
      <c r="J575" s="21">
        <f t="shared" si="347"/>
        <v>0.85445501111132527</v>
      </c>
      <c r="K575" s="21" t="str">
        <f t="shared" si="347"/>
        <v>-</v>
      </c>
    </row>
    <row r="576" spans="1:11">
      <c r="A576" t="s">
        <v>5</v>
      </c>
      <c r="B576" s="5" t="s">
        <v>6</v>
      </c>
      <c r="C576" s="5" t="s">
        <v>7</v>
      </c>
      <c r="D576" t="s">
        <v>303</v>
      </c>
      <c r="E576" s="5" t="s">
        <v>242</v>
      </c>
      <c r="F576" s="21">
        <f>IFERROR(F224/F454,"-")</f>
        <v>0.70000000000000062</v>
      </c>
      <c r="G576" s="21">
        <f t="shared" ref="G576:K576" si="348">IFERROR(G224/G454,"-")</f>
        <v>0.70000000000000051</v>
      </c>
      <c r="H576" s="21">
        <f t="shared" si="348"/>
        <v>0.69999999999999929</v>
      </c>
      <c r="I576" s="21">
        <f t="shared" si="348"/>
        <v>0.70000000000000018</v>
      </c>
      <c r="J576" s="21">
        <f t="shared" si="348"/>
        <v>0.70000000000000029</v>
      </c>
      <c r="K576" s="21">
        <f t="shared" si="348"/>
        <v>0.70000000000000051</v>
      </c>
    </row>
    <row r="577" spans="1:11">
      <c r="A577" t="s">
        <v>5</v>
      </c>
      <c r="B577" s="5" t="s">
        <v>6</v>
      </c>
      <c r="C577" s="5" t="s">
        <v>7</v>
      </c>
      <c r="D577" t="s">
        <v>304</v>
      </c>
      <c r="E577" s="5" t="s">
        <v>242</v>
      </c>
      <c r="F577" s="13" t="str">
        <f>IFERROR(F226/F456,"-")</f>
        <v>-</v>
      </c>
      <c r="G577" s="13" t="str">
        <f t="shared" ref="G577:K577" si="349">IFERROR(G226/G456,"-")</f>
        <v>-</v>
      </c>
      <c r="H577" s="13" t="str">
        <f t="shared" si="349"/>
        <v>-</v>
      </c>
      <c r="I577" s="13" t="str">
        <f t="shared" si="349"/>
        <v>-</v>
      </c>
      <c r="J577" s="13" t="str">
        <f t="shared" si="349"/>
        <v>-</v>
      </c>
      <c r="K577" s="13" t="str">
        <f t="shared" si="349"/>
        <v>-</v>
      </c>
    </row>
    <row r="578" spans="1:11">
      <c r="A578" t="s">
        <v>5</v>
      </c>
      <c r="B578" s="5" t="s">
        <v>6</v>
      </c>
      <c r="C578" s="5" t="s">
        <v>7</v>
      </c>
      <c r="D578" t="s">
        <v>305</v>
      </c>
      <c r="E578" s="5" t="s">
        <v>242</v>
      </c>
      <c r="F578" s="13" t="str">
        <f>IFERROR(F228/F458,"-")</f>
        <v>-</v>
      </c>
      <c r="G578" s="13" t="str">
        <f t="shared" ref="G578:K578" si="350">IFERROR(G228/G458,"-")</f>
        <v>-</v>
      </c>
      <c r="H578" s="13" t="str">
        <f t="shared" si="350"/>
        <v>-</v>
      </c>
      <c r="I578" s="13" t="str">
        <f t="shared" si="350"/>
        <v>-</v>
      </c>
      <c r="J578" s="13">
        <f t="shared" si="350"/>
        <v>0.84999999999999964</v>
      </c>
      <c r="K578" s="13">
        <f t="shared" si="350"/>
        <v>0.85000000000000009</v>
      </c>
    </row>
    <row r="579" spans="1:11">
      <c r="A579" t="s">
        <v>5</v>
      </c>
      <c r="B579" s="5" t="s">
        <v>6</v>
      </c>
      <c r="C579" s="5" t="s">
        <v>7</v>
      </c>
      <c r="D579" t="s">
        <v>747</v>
      </c>
      <c r="E579" s="5" t="s">
        <v>242</v>
      </c>
      <c r="F579" s="21" t="str">
        <f>IFERROR(F230/F460,"-")</f>
        <v>-</v>
      </c>
      <c r="G579" s="21">
        <f t="shared" ref="G579:K579" si="351">IFERROR(G230/G460,"-")</f>
        <v>2.9999999999999991</v>
      </c>
      <c r="H579" s="21">
        <f t="shared" si="351"/>
        <v>2.9999999999999996</v>
      </c>
      <c r="I579" s="21">
        <f t="shared" si="351"/>
        <v>3.0000000000000013</v>
      </c>
      <c r="J579" s="21">
        <f t="shared" si="351"/>
        <v>2.9999999999999991</v>
      </c>
      <c r="K579" s="21">
        <f t="shared" si="351"/>
        <v>2.9999999999999996</v>
      </c>
    </row>
    <row r="580" spans="1:11">
      <c r="A580" t="s">
        <v>5</v>
      </c>
      <c r="B580" s="8" t="s">
        <v>6</v>
      </c>
      <c r="C580" s="8" t="s">
        <v>7</v>
      </c>
      <c r="D580" s="1" t="s">
        <v>306</v>
      </c>
      <c r="E580" s="8" t="s">
        <v>8</v>
      </c>
      <c r="F580" s="16">
        <f>[1]Other_transformation!B$5</f>
        <v>0.40016063849049871</v>
      </c>
      <c r="G580" s="16">
        <f>[1]Other_transformation!C$5</f>
        <v>0</v>
      </c>
      <c r="H580" s="16">
        <f>[1]Other_transformation!D$5</f>
        <v>0.44236302703418234</v>
      </c>
      <c r="I580" s="16">
        <f>[1]Other_transformation!E$5</f>
        <v>0</v>
      </c>
      <c r="J580" s="16">
        <f>[1]Other_transformation!F$5</f>
        <v>8.8863661685476714E-6</v>
      </c>
      <c r="K580" s="16">
        <f>[1]Other_transformation!G$5</f>
        <v>3.5723563953513291</v>
      </c>
    </row>
    <row r="581" spans="1:11">
      <c r="A581" t="s">
        <v>5</v>
      </c>
      <c r="B581" s="5" t="s">
        <v>6</v>
      </c>
      <c r="C581" s="5" t="s">
        <v>7</v>
      </c>
      <c r="D581" t="s">
        <v>934</v>
      </c>
      <c r="E581" s="5" t="s">
        <v>8</v>
      </c>
      <c r="F581" s="13">
        <f>F580</f>
        <v>0.40016063849049871</v>
      </c>
      <c r="G581" s="13">
        <f t="shared" ref="G581:K581" si="352">G580</f>
        <v>0</v>
      </c>
      <c r="H581" s="13">
        <f t="shared" si="352"/>
        <v>0.44236302703418234</v>
      </c>
      <c r="I581" s="13">
        <f t="shared" si="352"/>
        <v>0</v>
      </c>
      <c r="J581" s="13">
        <f t="shared" si="352"/>
        <v>8.8863661685476714E-6</v>
      </c>
      <c r="K581" s="13">
        <f t="shared" si="352"/>
        <v>3.5723563953513291</v>
      </c>
    </row>
    <row r="582" spans="1:11">
      <c r="A582" t="s">
        <v>5</v>
      </c>
      <c r="B582" s="5" t="s">
        <v>6</v>
      </c>
      <c r="C582" s="5" t="s">
        <v>7</v>
      </c>
      <c r="D582" t="s">
        <v>307</v>
      </c>
      <c r="E582" s="5" t="s">
        <v>8</v>
      </c>
      <c r="F582" s="13" cm="1">
        <f t="array" ref="F582">SUMPRODUCT(("CT_CWODBDS"=[1]OUT_SyntheticFuels!$C$4:$C$1000)*1,("BDS"=[1]OUT_SyntheticFuels!$A$4:$A$1000)*1,("Var_Fout"=[1]OUT_SyntheticFuels!$B$4:$B$1000)*1,[1]OUT_SyntheticFuels!E$4:E$1000)</f>
        <v>0.40016063849049871</v>
      </c>
      <c r="G582" s="13" cm="1">
        <f t="array" ref="G582">SUMPRODUCT(("CT_CWODBDS"=[1]OUT_SyntheticFuels!$C$4:$C$1000)*1,("BDS"=[1]OUT_SyntheticFuels!$A$4:$A$1000)*1,("Var_Fout"=[1]OUT_SyntheticFuels!$B$4:$B$1000)*1,[1]OUT_SyntheticFuels!F$4:F$1000)</f>
        <v>0</v>
      </c>
      <c r="H582" s="13" cm="1">
        <f t="array" ref="H582">SUMPRODUCT(("CT_CWODBDS"=[1]OUT_SyntheticFuels!$C$4:$C$1000)*1,("BDS"=[1]OUT_SyntheticFuels!$A$4:$A$1000)*1,("Var_Fout"=[1]OUT_SyntheticFuels!$B$4:$B$1000)*1,[1]OUT_SyntheticFuels!G$4:G$1000)</f>
        <v>0.44236302703418234</v>
      </c>
      <c r="I582" s="13" cm="1">
        <f t="array" ref="I582">SUMPRODUCT(("CT_CWODBDS"=[1]OUT_SyntheticFuels!$C$4:$C$1000)*1,("BDS"=[1]OUT_SyntheticFuels!$A$4:$A$1000)*1,("Var_Fout"=[1]OUT_SyntheticFuels!$B$4:$B$1000)*1,[1]OUT_SyntheticFuels!H$4:H$1000)</f>
        <v>0</v>
      </c>
      <c r="J582" s="13" cm="1">
        <f t="array" ref="J582">SUMPRODUCT(("CT_CWODBDS"=[1]OUT_SyntheticFuels!$C$4:$C$1000)*1,("BDS"=[1]OUT_SyntheticFuels!$A$4:$A$1000)*1,("Var_Fout"=[1]OUT_SyntheticFuels!$B$4:$B$1000)*1,[1]OUT_SyntheticFuels!I$4:I$1000)</f>
        <v>3.7694370176560556E-6</v>
      </c>
      <c r="K582" s="13" cm="1">
        <f t="array" ref="K582">SUMPRODUCT(("CT_CWODBDS"=[1]OUT_SyntheticFuels!$C$4:$C$1000)*1,("BDS"=[1]OUT_SyntheticFuels!$A$4:$A$1000)*1,("Var_Fout"=[1]OUT_SyntheticFuels!$B$4:$B$1000)*1,[1]OUT_SyntheticFuels!J$4:J$1000)</f>
        <v>0</v>
      </c>
    </row>
    <row r="583" spans="1:11">
      <c r="A583" t="s">
        <v>5</v>
      </c>
      <c r="B583" s="5" t="s">
        <v>6</v>
      </c>
      <c r="C583" s="5" t="s">
        <v>7</v>
      </c>
      <c r="D583" t="s">
        <v>308</v>
      </c>
      <c r="E583" s="5" t="s">
        <v>8</v>
      </c>
      <c r="F583" s="13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3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3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3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3" cm="1">
        <f t="array" ref="J583">SUMPRODUCT(("CT_CWODBDSCCS"=[1]OUT_SyntheticFuels!$C$4:$C$1000)*1,("BDS"=[1]OUT_SyntheticFuels!$A$4:$A$1000)*1,("Var_Fout"=[1]OUT_SyntheticFuels!$B$4:$B$1000)*1,[1]OUT_SyntheticFuels!I$4:I$1000)</f>
        <v>5.1169291508916167E-6</v>
      </c>
      <c r="K583" s="13" cm="1">
        <f t="array" ref="K583">SUMPRODUCT(("CT_CWODBDSCCS"=[1]OUT_SyntheticFuels!$C$4:$C$1000)*1,("BDS"=[1]OUT_SyntheticFuels!$A$4:$A$1000)*1,("Var_Fout"=[1]OUT_SyntheticFuels!$B$4:$B$1000)*1,[1]OUT_SyntheticFuels!J$4:J$1000)</f>
        <v>3.5723563953513291</v>
      </c>
    </row>
    <row r="584" spans="1:11">
      <c r="A584" t="s">
        <v>5</v>
      </c>
      <c r="B584" s="8" t="s">
        <v>6</v>
      </c>
      <c r="C584" s="8" t="s">
        <v>7</v>
      </c>
      <c r="D584" s="1" t="s">
        <v>375</v>
      </c>
      <c r="E584" s="8" t="s">
        <v>8</v>
      </c>
      <c r="F584" s="16">
        <f>F585</f>
        <v>0.15606264901129399</v>
      </c>
      <c r="G584" s="16">
        <f t="shared" ref="G584:K584" si="353">G585</f>
        <v>0</v>
      </c>
      <c r="H584" s="16">
        <f t="shared" si="353"/>
        <v>0.17252158054333111</v>
      </c>
      <c r="I584" s="16">
        <f t="shared" si="353"/>
        <v>0</v>
      </c>
      <c r="J584" s="16">
        <f t="shared" si="353"/>
        <v>3.071432857197108E-6</v>
      </c>
      <c r="K584" s="16">
        <f t="shared" si="353"/>
        <v>1.393218994187017</v>
      </c>
    </row>
    <row r="585" spans="1:11">
      <c r="A585" t="s">
        <v>5</v>
      </c>
      <c r="B585" s="5" t="s">
        <v>6</v>
      </c>
      <c r="C585" s="5" t="s">
        <v>7</v>
      </c>
      <c r="D585" t="s">
        <v>935</v>
      </c>
      <c r="E585" s="5" t="s">
        <v>8</v>
      </c>
      <c r="F585" s="13">
        <f>SUM(F586:F587)</f>
        <v>0.15606264901129399</v>
      </c>
      <c r="G585" s="13">
        <f t="shared" ref="G585:K585" si="354">SUM(G586:G587)</f>
        <v>0</v>
      </c>
      <c r="H585" s="13">
        <f t="shared" si="354"/>
        <v>0.17252158054333111</v>
      </c>
      <c r="I585" s="13">
        <f t="shared" si="354"/>
        <v>0</v>
      </c>
      <c r="J585" s="13">
        <f t="shared" si="354"/>
        <v>3.071432857197108E-6</v>
      </c>
      <c r="K585" s="13">
        <f t="shared" si="354"/>
        <v>1.393218994187017</v>
      </c>
    </row>
    <row r="586" spans="1:11">
      <c r="A586" t="s">
        <v>5</v>
      </c>
      <c r="B586" s="5" t="s">
        <v>6</v>
      </c>
      <c r="C586" s="5" t="s">
        <v>7</v>
      </c>
      <c r="D586" t="s">
        <v>310</v>
      </c>
      <c r="E586" s="5" t="s">
        <v>8</v>
      </c>
      <c r="F586" s="13" cm="1">
        <f t="array" ref="F586">SUMPRODUCT(("CT_CWODBDS"=[1]OUT_SyntheticFuels!$C$4:$C$1000)*1,("LTH"=[1]OUT_SyntheticFuels!$A$4:$A$1000)*1,("Var_Fout"=[1]OUT_SyntheticFuels!$B$4:$B$1000)*1,[1]OUT_SyntheticFuels!E$4:E$1000)</f>
        <v>0.15606264901129399</v>
      </c>
      <c r="G586" s="13" cm="1">
        <f t="array" ref="G586">SUMPRODUCT(("CT_CWODBDS"=[1]OUT_SyntheticFuels!$C$4:$C$1000)*1,("LTH"=[1]OUT_SyntheticFuels!$A$4:$A$1000)*1,("Var_Fout"=[1]OUT_SyntheticFuels!$B$4:$B$1000)*1,[1]OUT_SyntheticFuels!F$4:F$1000)</f>
        <v>0</v>
      </c>
      <c r="H586" s="13" cm="1">
        <f t="array" ref="H586">SUMPRODUCT(("CT_CWODBDS"=[1]OUT_SyntheticFuels!$C$4:$C$1000)*1,("LTH"=[1]OUT_SyntheticFuels!$A$4:$A$1000)*1,("Var_Fout"=[1]OUT_SyntheticFuels!$B$4:$B$1000)*1,[1]OUT_SyntheticFuels!G$4:G$1000)</f>
        <v>0.17252158054333111</v>
      </c>
      <c r="I586" s="13" cm="1">
        <f t="array" ref="I586">SUMPRODUCT(("CT_CWODBDS"=[1]OUT_SyntheticFuels!$C$4:$C$1000)*1,("LTH"=[1]OUT_SyntheticFuels!$A$4:$A$1000)*1,("Var_Fout"=[1]OUT_SyntheticFuels!$B$4:$B$1000)*1,[1]OUT_SyntheticFuels!H$4:H$1000)</f>
        <v>0</v>
      </c>
      <c r="J586" s="13" cm="1">
        <f t="array" ref="J586">SUMPRODUCT(("CT_CWODBDS"=[1]OUT_SyntheticFuels!$C$4:$C$1000)*1,("LTH"=[1]OUT_SyntheticFuels!$A$4:$A$1000)*1,("Var_Fout"=[1]OUT_SyntheticFuels!$B$4:$B$1000)*1,[1]OUT_SyntheticFuels!I$4:I$1000)</f>
        <v>1.4700804368858585E-6</v>
      </c>
      <c r="K586" s="13" cm="1">
        <f t="array" ref="K586">SUMPRODUCT(("CT_CWODBDS"=[1]OUT_SyntheticFuels!$C$4:$C$1000)*1,("LTH"=[1]OUT_SyntheticFuels!$A$4:$A$1000)*1,("Var_Fout"=[1]OUT_SyntheticFuels!$B$4:$B$1000)*1,[1]OUT_SyntheticFuels!J$4:J$1000)</f>
        <v>0</v>
      </c>
    </row>
    <row r="587" spans="1:11">
      <c r="A587" t="s">
        <v>5</v>
      </c>
      <c r="B587" s="5" t="s">
        <v>6</v>
      </c>
      <c r="C587" s="5" t="s">
        <v>7</v>
      </c>
      <c r="D587" t="s">
        <v>311</v>
      </c>
      <c r="E587" s="5" t="s">
        <v>8</v>
      </c>
      <c r="F587" s="13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3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3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3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3" cm="1">
        <f t="array" ref="J587">SUMPRODUCT(("CT_CWODBDSCCS"=[1]OUT_SyntheticFuels!$C$4:$C$1000)*1,("LTH"=[1]OUT_SyntheticFuels!$A$4:$A$1000)*1,("Var_Fout"=[1]OUT_SyntheticFuels!$B$4:$B$1000)*1,[1]OUT_SyntheticFuels!I$4:I$1000)</f>
        <v>1.6013524203112497E-6</v>
      </c>
      <c r="K587" s="13" cm="1">
        <f t="array" ref="K587">SUMPRODUCT(("CT_CWODBDSCCS"=[1]OUT_SyntheticFuels!$C$4:$C$1000)*1,("LTH"=[1]OUT_SyntheticFuels!$A$4:$A$1000)*1,("Var_Fout"=[1]OUT_SyntheticFuels!$B$4:$B$1000)*1,[1]OUT_SyntheticFuels!J$4:J$1000)</f>
        <v>1.393218994187017</v>
      </c>
    </row>
    <row r="588" spans="1:11">
      <c r="A588" t="s">
        <v>5</v>
      </c>
      <c r="B588" s="8" t="s">
        <v>6</v>
      </c>
      <c r="C588" s="8" t="s">
        <v>7</v>
      </c>
      <c r="D588" s="1" t="s">
        <v>378</v>
      </c>
      <c r="E588" s="8" t="s">
        <v>8</v>
      </c>
      <c r="F588" s="16">
        <f>F589+F592</f>
        <v>1.1680689037537639</v>
      </c>
      <c r="G588" s="16">
        <f t="shared" ref="G588:K588" si="355">G589+G592</f>
        <v>0</v>
      </c>
      <c r="H588" s="16">
        <f t="shared" si="355"/>
        <v>1.2912576759127778</v>
      </c>
      <c r="I588" s="16">
        <f t="shared" si="355"/>
        <v>6.1064955069381079E-6</v>
      </c>
      <c r="J588" s="16">
        <f t="shared" si="355"/>
        <v>3.265641665762124E-5</v>
      </c>
      <c r="K588" s="16">
        <f t="shared" si="355"/>
        <v>10.640519465350815</v>
      </c>
    </row>
    <row r="589" spans="1:11">
      <c r="A589" t="s">
        <v>5</v>
      </c>
      <c r="B589" s="5" t="s">
        <v>6</v>
      </c>
      <c r="C589" s="5" t="s">
        <v>7</v>
      </c>
      <c r="D589" t="s">
        <v>936</v>
      </c>
      <c r="E589" s="5" t="s">
        <v>8</v>
      </c>
      <c r="F589" s="13">
        <f>SUM(F590:F591)</f>
        <v>1.1402577393786744</v>
      </c>
      <c r="G589" s="13">
        <f t="shared" ref="G589:K589" si="356">SUM(G590:G591)</f>
        <v>0</v>
      </c>
      <c r="H589" s="13">
        <f t="shared" si="356"/>
        <v>1.2605134455339022</v>
      </c>
      <c r="I589" s="13">
        <f t="shared" si="356"/>
        <v>6.1064955069381079E-6</v>
      </c>
      <c r="J589" s="13">
        <f t="shared" si="356"/>
        <v>3.265641665762124E-5</v>
      </c>
      <c r="K589" s="13">
        <f t="shared" si="356"/>
        <v>10.179430377483765</v>
      </c>
    </row>
    <row r="590" spans="1:11">
      <c r="A590" t="s">
        <v>5</v>
      </c>
      <c r="B590" s="5" t="s">
        <v>6</v>
      </c>
      <c r="C590" s="5" t="s">
        <v>7</v>
      </c>
      <c r="D590" t="s">
        <v>330</v>
      </c>
      <c r="E590" s="5" t="s">
        <v>8</v>
      </c>
      <c r="F590" s="13" cm="1">
        <f t="array" ref="F590">SUMPRODUCT(("CT_CWODBDS"=[1]OUT_SyntheticFuels!$C$4:$C$1000)*1,("CWOD"=[1]OUT_SyntheticFuels!$A$4:$A$1000)*1,("Var_Fin"=[1]OUT_SyntheticFuels!$B$4:$B$1000)*1,[1]OUT_SyntheticFuels!E$4:E$1000)</f>
        <v>1.1402577393786744</v>
      </c>
      <c r="G590" s="13" cm="1">
        <f t="array" ref="G590">SUMPRODUCT(("CT_CWODBDS"=[1]OUT_SyntheticFuels!$C$4:$C$1000)*1,("CWOD"=[1]OUT_SyntheticFuels!$A$4:$A$1000)*1,("Var_Fin"=[1]OUT_SyntheticFuels!$B$4:$B$1000)*1,[1]OUT_SyntheticFuels!F$4:F$1000)</f>
        <v>0</v>
      </c>
      <c r="H590" s="13" cm="1">
        <f t="array" ref="H590">SUMPRODUCT(("CT_CWODBDS"=[1]OUT_SyntheticFuels!$C$4:$C$1000)*1,("CWOD"=[1]OUT_SyntheticFuels!$A$4:$A$1000)*1,("Var_Fin"=[1]OUT_SyntheticFuels!$B$4:$B$1000)*1,[1]OUT_SyntheticFuels!G$4:G$1000)</f>
        <v>1.2605134455339022</v>
      </c>
      <c r="I590" s="13" cm="1">
        <f t="array" ref="I590">SUMPRODUCT(("CT_CWODBDS"=[1]OUT_SyntheticFuels!$C$4:$C$1000)*1,("CWOD"=[1]OUT_SyntheticFuels!$A$4:$A$1000)*1,("Var_Fin"=[1]OUT_SyntheticFuels!$B$4:$B$1000)*1,[1]OUT_SyntheticFuels!H$4:H$1000)</f>
        <v>6.1064955069381079E-6</v>
      </c>
      <c r="J590" s="13" cm="1">
        <f t="array" ref="J590">SUMPRODUCT(("CT_CWODBDS"=[1]OUT_SyntheticFuels!$C$4:$C$1000)*1,("CWOD"=[1]OUT_SyntheticFuels!$A$4:$A$1000)*1,("Var_Fin"=[1]OUT_SyntheticFuels!$B$4:$B$1000)*1,[1]OUT_SyntheticFuels!I$4:I$1000)</f>
        <v>1.5523858169742537E-5</v>
      </c>
      <c r="K590" s="13" cm="1">
        <f t="array" ref="K590">SUMPRODUCT(("CT_CWODBDS"=[1]OUT_SyntheticFuels!$C$4:$C$1000)*1,("CWOD"=[1]OUT_SyntheticFuels!$A$4:$A$1000)*1,("Var_Fin"=[1]OUT_SyntheticFuels!$B$4:$B$1000)*1,[1]OUT_SyntheticFuels!J$4:J$1000)</f>
        <v>8.2893015850791234E-7</v>
      </c>
    </row>
    <row r="591" spans="1:11">
      <c r="A591" t="s">
        <v>5</v>
      </c>
      <c r="B591" s="5" t="s">
        <v>6</v>
      </c>
      <c r="C591" s="5" t="s">
        <v>7</v>
      </c>
      <c r="D591" t="s">
        <v>331</v>
      </c>
      <c r="E591" s="5" t="s">
        <v>8</v>
      </c>
      <c r="F591" s="13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3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3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3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3" cm="1">
        <f t="array" ref="J591">SUMPRODUCT(("CT_CWODBDSCCS"=[1]OUT_SyntheticFuels!$C$4:$C$1000)*1,("CWOD"=[1]OUT_SyntheticFuels!$A$4:$A$1000)*1,("Var_Fin"=[1]OUT_SyntheticFuels!$B$4:$B$1000)*1,[1]OUT_SyntheticFuels!I$4:I$1000)</f>
        <v>1.7132558487878703E-5</v>
      </c>
      <c r="K591" s="13" cm="1">
        <f t="array" ref="K591">SUMPRODUCT(("CT_CWODBDSCCS"=[1]OUT_SyntheticFuels!$C$4:$C$1000)*1,("CWOD"=[1]OUT_SyntheticFuels!$A$4:$A$1000)*1,("Var_Fin"=[1]OUT_SyntheticFuels!$B$4:$B$1000)*1,[1]OUT_SyntheticFuels!J$4:J$1000)</f>
        <v>10.179429548553607</v>
      </c>
    </row>
    <row r="592" spans="1:11">
      <c r="A592" t="s">
        <v>5</v>
      </c>
      <c r="B592" s="5" t="s">
        <v>6</v>
      </c>
      <c r="C592" s="5" t="s">
        <v>7</v>
      </c>
      <c r="D592" t="s">
        <v>937</v>
      </c>
      <c r="E592" s="5" t="s">
        <v>8</v>
      </c>
      <c r="F592" s="13">
        <f>SUM(F593:F594)</f>
        <v>2.7811164375089618E-2</v>
      </c>
      <c r="G592" s="13">
        <f t="shared" ref="G592:K592" si="357">SUM(G593:G594)</f>
        <v>0</v>
      </c>
      <c r="H592" s="13">
        <f t="shared" si="357"/>
        <v>3.0744230378875696E-2</v>
      </c>
      <c r="I592" s="13">
        <f t="shared" si="357"/>
        <v>0</v>
      </c>
      <c r="J592" s="13">
        <f t="shared" si="357"/>
        <v>0</v>
      </c>
      <c r="K592" s="13">
        <f t="shared" si="357"/>
        <v>0.46108908786704911</v>
      </c>
    </row>
    <row r="593" spans="1:11">
      <c r="A593" t="s">
        <v>5</v>
      </c>
      <c r="B593" s="5" t="s">
        <v>6</v>
      </c>
      <c r="C593" s="5" t="s">
        <v>7</v>
      </c>
      <c r="D593" t="s">
        <v>332</v>
      </c>
      <c r="E593" s="5" t="s">
        <v>8</v>
      </c>
      <c r="F593" s="13" cm="1">
        <f t="array" ref="F593">SUMPRODUCT(("CT_CWODBDS"=[1]OUT_SyntheticFuels!$C$4:$C$1000)*1,("Celc"=[1]OUT_SyntheticFuels!$A$4:$A$1000)*1,("Var_Fin"=[1]OUT_SyntheticFuels!$B$4:$B$1000)*1,[1]OUT_SyntheticFuels!E$4:E$1000)</f>
        <v>2.7811164375089618E-2</v>
      </c>
      <c r="G593" s="13" cm="1">
        <f t="array" ref="G593">SUMPRODUCT(("CT_CWODBDS"=[1]OUT_SyntheticFuels!$C$4:$C$1000)*1,("Celc"=[1]OUT_SyntheticFuels!$A$4:$A$1000)*1,("Var_Fin"=[1]OUT_SyntheticFuels!$B$4:$B$1000)*1,[1]OUT_SyntheticFuels!F$4:F$1000)</f>
        <v>0</v>
      </c>
      <c r="H593" s="13" cm="1">
        <f t="array" ref="H593">SUMPRODUCT(("CT_CWODBDS"=[1]OUT_SyntheticFuels!$C$4:$C$1000)*1,("Celc"=[1]OUT_SyntheticFuels!$A$4:$A$1000)*1,("Var_Fin"=[1]OUT_SyntheticFuels!$B$4:$B$1000)*1,[1]OUT_SyntheticFuels!G$4:G$1000)</f>
        <v>3.0744230378875696E-2</v>
      </c>
      <c r="I593" s="13" cm="1">
        <f t="array" ref="I593">SUMPRODUCT(("CT_CWODBDS"=[1]OUT_SyntheticFuels!$C$4:$C$1000)*1,("Celc"=[1]OUT_SyntheticFuels!$A$4:$A$1000)*1,("Var_Fin"=[1]OUT_SyntheticFuels!$B$4:$B$1000)*1,[1]OUT_SyntheticFuels!H$4:H$1000)</f>
        <v>0</v>
      </c>
      <c r="J593" s="13" cm="1">
        <f t="array" ref="J593">SUMPRODUCT(("CT_CWODBDS"=[1]OUT_SyntheticFuels!$C$4:$C$1000)*1,("Celc"=[1]OUT_SyntheticFuels!$A$4:$A$1000)*1,("Var_Fin"=[1]OUT_SyntheticFuels!$B$4:$B$1000)*1,[1]OUT_SyntheticFuels!I$4:I$1000)</f>
        <v>0</v>
      </c>
      <c r="K593" s="13" cm="1">
        <f t="array" ref="K593">SUMPRODUCT(("CT_CWODBDS"=[1]OUT_SyntheticFuels!$C$4:$C$1000)*1,("Celc"=[1]OUT_SyntheticFuels!$A$4:$A$1000)*1,("Var_Fin"=[1]OUT_SyntheticFuels!$B$4:$B$1000)*1,[1]OUT_SyntheticFuels!J$4:J$1000)</f>
        <v>0</v>
      </c>
    </row>
    <row r="594" spans="1:11">
      <c r="A594" t="s">
        <v>5</v>
      </c>
      <c r="B594" s="5" t="s">
        <v>6</v>
      </c>
      <c r="C594" s="5" t="s">
        <v>7</v>
      </c>
      <c r="D594" t="s">
        <v>333</v>
      </c>
      <c r="E594" s="5" t="s">
        <v>8</v>
      </c>
      <c r="F594" s="13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3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3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3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3" cm="1">
        <f t="array" ref="J594">SUMPRODUCT(("CT_CWODBDSCCS"=[1]OUT_SyntheticFuels!$C$4:$C$1000)*1,("Celc"=[1]OUT_SyntheticFuels!$A$4:$A$1000)*1,("Var_Fin"=[1]OUT_SyntheticFuels!$B$4:$B$1000)*1,[1]OUT_SyntheticFuels!I$4:I$1000)</f>
        <v>0</v>
      </c>
      <c r="K594" s="13" cm="1">
        <f t="array" ref="K594">SUMPRODUCT(("CT_CWODBDSCCS"=[1]OUT_SyntheticFuels!$C$4:$C$1000)*1,("Celc"=[1]OUT_SyntheticFuels!$A$4:$A$1000)*1,("Var_Fin"=[1]OUT_SyntheticFuels!$B$4:$B$1000)*1,[1]OUT_SyntheticFuels!J$4:J$1000)</f>
        <v>0.46108908786704911</v>
      </c>
    </row>
    <row r="595" spans="1:11">
      <c r="A595" t="s">
        <v>5</v>
      </c>
      <c r="B595" s="8" t="s">
        <v>6</v>
      </c>
      <c r="C595" s="8" t="s">
        <v>7</v>
      </c>
      <c r="D595" s="1" t="s">
        <v>309</v>
      </c>
      <c r="E595" s="8" t="s">
        <v>242</v>
      </c>
      <c r="F595" s="13" t="s">
        <v>295</v>
      </c>
      <c r="G595" s="13" t="s">
        <v>295</v>
      </c>
      <c r="H595" s="13" t="s">
        <v>295</v>
      </c>
      <c r="I595" s="13" t="s">
        <v>295</v>
      </c>
      <c r="J595" s="13" t="s">
        <v>295</v>
      </c>
      <c r="K595" s="13" t="s">
        <v>295</v>
      </c>
    </row>
    <row r="596" spans="1:11">
      <c r="A596" t="s">
        <v>5</v>
      </c>
      <c r="B596" s="5" t="s">
        <v>6</v>
      </c>
      <c r="C596" s="5" t="s">
        <v>7</v>
      </c>
      <c r="D596" t="s">
        <v>312</v>
      </c>
      <c r="E596" s="5" t="s">
        <v>242</v>
      </c>
      <c r="F596" s="21">
        <f>IFERROR(SUM(F582,F586)/SUM(F590,F593),"-")</f>
        <v>0.4761904761904765</v>
      </c>
      <c r="G596" s="21" t="str">
        <f t="shared" ref="G596:K597" si="358">IFERROR(SUM(G582,G586)/SUM(G590,G593),"-")</f>
        <v>-</v>
      </c>
      <c r="H596" s="21">
        <f t="shared" si="358"/>
        <v>0.47619047619047628</v>
      </c>
      <c r="I596" s="21">
        <f t="shared" si="358"/>
        <v>0</v>
      </c>
      <c r="J596" s="21">
        <f t="shared" si="358"/>
        <v>0.33751387040846764</v>
      </c>
      <c r="K596" s="21">
        <f t="shared" si="358"/>
        <v>0</v>
      </c>
    </row>
    <row r="597" spans="1:11">
      <c r="A597" t="s">
        <v>5</v>
      </c>
      <c r="B597" s="5" t="s">
        <v>6</v>
      </c>
      <c r="C597" s="5" t="s">
        <v>7</v>
      </c>
      <c r="D597" t="s">
        <v>313</v>
      </c>
      <c r="E597" s="5" t="s">
        <v>242</v>
      </c>
      <c r="F597" s="21" t="str">
        <f>IFERROR(SUM(F583,F587)/SUM(F591,F594),"-")</f>
        <v>-</v>
      </c>
      <c r="G597" s="21" t="str">
        <f t="shared" si="358"/>
        <v>-</v>
      </c>
      <c r="H597" s="21" t="str">
        <f t="shared" si="358"/>
        <v>-</v>
      </c>
      <c r="I597" s="21" t="str">
        <f t="shared" si="358"/>
        <v>-</v>
      </c>
      <c r="J597" s="21">
        <f t="shared" si="358"/>
        <v>0.39213533553415592</v>
      </c>
      <c r="K597" s="21">
        <f t="shared" si="358"/>
        <v>0.46666666909844406</v>
      </c>
    </row>
    <row r="598" spans="1:11">
      <c r="A598" t="s">
        <v>5</v>
      </c>
      <c r="B598" s="8" t="s">
        <v>6</v>
      </c>
      <c r="C598" s="8" t="s">
        <v>7</v>
      </c>
      <c r="D598" s="1" t="s">
        <v>381</v>
      </c>
      <c r="E598" s="8" t="s">
        <v>8</v>
      </c>
      <c r="F598" s="13">
        <f>[1]Other_transformation!B$12</f>
        <v>0.18613047060395566</v>
      </c>
      <c r="G598" s="13">
        <f>[1]Other_transformation!C$12</f>
        <v>0</v>
      </c>
      <c r="H598" s="13">
        <f>[1]Other_transformation!D$12</f>
        <v>9.1325683866222938E-6</v>
      </c>
      <c r="I598" s="13">
        <f>[1]Other_transformation!E$12</f>
        <v>0</v>
      </c>
      <c r="J598" s="13">
        <f>[1]Other_transformation!F$12</f>
        <v>0</v>
      </c>
      <c r="K598" s="13">
        <f>[1]Other_transformation!G$12</f>
        <v>1.2906091074139802E-6</v>
      </c>
    </row>
    <row r="599" spans="1:11">
      <c r="A599" t="s">
        <v>5</v>
      </c>
      <c r="B599" s="5" t="s">
        <v>6</v>
      </c>
      <c r="C599" s="5" t="s">
        <v>7</v>
      </c>
      <c r="D599" t="s">
        <v>935</v>
      </c>
      <c r="E599" t="str">
        <f>E598</f>
        <v>PJ/yr.</v>
      </c>
      <c r="F599" s="13">
        <f>SUM(F600:F601)</f>
        <v>0.18613047060395566</v>
      </c>
      <c r="G599" s="13">
        <f t="shared" ref="G599:K599" si="359">SUM(G600:G601)</f>
        <v>0</v>
      </c>
      <c r="H599" s="13">
        <f t="shared" si="359"/>
        <v>9.1325683866222938E-6</v>
      </c>
      <c r="I599" s="13">
        <f t="shared" si="359"/>
        <v>0</v>
      </c>
      <c r="J599" s="13">
        <f t="shared" si="359"/>
        <v>0</v>
      </c>
      <c r="K599" s="13">
        <f t="shared" si="359"/>
        <v>1.2906091074139802E-6</v>
      </c>
    </row>
    <row r="600" spans="1:11">
      <c r="A600" t="s">
        <v>5</v>
      </c>
      <c r="B600" s="5" t="s">
        <v>6</v>
      </c>
      <c r="C600" s="5" t="s">
        <v>7</v>
      </c>
      <c r="D600" t="s">
        <v>314</v>
      </c>
      <c r="E600" t="str">
        <f t="shared" ref="E600:E601" si="360">E599</f>
        <v>PJ/yr.</v>
      </c>
      <c r="F600" s="13" cm="1">
        <f t="array" ref="F600">SUMPRODUCT(("CT_CWODETH"=[1]OUT_SyntheticFuels!$C$4:$C$1000)*1,("ETH"=[1]OUT_SyntheticFuels!$A$4:$A$1000)*1,("Var_Fout"=[1]OUT_SyntheticFuels!$B$4:$B$1000)*1,[1]OUT_SyntheticFuels!E$4:E$1000)</f>
        <v>0.18613047060395566</v>
      </c>
      <c r="G600" s="13" cm="1">
        <f t="array" ref="G600">SUMPRODUCT(("CT_CWODETH"=[1]OUT_SyntheticFuels!$C$4:$C$1000)*1,("ETH"=[1]OUT_SyntheticFuels!$A$4:$A$1000)*1,("Var_Fout"=[1]OUT_SyntheticFuels!$B$4:$B$1000)*1,[1]OUT_SyntheticFuels!F$4:F$1000)</f>
        <v>0</v>
      </c>
      <c r="H600" s="13" cm="1">
        <f t="array" ref="H600">SUMPRODUCT(("CT_CWODETH"=[1]OUT_SyntheticFuels!$C$4:$C$1000)*1,("ETH"=[1]OUT_SyntheticFuels!$A$4:$A$1000)*1,("Var_Fout"=[1]OUT_SyntheticFuels!$B$4:$B$1000)*1,[1]OUT_SyntheticFuels!G$4:G$1000)</f>
        <v>9.1325683866222938E-6</v>
      </c>
      <c r="I600" s="13" cm="1">
        <f t="array" ref="I600">SUMPRODUCT(("CT_CWODETH"=[1]OUT_SyntheticFuels!$C$4:$C$1000)*1,("ETH"=[1]OUT_SyntheticFuels!$A$4:$A$1000)*1,("Var_Fout"=[1]OUT_SyntheticFuels!$B$4:$B$1000)*1,[1]OUT_SyntheticFuels!H$4:H$1000)</f>
        <v>0</v>
      </c>
      <c r="J600" s="13" cm="1">
        <f t="array" ref="J600">SUMPRODUCT(("CT_CWODETH"=[1]OUT_SyntheticFuels!$C$4:$C$1000)*1,("ETH"=[1]OUT_SyntheticFuels!$A$4:$A$1000)*1,("Var_Fout"=[1]OUT_SyntheticFuels!$B$4:$B$1000)*1,[1]OUT_SyntheticFuels!I$4:I$1000)</f>
        <v>0</v>
      </c>
      <c r="K600" s="13" cm="1">
        <f t="array" ref="K600">SUMPRODUCT(("CT_CWODETH"=[1]OUT_SyntheticFuels!$C$4:$C$1000)*1,("ETH"=[1]OUT_SyntheticFuels!$A$4:$A$1000)*1,("Var_Fout"=[1]OUT_SyntheticFuels!$B$4:$B$1000)*1,[1]OUT_SyntheticFuels!J$4:J$1000)</f>
        <v>2.9527918605131928E-7</v>
      </c>
    </row>
    <row r="601" spans="1:11">
      <c r="A601" t="s">
        <v>5</v>
      </c>
      <c r="B601" s="5" t="s">
        <v>6</v>
      </c>
      <c r="C601" s="5" t="s">
        <v>7</v>
      </c>
      <c r="D601" t="s">
        <v>315</v>
      </c>
      <c r="E601" t="str">
        <f t="shared" si="360"/>
        <v>PJ/yr.</v>
      </c>
      <c r="F601" s="13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3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3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3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3" cm="1">
        <f t="array" ref="J601">SUMPRODUCT(("CT_CWODETHCCS"=[1]OUT_SyntheticFuels!$C$4:$C$1000)*1,("ETH"=[1]OUT_SyntheticFuels!$A$4:$A$1000)*1,("Var_Fout"=[1]OUT_SyntheticFuels!$B$4:$B$1000)*1,[1]OUT_SyntheticFuels!I$4:I$1000)</f>
        <v>0</v>
      </c>
      <c r="K601" s="13" cm="1">
        <f t="array" ref="K601">SUMPRODUCT(("CT_CWODETHCCS"=[1]OUT_SyntheticFuels!$C$4:$C$1000)*1,("ETH"=[1]OUT_SyntheticFuels!$A$4:$A$1000)*1,("Var_Fout"=[1]OUT_SyntheticFuels!$B$4:$B$1000)*1,[1]OUT_SyntheticFuels!J$4:J$1000)</f>
        <v>9.9532992136266101E-7</v>
      </c>
    </row>
    <row r="602" spans="1:11">
      <c r="A602" t="s">
        <v>5</v>
      </c>
      <c r="B602" s="8" t="s">
        <v>6</v>
      </c>
      <c r="C602" s="8" t="s">
        <v>7</v>
      </c>
      <c r="D602" s="1" t="s">
        <v>383</v>
      </c>
      <c r="E602" s="8" t="s">
        <v>8</v>
      </c>
      <c r="F602" s="16">
        <f>F603+F606</f>
        <v>0.69426665535275456</v>
      </c>
      <c r="G602" s="16">
        <f t="shared" ref="G602:K602" si="361">G603+G606</f>
        <v>0</v>
      </c>
      <c r="H602" s="16">
        <f t="shared" si="361"/>
        <v>3.406448008210116E-5</v>
      </c>
      <c r="I602" s="16">
        <f t="shared" si="361"/>
        <v>0</v>
      </c>
      <c r="J602" s="16">
        <f t="shared" si="361"/>
        <v>0</v>
      </c>
      <c r="K602" s="16">
        <f t="shared" si="361"/>
        <v>5.2718237344809707E-6</v>
      </c>
    </row>
    <row r="603" spans="1:11">
      <c r="A603" t="s">
        <v>5</v>
      </c>
      <c r="B603" s="5" t="s">
        <v>6</v>
      </c>
      <c r="C603" s="5" t="s">
        <v>7</v>
      </c>
      <c r="D603" t="s">
        <v>938</v>
      </c>
      <c r="E603" s="5" t="s">
        <v>8</v>
      </c>
      <c r="F603" s="13">
        <f>SUM(F604:F605)</f>
        <v>0.38901268356226704</v>
      </c>
      <c r="G603" s="13">
        <f t="shared" ref="G603:K603" si="362">SUM(G604:G605)</f>
        <v>0</v>
      </c>
      <c r="H603" s="13">
        <f t="shared" si="362"/>
        <v>1.9087067928040595E-5</v>
      </c>
      <c r="I603" s="13">
        <f t="shared" si="362"/>
        <v>0</v>
      </c>
      <c r="J603" s="13">
        <f t="shared" si="362"/>
        <v>0</v>
      </c>
      <c r="K603" s="13">
        <f t="shared" si="362"/>
        <v>2.6973730344952187E-6</v>
      </c>
    </row>
    <row r="604" spans="1:11">
      <c r="A604" t="s">
        <v>5</v>
      </c>
      <c r="B604" s="5" t="s">
        <v>6</v>
      </c>
      <c r="C604" s="5" t="s">
        <v>7</v>
      </c>
      <c r="D604" t="s">
        <v>326</v>
      </c>
      <c r="E604" s="5" t="s">
        <v>8</v>
      </c>
      <c r="F604" s="13" cm="1">
        <f t="array" ref="F604">SUMPRODUCT(("CT_CWODETH"=[1]OUT_SyntheticFuels!$C$4:$C$1000)*1,("cwod"=[1]OUT_SyntheticFuels!$A$4:$A$1000)*1,("Var_Fin"=[1]OUT_SyntheticFuels!$B$4:$B$1000)*1,[1]OUT_SyntheticFuels!E$4:E$1000)</f>
        <v>0.38901268356226704</v>
      </c>
      <c r="G604" s="13" cm="1">
        <f t="array" ref="G604">SUMPRODUCT(("CT_CWODETH"=[1]OUT_SyntheticFuels!$C$4:$C$1000)*1,("cwod"=[1]OUT_SyntheticFuels!$A$4:$A$1000)*1,("Var_Fin"=[1]OUT_SyntheticFuels!$B$4:$B$1000)*1,[1]OUT_SyntheticFuels!F$4:F$1000)</f>
        <v>0</v>
      </c>
      <c r="H604" s="13" cm="1">
        <f t="array" ref="H604">SUMPRODUCT(("CT_CWODETH"=[1]OUT_SyntheticFuels!$C$4:$C$1000)*1,("cwod"=[1]OUT_SyntheticFuels!$A$4:$A$1000)*1,("Var_Fin"=[1]OUT_SyntheticFuels!$B$4:$B$1000)*1,[1]OUT_SyntheticFuels!G$4:G$1000)</f>
        <v>1.9087067928040595E-5</v>
      </c>
      <c r="I604" s="13" cm="1">
        <f t="array" ref="I604">SUMPRODUCT(("CT_CWODETH"=[1]OUT_SyntheticFuels!$C$4:$C$1000)*1,("cwod"=[1]OUT_SyntheticFuels!$A$4:$A$1000)*1,("Var_Fin"=[1]OUT_SyntheticFuels!$B$4:$B$1000)*1,[1]OUT_SyntheticFuels!H$4:H$1000)</f>
        <v>0</v>
      </c>
      <c r="J604" s="13" cm="1">
        <f t="array" ref="J604">SUMPRODUCT(("CT_CWODETH"=[1]OUT_SyntheticFuels!$C$4:$C$1000)*1,("cwod"=[1]OUT_SyntheticFuels!$A$4:$A$1000)*1,("Var_Fin"=[1]OUT_SyntheticFuels!$B$4:$B$1000)*1,[1]OUT_SyntheticFuels!I$4:I$1000)</f>
        <v>0</v>
      </c>
      <c r="K604" s="13" cm="1">
        <f t="array" ref="K604">SUMPRODUCT(("CT_CWODETH"=[1]OUT_SyntheticFuels!$C$4:$C$1000)*1,("cwod"=[1]OUT_SyntheticFuels!$A$4:$A$1000)*1,("Var_Fin"=[1]OUT_SyntheticFuels!$B$4:$B$1000)*1,[1]OUT_SyntheticFuels!J$4:J$1000)</f>
        <v>6.1713349884725694E-7</v>
      </c>
    </row>
    <row r="605" spans="1:11">
      <c r="A605" t="s">
        <v>5</v>
      </c>
      <c r="B605" s="5" t="s">
        <v>6</v>
      </c>
      <c r="C605" s="5" t="s">
        <v>7</v>
      </c>
      <c r="D605" t="s">
        <v>327</v>
      </c>
      <c r="E605" s="5" t="s">
        <v>8</v>
      </c>
      <c r="F605" s="13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3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3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3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3" cm="1">
        <f t="array" ref="J605">SUMPRODUCT(("CT_CWODETHCCS"=[1]OUT_SyntheticFuels!$C$4:$C$1000)*1,("cwod"=[1]OUT_SyntheticFuels!$A$4:$A$1000)*1,("Var_Fin"=[1]OUT_SyntheticFuels!$B$4:$B$1000)*1,[1]OUT_SyntheticFuels!I$4:I$1000)</f>
        <v>0</v>
      </c>
      <c r="K605" s="13" cm="1">
        <f t="array" ref="K605">SUMPRODUCT(("CT_CWODETHCCS"=[1]OUT_SyntheticFuels!$C$4:$C$1000)*1,("cwod"=[1]OUT_SyntheticFuels!$A$4:$A$1000)*1,("Var_Fin"=[1]OUT_SyntheticFuels!$B$4:$B$1000)*1,[1]OUT_SyntheticFuels!J$4:J$1000)</f>
        <v>2.0802395356479615E-6</v>
      </c>
    </row>
    <row r="606" spans="1:11">
      <c r="A606" t="s">
        <v>5</v>
      </c>
      <c r="B606" s="5" t="s">
        <v>6</v>
      </c>
      <c r="C606" s="5" t="s">
        <v>7</v>
      </c>
      <c r="D606" t="s">
        <v>939</v>
      </c>
      <c r="E606" s="5" t="s">
        <v>8</v>
      </c>
      <c r="F606" s="13">
        <f>SUM(F607:F608)</f>
        <v>0.30525397179048747</v>
      </c>
      <c r="G606" s="13">
        <f t="shared" ref="G606:K606" si="363">SUM(G607:G608)</f>
        <v>0</v>
      </c>
      <c r="H606" s="13">
        <f t="shared" si="363"/>
        <v>1.4977412154060566E-5</v>
      </c>
      <c r="I606" s="13">
        <f t="shared" si="363"/>
        <v>0</v>
      </c>
      <c r="J606" s="13">
        <f t="shared" si="363"/>
        <v>0</v>
      </c>
      <c r="K606" s="13">
        <f t="shared" si="363"/>
        <v>2.574450699985752E-6</v>
      </c>
    </row>
    <row r="607" spans="1:11">
      <c r="A607" t="s">
        <v>5</v>
      </c>
      <c r="B607" s="5" t="s">
        <v>6</v>
      </c>
      <c r="C607" s="5" t="s">
        <v>7</v>
      </c>
      <c r="D607" t="s">
        <v>328</v>
      </c>
      <c r="E607" s="5" t="s">
        <v>8</v>
      </c>
      <c r="F607" s="13" cm="1">
        <f t="array" ref="F607">SUMPRODUCT(("CT_CWODETH"=[1]OUT_SyntheticFuels!$C$4:$C$1000)*1,("celc"=[1]OUT_SyntheticFuels!$A$4:$A$1000)*1,("Var_Fin"=[1]OUT_SyntheticFuels!$B$4:$B$1000)*1,[1]OUT_SyntheticFuels!E$4:E$1000)</f>
        <v>0.30525397179048747</v>
      </c>
      <c r="G607" s="13" cm="1">
        <f t="array" ref="G607">SUMPRODUCT(("CT_CWODETH"=[1]OUT_SyntheticFuels!$C$4:$C$1000)*1,("celc"=[1]OUT_SyntheticFuels!$A$4:$A$1000)*1,("Var_Fin"=[1]OUT_SyntheticFuels!$B$4:$B$1000)*1,[1]OUT_SyntheticFuels!F$4:F$1000)</f>
        <v>0</v>
      </c>
      <c r="H607" s="13" cm="1">
        <f t="array" ref="H607">SUMPRODUCT(("CT_CWODETH"=[1]OUT_SyntheticFuels!$C$4:$C$1000)*1,("celc"=[1]OUT_SyntheticFuels!$A$4:$A$1000)*1,("Var_Fin"=[1]OUT_SyntheticFuels!$B$4:$B$1000)*1,[1]OUT_SyntheticFuels!G$4:G$1000)</f>
        <v>1.4977412154060566E-5</v>
      </c>
      <c r="I607" s="13" cm="1">
        <f t="array" ref="I607">SUMPRODUCT(("CT_CWODETH"=[1]OUT_SyntheticFuels!$C$4:$C$1000)*1,("celc"=[1]OUT_SyntheticFuels!$A$4:$A$1000)*1,("Var_Fin"=[1]OUT_SyntheticFuels!$B$4:$B$1000)*1,[1]OUT_SyntheticFuels!H$4:H$1000)</f>
        <v>0</v>
      </c>
      <c r="J607" s="13" cm="1">
        <f t="array" ref="J607">SUMPRODUCT(("CT_CWODETH"=[1]OUT_SyntheticFuels!$C$4:$C$1000)*1,("celc"=[1]OUT_SyntheticFuels!$A$4:$A$1000)*1,("Var_Fin"=[1]OUT_SyntheticFuels!$B$4:$B$1000)*1,[1]OUT_SyntheticFuels!I$4:I$1000)</f>
        <v>0</v>
      </c>
      <c r="K607" s="13" cm="1">
        <f t="array" ref="K607">SUMPRODUCT(("CT_CWODETH"=[1]OUT_SyntheticFuels!$C$4:$C$1000)*1,("celc"=[1]OUT_SyntheticFuels!$A$4:$A$1000)*1,("Var_Fin"=[1]OUT_SyntheticFuels!$B$4:$B$1000)*1,[1]OUT_SyntheticFuels!J$4:J$1000)</f>
        <v>4.842578651241635E-7</v>
      </c>
    </row>
    <row r="608" spans="1:11">
      <c r="A608" t="s">
        <v>5</v>
      </c>
      <c r="B608" s="5" t="s">
        <v>6</v>
      </c>
      <c r="C608" s="5" t="s">
        <v>7</v>
      </c>
      <c r="D608" t="s">
        <v>329</v>
      </c>
      <c r="E608" s="5" t="s">
        <v>8</v>
      </c>
      <c r="F608" s="13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3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3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3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3" cm="1">
        <f t="array" ref="J608">SUMPRODUCT(("CT_CWODETHCCS"=[1]OUT_SyntheticFuels!$C$4:$C$1000)*1,("celc"=[1]OUT_SyntheticFuels!$A$4:$A$1000)*1,("Var_Fin"=[1]OUT_SyntheticFuels!$B$4:$B$1000)*1,[1]OUT_SyntheticFuels!I$4:I$1000)</f>
        <v>0</v>
      </c>
      <c r="K608" s="13" cm="1">
        <f t="array" ref="K608">SUMPRODUCT(("CT_CWODETHCCS"=[1]OUT_SyntheticFuels!$C$4:$C$1000)*1,("celc"=[1]OUT_SyntheticFuels!$A$4:$A$1000)*1,("Var_Fin"=[1]OUT_SyntheticFuels!$B$4:$B$1000)*1,[1]OUT_SyntheticFuels!J$4:J$1000)</f>
        <v>2.0901928348615887E-6</v>
      </c>
    </row>
    <row r="609" spans="1:11">
      <c r="A609" t="s">
        <v>5</v>
      </c>
      <c r="B609" s="8" t="s">
        <v>6</v>
      </c>
      <c r="C609" s="8" t="s">
        <v>7</v>
      </c>
      <c r="D609" s="1" t="s">
        <v>316</v>
      </c>
      <c r="E609" s="8" t="s">
        <v>242</v>
      </c>
      <c r="F609" s="13" t="s">
        <v>295</v>
      </c>
      <c r="G609" s="13" t="s">
        <v>295</v>
      </c>
      <c r="H609" s="13" t="s">
        <v>295</v>
      </c>
      <c r="I609" s="13" t="s">
        <v>295</v>
      </c>
      <c r="J609" s="13" t="s">
        <v>295</v>
      </c>
      <c r="K609" s="13" t="s">
        <v>295</v>
      </c>
    </row>
    <row r="610" spans="1:11">
      <c r="A610" t="s">
        <v>5</v>
      </c>
      <c r="B610" s="5" t="s">
        <v>6</v>
      </c>
      <c r="C610" s="5" t="s">
        <v>7</v>
      </c>
      <c r="D610" t="s">
        <v>317</v>
      </c>
      <c r="E610" s="5" t="s">
        <v>242</v>
      </c>
      <c r="F610" s="21">
        <f>IFERROR(F600/SUM(F604,F607),"-")</f>
        <v>0.26809651474530832</v>
      </c>
      <c r="G610" s="13" t="str">
        <f t="shared" ref="G610:K611" si="364">IFERROR(G600/SUM(G604,G607),"-")</f>
        <v>-</v>
      </c>
      <c r="H610" s="13">
        <f t="shared" si="364"/>
        <v>0.26809651474530827</v>
      </c>
      <c r="I610" s="13" t="str">
        <f t="shared" si="364"/>
        <v>-</v>
      </c>
      <c r="J610" s="13" t="str">
        <f t="shared" si="364"/>
        <v>-</v>
      </c>
      <c r="K610" s="13">
        <f t="shared" si="364"/>
        <v>0.26809651474530843</v>
      </c>
    </row>
    <row r="611" spans="1:11">
      <c r="A611" t="s">
        <v>5</v>
      </c>
      <c r="B611" s="5" t="s">
        <v>6</v>
      </c>
      <c r="C611" s="5" t="s">
        <v>7</v>
      </c>
      <c r="D611" t="s">
        <v>318</v>
      </c>
      <c r="E611" s="5" t="s">
        <v>242</v>
      </c>
      <c r="F611" s="13" t="str">
        <f>IFERROR(F601/SUM(F605,F608),"-")</f>
        <v>-</v>
      </c>
      <c r="G611" s="13" t="str">
        <f t="shared" si="364"/>
        <v>-</v>
      </c>
      <c r="H611" s="13" t="str">
        <f t="shared" si="364"/>
        <v>-</v>
      </c>
      <c r="I611" s="13" t="str">
        <f t="shared" si="364"/>
        <v>-</v>
      </c>
      <c r="J611" s="13" t="str">
        <f t="shared" si="364"/>
        <v>-</v>
      </c>
      <c r="K611" s="13">
        <f t="shared" si="364"/>
        <v>0.23866348448687344</v>
      </c>
    </row>
    <row r="612" spans="1:11">
      <c r="A612" t="s">
        <v>5</v>
      </c>
      <c r="B612" s="5" t="s">
        <v>6</v>
      </c>
      <c r="C612" s="5" t="s">
        <v>7</v>
      </c>
      <c r="D612" s="1" t="s">
        <v>386</v>
      </c>
      <c r="E612" s="8" t="s">
        <v>8</v>
      </c>
      <c r="F612" s="16">
        <f>F613+F614+F619</f>
        <v>6.9573836520528083</v>
      </c>
      <c r="G612" s="16">
        <f t="shared" ref="G612" si="365">G613+G614+G619</f>
        <v>10.417981799251523</v>
      </c>
      <c r="H612" s="16">
        <f t="shared" ref="H612" si="366">H613+H614+H619</f>
        <v>10.791659981533128</v>
      </c>
      <c r="I612" s="16">
        <f t="shared" ref="I612" si="367">I613+I614+I619</f>
        <v>11.599015238456923</v>
      </c>
      <c r="J612" s="16">
        <f t="shared" ref="J612" si="368">J613+J614+J619</f>
        <v>11.426126870185541</v>
      </c>
      <c r="K612" s="16">
        <f t="shared" ref="K612" si="369">K613+K614+K619</f>
        <v>19.28526392865512</v>
      </c>
    </row>
    <row r="613" spans="1:11">
      <c r="A613" t="s">
        <v>5</v>
      </c>
      <c r="B613" s="5" t="s">
        <v>6</v>
      </c>
      <c r="C613" s="5" t="s">
        <v>7</v>
      </c>
      <c r="D613" t="s">
        <v>319</v>
      </c>
      <c r="E613" s="5" t="s">
        <v>8</v>
      </c>
      <c r="F613" s="13">
        <f>[1]Other_transformation!B$19</f>
        <v>1.3280001296878132</v>
      </c>
      <c r="G613" s="13">
        <f>[1]Other_transformation!C$19</f>
        <v>4.9930243096901759</v>
      </c>
      <c r="H613" s="13">
        <f>[1]Other_transformation!D$19</f>
        <v>5.3636520803734546</v>
      </c>
      <c r="I613" s="13">
        <f>[1]Other_transformation!E$19</f>
        <v>5.9813139625213543</v>
      </c>
      <c r="J613" s="13">
        <f>[1]Other_transformation!F$19</f>
        <v>5.9813143764967176</v>
      </c>
      <c r="K613" s="13">
        <f>[1]Other_transformation!G$19</f>
        <v>9.440559414197196</v>
      </c>
    </row>
    <row r="614" spans="1:11">
      <c r="A614" t="s">
        <v>5</v>
      </c>
      <c r="B614" s="5" t="s">
        <v>6</v>
      </c>
      <c r="C614" s="5" t="s">
        <v>7</v>
      </c>
      <c r="D614" t="s">
        <v>940</v>
      </c>
      <c r="E614" s="5" t="s">
        <v>8</v>
      </c>
      <c r="F614" s="13">
        <f>[1]Other_transformation!B$20</f>
        <v>5.6293835223649946</v>
      </c>
      <c r="G614" s="13">
        <f>[1]Other_transformation!C$20</f>
        <v>5.4249110646988017</v>
      </c>
      <c r="H614" s="13">
        <f>[1]Other_transformation!D$20</f>
        <v>5.427978035664192</v>
      </c>
      <c r="I614" s="13">
        <f>[1]Other_transformation!E$20</f>
        <v>5.6176909712586758</v>
      </c>
      <c r="J614" s="13">
        <f>[1]Other_transformation!F$20</f>
        <v>5.4447980944809169</v>
      </c>
      <c r="K614" s="13">
        <f>[1]Other_transformation!G$20</f>
        <v>9.8446913148612527</v>
      </c>
    </row>
    <row r="615" spans="1:11">
      <c r="A615" t="s">
        <v>5</v>
      </c>
      <c r="B615" s="5" t="s">
        <v>6</v>
      </c>
      <c r="C615" s="5" t="s">
        <v>7</v>
      </c>
      <c r="D615" t="s">
        <v>320</v>
      </c>
      <c r="E615" s="5" t="s">
        <v>8</v>
      </c>
      <c r="F615" s="13" cm="1">
        <f t="array" ref="F615">SUMPRODUCT(("SUP_WSTBIO"=[1]OUT_SyntheticFuels!$C$4:$C$1000)*1,("BIO"=[1]OUT_SyntheticFuels!$A$4:$A$1000)*1,("Var_Fout"=[1]OUT_SyntheticFuels!$B$4:$B$1000)*1,[1]OUT_SyntheticFuels!E$4:E$1000)</f>
        <v>5.6293835223649946</v>
      </c>
      <c r="G615" s="13" cm="1">
        <f t="array" ref="G615">SUMPRODUCT(("SUP_WSTBIO"=[1]OUT_SyntheticFuels!$C$4:$C$1000)*1,("BIO"=[1]OUT_SyntheticFuels!$A$4:$A$1000)*1,("Var_Fout"=[1]OUT_SyntheticFuels!$B$4:$B$1000)*1,[1]OUT_SyntheticFuels!F$4:F$1000)</f>
        <v>5.4249110646988017</v>
      </c>
      <c r="H615" s="13" cm="1">
        <f t="array" ref="H615">SUMPRODUCT(("SUP_WSTBIO"=[1]OUT_SyntheticFuels!$C$4:$C$1000)*1,("BIO"=[1]OUT_SyntheticFuels!$A$4:$A$1000)*1,("Var_Fout"=[1]OUT_SyntheticFuels!$B$4:$B$1000)*1,[1]OUT_SyntheticFuels!G$4:G$1000)</f>
        <v>5.427978035664192</v>
      </c>
      <c r="I615" s="13" cm="1">
        <f t="array" ref="I615">SUMPRODUCT(("SUP_WSTBIO"=[1]OUT_SyntheticFuels!$C$4:$C$1000)*1,("BIO"=[1]OUT_SyntheticFuels!$A$4:$A$1000)*1,("Var_Fout"=[1]OUT_SyntheticFuels!$B$4:$B$1000)*1,[1]OUT_SyntheticFuels!H$4:H$1000)</f>
        <v>5.6176909712586758</v>
      </c>
      <c r="J615" s="13" cm="1">
        <f t="array" ref="J615">SUMPRODUCT(("SUP_WSTBIO"=[1]OUT_SyntheticFuels!$C$4:$C$1000)*1,("BIO"=[1]OUT_SyntheticFuels!$A$4:$A$1000)*1,("Var_Fout"=[1]OUT_SyntheticFuels!$B$4:$B$1000)*1,[1]OUT_SyntheticFuels!I$4:I$1000)</f>
        <v>5.4447876519415948</v>
      </c>
      <c r="K615" s="13" cm="1">
        <f t="array" ref="K615">SUMPRODUCT(("SUP_WSTBIO"=[1]OUT_SyntheticFuels!$C$4:$C$1000)*1,("BIO"=[1]OUT_SyntheticFuels!$A$4:$A$1000)*1,("Var_Fout"=[1]OUT_SyntheticFuels!$B$4:$B$1000)*1,[1]OUT_SyntheticFuels!J$4:J$1000)</f>
        <v>9.8446787809183043</v>
      </c>
    </row>
    <row r="616" spans="1:11">
      <c r="A616" t="s">
        <v>5</v>
      </c>
      <c r="B616" s="5" t="s">
        <v>6</v>
      </c>
      <c r="C616" s="5" t="s">
        <v>7</v>
      </c>
      <c r="D616" t="s">
        <v>321</v>
      </c>
      <c r="E616" s="5" t="s">
        <v>8</v>
      </c>
      <c r="F616" s="13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3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3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3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3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3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1:11">
      <c r="A617" t="s">
        <v>5</v>
      </c>
      <c r="B617" s="5" t="s">
        <v>6</v>
      </c>
      <c r="C617" s="5" t="s">
        <v>7</v>
      </c>
      <c r="D617" t="s">
        <v>323</v>
      </c>
      <c r="E617" s="5" t="s">
        <v>8</v>
      </c>
      <c r="F617" s="13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3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3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3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3" cm="1">
        <f t="array" ref="J617">SUMPRODUCT(("SUP_WSTHTGBIO"=[1]OUT_SyntheticFuels!$C$4:$C$1000)*1,("BIO"=[1]OUT_SyntheticFuels!$A$4:$A$1000)*1,("Var_Fout"=[1]OUT_SyntheticFuels!$B$4:$B$1000)*1,[1]OUT_SyntheticFuels!I$4:I$1000)</f>
        <v>8.7370837756716496E-6</v>
      </c>
      <c r="K617" s="13" cm="1">
        <f t="array" ref="K617">SUMPRODUCT(("SUP_WSTHTGBIO"=[1]OUT_SyntheticFuels!$C$4:$C$1000)*1,("BIO"=[1]OUT_SyntheticFuels!$A$4:$A$1000)*1,("Var_Fout"=[1]OUT_SyntheticFuels!$B$4:$B$1000)*1,[1]OUT_SyntheticFuels!J$4:J$1000)</f>
        <v>9.3034943682596985E-6</v>
      </c>
    </row>
    <row r="618" spans="1:11">
      <c r="A618" t="s">
        <v>5</v>
      </c>
      <c r="B618" s="5" t="s">
        <v>6</v>
      </c>
      <c r="C618" s="5" t="s">
        <v>7</v>
      </c>
      <c r="D618" t="s">
        <v>322</v>
      </c>
      <c r="E618" s="5" t="s">
        <v>8</v>
      </c>
      <c r="F618" s="13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3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3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3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3" cm="1">
        <f t="array" ref="J618">SUMPRODUCT(("SUP_WSTHTGBIOCCS"=[1]OUT_SyntheticFuels!$C$4:$C$1000)*1,("BIO"=[1]OUT_SyntheticFuels!$A$4:$A$1000)*1,("Var_Fout"=[1]OUT_SyntheticFuels!$B$4:$B$1000)*1,[1]OUT_SyntheticFuels!I$4:I$1000)</f>
        <v>1.7054555466948973E-6</v>
      </c>
      <c r="K618" s="13" cm="1">
        <f t="array" ref="K618">SUMPRODUCT(("SUP_WSTHTGBIOCCS"=[1]OUT_SyntheticFuels!$C$4:$C$1000)*1,("BIO"=[1]OUT_SyntheticFuels!$A$4:$A$1000)*1,("Var_Fout"=[1]OUT_SyntheticFuels!$B$4:$B$1000)*1,[1]OUT_SyntheticFuels!J$4:J$1000)</f>
        <v>3.2304485810432944E-6</v>
      </c>
    </row>
    <row r="619" spans="1:11">
      <c r="A619" t="s">
        <v>5</v>
      </c>
      <c r="B619" s="5" t="s">
        <v>6</v>
      </c>
      <c r="C619" s="5" t="s">
        <v>7</v>
      </c>
      <c r="D619" t="s">
        <v>941</v>
      </c>
      <c r="E619" s="5" t="s">
        <v>8</v>
      </c>
      <c r="F619" s="13">
        <f>[1]Other_transformation!B$21</f>
        <v>0</v>
      </c>
      <c r="G619" s="13">
        <f>[1]Other_transformation!C$21</f>
        <v>4.6424862544226617E-5</v>
      </c>
      <c r="H619" s="13">
        <f>[1]Other_transformation!D$21</f>
        <v>2.9865495481396749E-5</v>
      </c>
      <c r="I619" s="13">
        <f>[1]Other_transformation!E$21</f>
        <v>1.0304676892974778E-5</v>
      </c>
      <c r="J619" s="13">
        <f>[1]Other_transformation!F$21</f>
        <v>1.4399207906398673E-5</v>
      </c>
      <c r="K619" s="13">
        <f>[1]Other_transformation!G$21</f>
        <v>1.3199596671980879E-5</v>
      </c>
    </row>
    <row r="620" spans="1:11">
      <c r="A620" t="s">
        <v>5</v>
      </c>
      <c r="B620" s="5" t="s">
        <v>6</v>
      </c>
      <c r="C620" s="5" t="s">
        <v>7</v>
      </c>
      <c r="D620" t="s">
        <v>324</v>
      </c>
      <c r="E620" s="5" t="s">
        <v>8</v>
      </c>
      <c r="F620" s="13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3" cm="1">
        <f t="array" ref="G620">SUMPRODUCT(("SUP_WODBIO"=[1]OUT_SyntheticFuels!$C$4:$C$1000)*1,("BIO"=[1]OUT_SyntheticFuels!$A$4:$A$1000)*1,("Var_Fout"=[1]OUT_SyntheticFuels!$B$4:$B$1000)*1,[1]OUT_SyntheticFuels!F$4:F$1000)</f>
        <v>4.6424862544226617E-5</v>
      </c>
      <c r="H620" s="13" cm="1">
        <f t="array" ref="H620">SUMPRODUCT(("SUP_WODBIO"=[1]OUT_SyntheticFuels!$C$4:$C$1000)*1,("BIO"=[1]OUT_SyntheticFuels!$A$4:$A$1000)*1,("Var_Fout"=[1]OUT_SyntheticFuels!$B$4:$B$1000)*1,[1]OUT_SyntheticFuels!G$4:G$1000)</f>
        <v>2.9865495481396749E-5</v>
      </c>
      <c r="I620" s="13" cm="1">
        <f t="array" ref="I620">SUMPRODUCT(("SUP_WODBIO"=[1]OUT_SyntheticFuels!$C$4:$C$1000)*1,("BIO"=[1]OUT_SyntheticFuels!$A$4:$A$1000)*1,("Var_Fout"=[1]OUT_SyntheticFuels!$B$4:$B$1000)*1,[1]OUT_SyntheticFuels!H$4:H$1000)</f>
        <v>1.0304676892974778E-5</v>
      </c>
      <c r="J620" s="13" cm="1">
        <f t="array" ref="J620">SUMPRODUCT(("SUP_WODBIO"=[1]OUT_SyntheticFuels!$C$4:$C$1000)*1,("BIO"=[1]OUT_SyntheticFuels!$A$4:$A$1000)*1,("Var_Fout"=[1]OUT_SyntheticFuels!$B$4:$B$1000)*1,[1]OUT_SyntheticFuels!I$4:I$1000)</f>
        <v>6.5327201051392011E-6</v>
      </c>
      <c r="K620" s="13" cm="1">
        <f t="array" ref="K620">SUMPRODUCT(("SUP_WODBIO"=[1]OUT_SyntheticFuels!$C$4:$C$1000)*1,("BIO"=[1]OUT_SyntheticFuels!$A$4:$A$1000)*1,("Var_Fout"=[1]OUT_SyntheticFuels!$B$4:$B$1000)*1,[1]OUT_SyntheticFuels!J$4:J$1000)</f>
        <v>1.7345421967284558E-6</v>
      </c>
    </row>
    <row r="621" spans="1:11">
      <c r="A621" t="s">
        <v>5</v>
      </c>
      <c r="B621" s="5" t="s">
        <v>6</v>
      </c>
      <c r="C621" s="5" t="s">
        <v>7</v>
      </c>
      <c r="D621" t="s">
        <v>325</v>
      </c>
      <c r="E621" s="5" t="s">
        <v>8</v>
      </c>
      <c r="F621" s="13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3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3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3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3" cm="1">
        <f t="array" ref="J621">SUMPRODUCT(("SUP_WODBIOCCS"=[1]OUT_SyntheticFuels!$C$4:$C$1000)*1,("BIO"=[1]OUT_SyntheticFuels!$A$4:$A$1000)*1,("Var_Fout"=[1]OUT_SyntheticFuels!$B$4:$B$1000)*1,[1]OUT_SyntheticFuels!I$4:I$1000)</f>
        <v>7.8664878012594709E-6</v>
      </c>
      <c r="K621" s="13" cm="1">
        <f t="array" ref="K621">SUMPRODUCT(("SUP_WODBIOCCS"=[1]OUT_SyntheticFuels!$C$4:$C$1000)*1,("BIO"=[1]OUT_SyntheticFuels!$A$4:$A$1000)*1,("Var_Fout"=[1]OUT_SyntheticFuels!$B$4:$B$1000)*1,[1]OUT_SyntheticFuels!J$4:J$1000)</f>
        <v>1.1465054475252423E-5</v>
      </c>
    </row>
    <row r="622" spans="1:11">
      <c r="A622" t="s">
        <v>5</v>
      </c>
      <c r="B622" s="5" t="s">
        <v>6</v>
      </c>
      <c r="C622" s="5" t="s">
        <v>7</v>
      </c>
      <c r="D622" s="1" t="s">
        <v>388</v>
      </c>
      <c r="E622" s="8" t="s">
        <v>8</v>
      </c>
      <c r="F622" s="16">
        <f>F623+F624+F629</f>
        <v>0.11258767044729996</v>
      </c>
      <c r="G622" s="16">
        <f t="shared" ref="G622" si="370">G623+G624+G629</f>
        <v>0.10849956414618445</v>
      </c>
      <c r="H622" s="16">
        <f t="shared" ref="H622" si="371">H623+H624+H629</f>
        <v>0.10855986960726768</v>
      </c>
      <c r="I622" s="16">
        <f t="shared" ref="I622" si="372">I623+I624+I629</f>
        <v>0.1123538194251735</v>
      </c>
      <c r="J622" s="16">
        <f t="shared" ref="J622" si="373">J623+J624+J629</f>
        <v>0.10889575303883187</v>
      </c>
      <c r="K622" s="16">
        <f t="shared" ref="K622" si="374">K623+K624+K629</f>
        <v>0.19689357561836621</v>
      </c>
    </row>
    <row r="623" spans="1:11">
      <c r="A623" t="s">
        <v>5</v>
      </c>
      <c r="B623" s="5" t="s">
        <v>6</v>
      </c>
      <c r="C623" s="5" t="s">
        <v>7</v>
      </c>
      <c r="D623" t="s">
        <v>334</v>
      </c>
      <c r="E623" s="5" t="s">
        <v>8</v>
      </c>
      <c r="F623" s="13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3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3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3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3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3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1:11">
      <c r="A624" t="s">
        <v>5</v>
      </c>
      <c r="B624" s="5" t="s">
        <v>6</v>
      </c>
      <c r="C624" s="5" t="s">
        <v>7</v>
      </c>
      <c r="D624" t="s">
        <v>335</v>
      </c>
      <c r="E624" s="5" t="s">
        <v>8</v>
      </c>
      <c r="F624" s="13">
        <f>SUM(F625:F628)</f>
        <v>0.11258767044729996</v>
      </c>
      <c r="G624" s="13">
        <f t="shared" ref="G624:K624" si="375">SUM(G625:G628)</f>
        <v>0.10849822129397589</v>
      </c>
      <c r="H624" s="13">
        <f t="shared" si="375"/>
        <v>0.10855956071328386</v>
      </c>
      <c r="I624" s="13">
        <f t="shared" si="375"/>
        <v>0.1123538194251735</v>
      </c>
      <c r="J624" s="13">
        <f t="shared" si="375"/>
        <v>0.10889575303883187</v>
      </c>
      <c r="K624" s="13">
        <f t="shared" si="375"/>
        <v>0.19689357561836621</v>
      </c>
    </row>
    <row r="625" spans="1:11">
      <c r="A625" t="s">
        <v>5</v>
      </c>
      <c r="B625" s="5" t="s">
        <v>6</v>
      </c>
      <c r="C625" s="5" t="s">
        <v>7</v>
      </c>
      <c r="D625" t="s">
        <v>336</v>
      </c>
      <c r="E625" s="5" t="s">
        <v>8</v>
      </c>
      <c r="F625" s="13" cm="1">
        <f t="array" ref="F625">SUMPRODUCT(("SUP_WSTBIO"=[1]OUT_SyntheticFuels!$C$4:$C$1000)*1,("elc35"=[1]OUT_SyntheticFuels!$A$4:$A$1000)*1,("Var_Fout"=[1]OUT_SyntheticFuels!$B$4:$B$1000)*1,[1]OUT_SyntheticFuels!E$4:E$1000)</f>
        <v>0.11258767044729996</v>
      </c>
      <c r="G625" s="13" cm="1">
        <f t="array" ref="G625">SUMPRODUCT(("SUP_WSTBIO"=[1]OUT_SyntheticFuels!$C$4:$C$1000)*1,("elc35"=[1]OUT_SyntheticFuels!$A$4:$A$1000)*1,("Var_Fout"=[1]OUT_SyntheticFuels!$B$4:$B$1000)*1,[1]OUT_SyntheticFuels!F$4:F$1000)</f>
        <v>0.10849822129397589</v>
      </c>
      <c r="H625" s="13" cm="1">
        <f t="array" ref="H625">SUMPRODUCT(("SUP_WSTBIO"=[1]OUT_SyntheticFuels!$C$4:$C$1000)*1,("elc35"=[1]OUT_SyntheticFuels!$A$4:$A$1000)*1,("Var_Fout"=[1]OUT_SyntheticFuels!$B$4:$B$1000)*1,[1]OUT_SyntheticFuels!G$4:G$1000)</f>
        <v>0.10855956071328386</v>
      </c>
      <c r="I625" s="13" cm="1">
        <f t="array" ref="I625">SUMPRODUCT(("SUP_WSTBIO"=[1]OUT_SyntheticFuels!$C$4:$C$1000)*1,("elc35"=[1]OUT_SyntheticFuels!$A$4:$A$1000)*1,("Var_Fout"=[1]OUT_SyntheticFuels!$B$4:$B$1000)*1,[1]OUT_SyntheticFuels!H$4:H$1000)</f>
        <v>0.1123538194251735</v>
      </c>
      <c r="J625" s="13" cm="1">
        <f t="array" ref="J625">SUMPRODUCT(("SUP_WSTBIO"=[1]OUT_SyntheticFuels!$C$4:$C$1000)*1,("elc35"=[1]OUT_SyntheticFuels!$A$4:$A$1000)*1,("Var_Fout"=[1]OUT_SyntheticFuels!$B$4:$B$1000)*1,[1]OUT_SyntheticFuels!I$4:I$1000)</f>
        <v>0.10889575303883187</v>
      </c>
      <c r="K625" s="13" cm="1">
        <f t="array" ref="K625">SUMPRODUCT(("SUP_WSTBIO"=[1]OUT_SyntheticFuels!$C$4:$C$1000)*1,("elc35"=[1]OUT_SyntheticFuels!$A$4:$A$1000)*1,("Var_Fout"=[1]OUT_SyntheticFuels!$B$4:$B$1000)*1,[1]OUT_SyntheticFuels!J$4:J$1000)</f>
        <v>0.19689357561836621</v>
      </c>
    </row>
    <row r="626" spans="1:11">
      <c r="A626" t="s">
        <v>5</v>
      </c>
      <c r="B626" s="5" t="s">
        <v>6</v>
      </c>
      <c r="C626" s="5" t="s">
        <v>7</v>
      </c>
      <c r="D626" t="s">
        <v>337</v>
      </c>
      <c r="E626" s="5" t="s">
        <v>8</v>
      </c>
      <c r="F626" s="13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3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3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3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3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3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1:11">
      <c r="A627" t="s">
        <v>5</v>
      </c>
      <c r="B627" s="5" t="s">
        <v>6</v>
      </c>
      <c r="C627" s="5" t="s">
        <v>7</v>
      </c>
      <c r="D627" t="s">
        <v>338</v>
      </c>
      <c r="E627" s="5" t="s">
        <v>8</v>
      </c>
      <c r="F627" s="13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3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3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3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3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3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1:11">
      <c r="A628" t="s">
        <v>5</v>
      </c>
      <c r="B628" s="5" t="s">
        <v>6</v>
      </c>
      <c r="C628" s="5" t="s">
        <v>7</v>
      </c>
      <c r="D628" t="s">
        <v>339</v>
      </c>
      <c r="E628" s="5" t="s">
        <v>8</v>
      </c>
      <c r="F628" s="13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3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3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3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3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3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1:11">
      <c r="A629" t="s">
        <v>5</v>
      </c>
      <c r="B629" s="5" t="s">
        <v>6</v>
      </c>
      <c r="C629" s="5" t="s">
        <v>7</v>
      </c>
      <c r="D629" t="s">
        <v>942</v>
      </c>
      <c r="E629" s="5" t="s">
        <v>8</v>
      </c>
      <c r="F629" s="13">
        <f>SUM(F630:F631)</f>
        <v>0</v>
      </c>
      <c r="G629" s="13">
        <f t="shared" ref="G629:K629" si="376">SUM(G630:G631)</f>
        <v>1.3428522085599779E-6</v>
      </c>
      <c r="H629" s="13">
        <f t="shared" si="376"/>
        <v>3.0889398382070484E-7</v>
      </c>
      <c r="I629" s="13">
        <f t="shared" si="376"/>
        <v>0</v>
      </c>
      <c r="J629" s="13">
        <f t="shared" si="376"/>
        <v>0</v>
      </c>
      <c r="K629" s="13">
        <f t="shared" si="376"/>
        <v>0</v>
      </c>
    </row>
    <row r="630" spans="1:11">
      <c r="A630" t="s">
        <v>5</v>
      </c>
      <c r="B630" s="5" t="s">
        <v>6</v>
      </c>
      <c r="C630" s="5" t="s">
        <v>7</v>
      </c>
      <c r="D630" t="s">
        <v>340</v>
      </c>
      <c r="E630" s="5" t="s">
        <v>8</v>
      </c>
      <c r="F630" s="13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3" cm="1">
        <f t="array" ref="G630">SUMPRODUCT(("SUP_WODBIO"=[1]OUT_SyntheticFuels!$C$4:$C$1000)*1,("elc35"=[1]OUT_SyntheticFuels!$A$4:$A$1000)*1,("Var_Fout"=[1]OUT_SyntheticFuels!$B$4:$B$1000)*1,[1]OUT_SyntheticFuels!F$4:F$1000)</f>
        <v>1.3428522085599779E-6</v>
      </c>
      <c r="H630" s="13" cm="1">
        <f t="array" ref="H630">SUMPRODUCT(("SUP_WODBIO"=[1]OUT_SyntheticFuels!$C$4:$C$1000)*1,("elc35"=[1]OUT_SyntheticFuels!$A$4:$A$1000)*1,("Var_Fout"=[1]OUT_SyntheticFuels!$B$4:$B$1000)*1,[1]OUT_SyntheticFuels!G$4:G$1000)</f>
        <v>3.0889398382070484E-7</v>
      </c>
      <c r="I630" s="13" cm="1">
        <f t="array" ref="I630">SUMPRODUCT(("SUP_WODBIO"=[1]OUT_SyntheticFuels!$C$4:$C$1000)*1,("elc35"=[1]OUT_SyntheticFuels!$A$4:$A$1000)*1,("Var_Fout"=[1]OUT_SyntheticFuels!$B$4:$B$1000)*1,[1]OUT_SyntheticFuels!H$4:H$1000)</f>
        <v>0</v>
      </c>
      <c r="J630" s="13" cm="1">
        <f t="array" ref="J630">SUMPRODUCT(("SUP_WODBIO"=[1]OUT_SyntheticFuels!$C$4:$C$1000)*1,("elc35"=[1]OUT_SyntheticFuels!$A$4:$A$1000)*1,("Var_Fout"=[1]OUT_SyntheticFuels!$B$4:$B$1000)*1,[1]OUT_SyntheticFuels!I$4:I$1000)</f>
        <v>0</v>
      </c>
      <c r="K630" s="13" cm="1">
        <f t="array" ref="K630">SUMPRODUCT(("SUP_WODBIO"=[1]OUT_SyntheticFuels!$C$4:$C$1000)*1,("elc35"=[1]OUT_SyntheticFuels!$A$4:$A$1000)*1,("Var_Fout"=[1]OUT_SyntheticFuels!$B$4:$B$1000)*1,[1]OUT_SyntheticFuels!J$4:J$1000)</f>
        <v>0</v>
      </c>
    </row>
    <row r="631" spans="1:11">
      <c r="A631" t="s">
        <v>5</v>
      </c>
      <c r="B631" s="5" t="s">
        <v>6</v>
      </c>
      <c r="C631" s="5" t="s">
        <v>7</v>
      </c>
      <c r="D631" t="s">
        <v>341</v>
      </c>
      <c r="E631" s="5" t="s">
        <v>8</v>
      </c>
      <c r="F631" s="13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3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3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3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3" cm="1">
        <f t="array" ref="J631">SUMPRODUCT(("SUP_WODBIOCCS"=[1]OUT_SyntheticFuels!$C$4:$C$1000)*1,("elc35"=[1]OUT_SyntheticFuels!$A$4:$A$1000)*1,("Var_Fout"=[1]OUT_SyntheticFuels!$B$4:$B$1000)*1,[1]OUT_SyntheticFuels!I$4:I$1000)</f>
        <v>0</v>
      </c>
      <c r="K631" s="13" cm="1">
        <f t="array" ref="K631">SUMPRODUCT(("SUP_WODBIOCCS"=[1]OUT_SyntheticFuels!$C$4:$C$1000)*1,("elc35"=[1]OUT_SyntheticFuels!$A$4:$A$1000)*1,("Var_Fout"=[1]OUT_SyntheticFuels!$B$4:$B$1000)*1,[1]OUT_SyntheticFuels!J$4:J$1000)</f>
        <v>0</v>
      </c>
    </row>
    <row r="632" spans="1:11">
      <c r="A632" t="s">
        <v>5</v>
      </c>
      <c r="B632" s="5" t="s">
        <v>6</v>
      </c>
      <c r="C632" s="5" t="s">
        <v>7</v>
      </c>
      <c r="D632" s="1" t="s">
        <v>390</v>
      </c>
      <c r="E632" s="8" t="s">
        <v>8</v>
      </c>
      <c r="F632" s="29">
        <f>F633+F634+F639</f>
        <v>0</v>
      </c>
      <c r="G632" s="29">
        <f t="shared" ref="G632" si="377">G633+G634+G639</f>
        <v>4.0285566256799298E-6</v>
      </c>
      <c r="H632" s="29">
        <f t="shared" ref="H632" si="378">H633+H634+H639</f>
        <v>2.6062262507073291E-6</v>
      </c>
      <c r="I632" s="29">
        <f t="shared" ref="I632" si="379">I633+I634+I639</f>
        <v>0</v>
      </c>
      <c r="J632" s="29">
        <f t="shared" ref="J632" si="380">J633+J634+J639</f>
        <v>0</v>
      </c>
      <c r="K632" s="29">
        <f t="shared" ref="K632" si="381">K633+K634+K639</f>
        <v>8.2437760764317284E-7</v>
      </c>
    </row>
    <row r="633" spans="1:11">
      <c r="A633" t="s">
        <v>5</v>
      </c>
      <c r="B633" s="5" t="s">
        <v>6</v>
      </c>
      <c r="C633" s="5" t="s">
        <v>7</v>
      </c>
      <c r="D633" t="s">
        <v>342</v>
      </c>
      <c r="E633" s="5" t="s">
        <v>8</v>
      </c>
      <c r="F633" s="30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30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30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30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30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30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1:11">
      <c r="A634" t="s">
        <v>5</v>
      </c>
      <c r="B634" s="5" t="s">
        <v>6</v>
      </c>
      <c r="C634" s="5" t="s">
        <v>7</v>
      </c>
      <c r="D634" t="s">
        <v>944</v>
      </c>
      <c r="E634" s="5" t="s">
        <v>8</v>
      </c>
      <c r="F634" s="30">
        <f>SUM(F635:F638)</f>
        <v>0</v>
      </c>
      <c r="G634" s="30">
        <f t="shared" ref="G634" si="382">SUM(G635:G638)</f>
        <v>0</v>
      </c>
      <c r="H634" s="30">
        <f t="shared" ref="H634" si="383">SUM(H635:H638)</f>
        <v>0</v>
      </c>
      <c r="I634" s="30">
        <f t="shared" ref="I634" si="384">SUM(I635:I638)</f>
        <v>0</v>
      </c>
      <c r="J634" s="30">
        <f t="shared" ref="J634" si="385">SUM(J635:J638)</f>
        <v>0</v>
      </c>
      <c r="K634" s="30">
        <f t="shared" ref="K634" si="386">SUM(K635:K638)</f>
        <v>0</v>
      </c>
    </row>
    <row r="635" spans="1:11">
      <c r="A635" t="s">
        <v>5</v>
      </c>
      <c r="B635" s="5" t="s">
        <v>6</v>
      </c>
      <c r="C635" s="5" t="s">
        <v>7</v>
      </c>
      <c r="D635" t="s">
        <v>343</v>
      </c>
      <c r="E635" s="5" t="s">
        <v>8</v>
      </c>
      <c r="F635" s="30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30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30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30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30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30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1:11">
      <c r="A636" t="s">
        <v>5</v>
      </c>
      <c r="B636" s="5" t="s">
        <v>6</v>
      </c>
      <c r="C636" s="5" t="s">
        <v>7</v>
      </c>
      <c r="D636" t="s">
        <v>344</v>
      </c>
      <c r="E636" s="5" t="s">
        <v>8</v>
      </c>
      <c r="F636" s="30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30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30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30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30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30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1:11">
      <c r="A637" t="s">
        <v>5</v>
      </c>
      <c r="B637" s="5" t="s">
        <v>6</v>
      </c>
      <c r="C637" s="5" t="s">
        <v>7</v>
      </c>
      <c r="D637" t="s">
        <v>345</v>
      </c>
      <c r="E637" s="5" t="s">
        <v>8</v>
      </c>
      <c r="F637" s="30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30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30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30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30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30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1:11">
      <c r="A638" t="s">
        <v>5</v>
      </c>
      <c r="B638" s="5" t="s">
        <v>6</v>
      </c>
      <c r="C638" s="5" t="s">
        <v>7</v>
      </c>
      <c r="D638" t="s">
        <v>346</v>
      </c>
      <c r="E638" s="5" t="s">
        <v>8</v>
      </c>
      <c r="F638" s="30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30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30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30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30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30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1:11">
      <c r="A639" t="s">
        <v>5</v>
      </c>
      <c r="B639" s="5" t="s">
        <v>6</v>
      </c>
      <c r="C639" s="5" t="s">
        <v>7</v>
      </c>
      <c r="D639" t="s">
        <v>943</v>
      </c>
      <c r="E639" s="5" t="s">
        <v>8</v>
      </c>
      <c r="F639" s="30">
        <f>SUM(F640:F641)</f>
        <v>0</v>
      </c>
      <c r="G639" s="30">
        <f t="shared" ref="G639" si="387">SUM(G640:G641)</f>
        <v>4.0285566256799298E-6</v>
      </c>
      <c r="H639" s="30">
        <f t="shared" ref="H639" si="388">SUM(H640:H641)</f>
        <v>2.6062262507073291E-6</v>
      </c>
      <c r="I639" s="30">
        <f t="shared" ref="I639" si="389">SUM(I640:I641)</f>
        <v>0</v>
      </c>
      <c r="J639" s="30">
        <f t="shared" ref="J639" si="390">SUM(J640:J641)</f>
        <v>0</v>
      </c>
      <c r="K639" s="30">
        <f t="shared" ref="K639" si="391">SUM(K640:K641)</f>
        <v>8.2437760764317284E-7</v>
      </c>
    </row>
    <row r="640" spans="1:11">
      <c r="A640" t="s">
        <v>5</v>
      </c>
      <c r="B640" s="5" t="s">
        <v>6</v>
      </c>
      <c r="C640" s="5" t="s">
        <v>7</v>
      </c>
      <c r="D640" t="s">
        <v>347</v>
      </c>
      <c r="E640" s="5" t="s">
        <v>8</v>
      </c>
      <c r="F640" s="30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30" cm="1">
        <f t="array" ref="G640">SUMPRODUCT(("SUP_WODBIO"=[1]OUT_SyntheticFuels!$C$4:$C$1000)*1,("LTH"=[1]OUT_SyntheticFuels!$A$4:$A$1000)*1,("Var_Fout"=[1]OUT_SyntheticFuels!$B$4:$B$1000)*1,[1]OUT_SyntheticFuels!F$4:F$1000)</f>
        <v>4.0285566256799298E-6</v>
      </c>
      <c r="H640" s="30" cm="1">
        <f t="array" ref="H640">SUMPRODUCT(("SUP_WODBIO"=[1]OUT_SyntheticFuels!$C$4:$C$1000)*1,("LTH"=[1]OUT_SyntheticFuels!$A$4:$A$1000)*1,("Var_Fout"=[1]OUT_SyntheticFuels!$B$4:$B$1000)*1,[1]OUT_SyntheticFuels!G$4:G$1000)</f>
        <v>2.6062262507073291E-6</v>
      </c>
      <c r="I640" s="30" cm="1">
        <f t="array" ref="I640">SUMPRODUCT(("SUP_WODBIO"=[1]OUT_SyntheticFuels!$C$4:$C$1000)*1,("LTH"=[1]OUT_SyntheticFuels!$A$4:$A$1000)*1,("Var_Fout"=[1]OUT_SyntheticFuels!$B$4:$B$1000)*1,[1]OUT_SyntheticFuels!H$4:H$1000)</f>
        <v>0</v>
      </c>
      <c r="J640" s="30" cm="1">
        <f t="array" ref="J640">SUMPRODUCT(("SUP_WODBIO"=[1]OUT_SyntheticFuels!$C$4:$C$1000)*1,("LTH"=[1]OUT_SyntheticFuels!$A$4:$A$1000)*1,("Var_Fout"=[1]OUT_SyntheticFuels!$B$4:$B$1000)*1,[1]OUT_SyntheticFuels!I$4:I$1000)</f>
        <v>0</v>
      </c>
      <c r="K640" s="30" cm="1">
        <f t="array" ref="K640">SUMPRODUCT(("SUP_WODBIO"=[1]OUT_SyntheticFuels!$C$4:$C$1000)*1,("LTH"=[1]OUT_SyntheticFuels!$A$4:$A$1000)*1,("Var_Fout"=[1]OUT_SyntheticFuels!$B$4:$B$1000)*1,[1]OUT_SyntheticFuels!J$4:J$1000)</f>
        <v>0</v>
      </c>
    </row>
    <row r="641" spans="1:11">
      <c r="A641" t="s">
        <v>5</v>
      </c>
      <c r="B641" s="5" t="s">
        <v>6</v>
      </c>
      <c r="C641" s="5" t="s">
        <v>7</v>
      </c>
      <c r="D641" t="s">
        <v>348</v>
      </c>
      <c r="E641" s="5" t="s">
        <v>8</v>
      </c>
      <c r="F641" s="30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30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30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30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30" cm="1">
        <f t="array" ref="J641">SUMPRODUCT(("SUP_WODBIOCCS"=[1]OUT_SyntheticFuels!$C$4:$C$1000)*1,("LTH"=[1]OUT_SyntheticFuels!$A$4:$A$1000)*1,("Var_Fout"=[1]OUT_SyntheticFuels!$B$4:$B$1000)*1,[1]OUT_SyntheticFuels!I$4:I$1000)</f>
        <v>0</v>
      </c>
      <c r="K641" s="30" cm="1">
        <f t="array" ref="K641">SUMPRODUCT(("SUP_WODBIOCCS"=[1]OUT_SyntheticFuels!$C$4:$C$1000)*1,("LTH"=[1]OUT_SyntheticFuels!$A$4:$A$1000)*1,("Var_Fout"=[1]OUT_SyntheticFuels!$B$4:$B$1000)*1,[1]OUT_SyntheticFuels!J$4:J$1000)</f>
        <v>8.2437760764317284E-7</v>
      </c>
    </row>
    <row r="642" spans="1:11">
      <c r="A642" t="s">
        <v>5</v>
      </c>
      <c r="B642" s="5" t="s">
        <v>6</v>
      </c>
      <c r="C642" s="5" t="s">
        <v>7</v>
      </c>
      <c r="D642" s="1" t="s">
        <v>392</v>
      </c>
      <c r="E642" s="8" t="s">
        <v>8</v>
      </c>
      <c r="F642" s="27">
        <f>F643+F644+F649</f>
        <v>13.477403238790719</v>
      </c>
      <c r="G642" s="27">
        <f t="shared" ref="G642" si="392">G643+G644+G649</f>
        <v>23.607859281380428</v>
      </c>
      <c r="H642" s="27">
        <f t="shared" ref="H642" si="393">H643+H644+H649</f>
        <v>24.673105787894695</v>
      </c>
      <c r="I642" s="27">
        <f t="shared" ref="I642" si="394">I643+I644+I649</f>
        <v>26.765790205563345</v>
      </c>
      <c r="J642" s="27">
        <f t="shared" ref="J642" si="395">J643+J644+J649</f>
        <v>26.468518306930914</v>
      </c>
      <c r="K642" s="27">
        <f t="shared" ref="K642" si="396">K643+K644+K649</f>
        <v>43.9272598136045</v>
      </c>
    </row>
    <row r="643" spans="1:11">
      <c r="A643" t="s">
        <v>5</v>
      </c>
      <c r="B643" s="5" t="s">
        <v>6</v>
      </c>
      <c r="C643" s="5" t="s">
        <v>7</v>
      </c>
      <c r="D643" t="s">
        <v>349</v>
      </c>
      <c r="E643" s="5" t="s">
        <v>8</v>
      </c>
      <c r="F643" s="28" cm="1">
        <f t="array" ref="F643">SUMPRODUCT(("SUP_MNRBIO"=[1]OUT_SyntheticFuels!$C$4:$C$1000)*1,("VAR_FIN"=[1]OUT_SyntheticFuels!$B$4:$B$1000)*1,("MNR"=[1]OUT_SyntheticFuels!$A$4:$A$1000)*1,[1]OUT_SyntheticFuels!E$4:E$1000)</f>
        <v>3.798080370907138</v>
      </c>
      <c r="G643" s="28" cm="1">
        <f t="array" ref="G643">SUMPRODUCT(("SUP_MNRBIO"=[1]OUT_SyntheticFuels!$C$4:$C$1000)*1,("VAR_FIN"=[1]OUT_SyntheticFuels!$B$4:$B$1000)*1,("MNR"=[1]OUT_SyntheticFuels!$A$4:$A$1000)*1,[1]OUT_SyntheticFuels!F$4:F$1000)</f>
        <v>14.280049525713892</v>
      </c>
      <c r="H643" s="28" cm="1">
        <f t="array" ref="H643">SUMPRODUCT(("SUP_MNRBIO"=[1]OUT_SyntheticFuels!$C$4:$C$1000)*1,("VAR_FIN"=[1]OUT_SyntheticFuels!$B$4:$B$1000)*1,("MNR"=[1]OUT_SyntheticFuels!$A$4:$A$1000)*1,[1]OUT_SyntheticFuels!G$4:G$1000)</f>
        <v>15.340044949868057</v>
      </c>
      <c r="I643" s="28" cm="1">
        <f t="array" ref="I643">SUMPRODUCT(("SUP_MNRBIO"=[1]OUT_SyntheticFuels!$C$4:$C$1000)*1,("VAR_FIN"=[1]OUT_SyntheticFuels!$B$4:$B$1000)*1,("MNR"=[1]OUT_SyntheticFuels!$A$4:$A$1000)*1,[1]OUT_SyntheticFuels!H$4:H$1000)</f>
        <v>17.10655793281105</v>
      </c>
      <c r="J643" s="28" cm="1">
        <f t="array" ref="J643">SUMPRODUCT(("SUP_MNRBIO"=[1]OUT_SyntheticFuels!$C$4:$C$1000)*1,("VAR_FIN"=[1]OUT_SyntheticFuels!$B$4:$B$1000)*1,("MNR"=[1]OUT_SyntheticFuels!$A$4:$A$1000)*1,[1]OUT_SyntheticFuels!I$4:I$1000)</f>
        <v>17.106559116780588</v>
      </c>
      <c r="K643" s="28" cm="1">
        <f t="array" ref="K643">SUMPRODUCT(("SUP_MNRBIO"=[1]OUT_SyntheticFuels!$C$4:$C$1000)*1,("VAR_FIN"=[1]OUT_SyntheticFuels!$B$4:$B$1000)*1,("MNR"=[1]OUT_SyntheticFuels!$A$4:$A$1000)*1,[1]OUT_SyntheticFuels!J$4:J$1000)</f>
        <v>26.999999924603937</v>
      </c>
    </row>
    <row r="644" spans="1:11">
      <c r="A644" t="s">
        <v>5</v>
      </c>
      <c r="B644" s="5" t="s">
        <v>6</v>
      </c>
      <c r="C644" s="5" t="s">
        <v>7</v>
      </c>
      <c r="D644" t="s">
        <v>945</v>
      </c>
      <c r="E644" s="5" t="s">
        <v>8</v>
      </c>
      <c r="F644" s="28">
        <f>SUM(F645:F648)</f>
        <v>9.679322867883581</v>
      </c>
      <c r="G644" s="28">
        <f t="shared" ref="G644" si="397">SUM(G645:G648)</f>
        <v>9.327747082102098</v>
      </c>
      <c r="H644" s="28">
        <f t="shared" ref="H644" si="398">SUM(H645:H648)</f>
        <v>9.3330205196077358</v>
      </c>
      <c r="I644" s="28">
        <f t="shared" ref="I644" si="399">SUM(I645:I648)</f>
        <v>9.659218361438489</v>
      </c>
      <c r="J644" s="28">
        <f t="shared" ref="J644" si="400">SUM(J645:J648)</f>
        <v>9.3619386427304043</v>
      </c>
      <c r="K644" s="28">
        <f t="shared" ref="K644" si="401">SUM(K645:K648)</f>
        <v>16.927240390849917</v>
      </c>
    </row>
    <row r="645" spans="1:11">
      <c r="A645" t="s">
        <v>5</v>
      </c>
      <c r="B645" s="5" t="s">
        <v>6</v>
      </c>
      <c r="C645" s="5" t="s">
        <v>7</v>
      </c>
      <c r="D645" t="s">
        <v>350</v>
      </c>
      <c r="E645" s="5" t="s">
        <v>8</v>
      </c>
      <c r="F645" s="28" cm="1">
        <f t="array" ref="F645">SUMPRODUCT(("SUP_WSTBIO"=[1]OUT_SyntheticFuels!$C$4:$C$1000)*1,("CWST"=[1]OUT_SyntheticFuels!$A$4:$A$1000)*1,("VAR_FIN"=[1]OUT_SyntheticFuels!$B$4:$B$1000)*1,[1]OUT_SyntheticFuels!E$4:E$1000)</f>
        <v>9.679322867883581</v>
      </c>
      <c r="G645" s="28" cm="1">
        <f t="array" ref="G645">SUMPRODUCT(("SUP_WSTBIO"=[1]OUT_SyntheticFuels!$C$4:$C$1000)*1,("CWST"=[1]OUT_SyntheticFuels!$A$4:$A$1000)*1,("VAR_FIN"=[1]OUT_SyntheticFuels!$B$4:$B$1000)*1,[1]OUT_SyntheticFuels!F$4:F$1000)</f>
        <v>9.327747082102098</v>
      </c>
      <c r="H645" s="28" cm="1">
        <f t="array" ref="H645">SUMPRODUCT(("SUP_WSTBIO"=[1]OUT_SyntheticFuels!$C$4:$C$1000)*1,("CWST"=[1]OUT_SyntheticFuels!$A$4:$A$1000)*1,("VAR_FIN"=[1]OUT_SyntheticFuels!$B$4:$B$1000)*1,[1]OUT_SyntheticFuels!G$4:G$1000)</f>
        <v>9.3330205196077358</v>
      </c>
      <c r="I645" s="28" cm="1">
        <f t="array" ref="I645">SUMPRODUCT(("SUP_WSTBIO"=[1]OUT_SyntheticFuels!$C$4:$C$1000)*1,("CWST"=[1]OUT_SyntheticFuels!$A$4:$A$1000)*1,("VAR_FIN"=[1]OUT_SyntheticFuels!$B$4:$B$1000)*1,[1]OUT_SyntheticFuels!H$4:H$1000)</f>
        <v>9.659218361438489</v>
      </c>
      <c r="J645" s="28" cm="1">
        <f t="array" ref="J645">SUMPRODUCT(("SUP_WSTBIO"=[1]OUT_SyntheticFuels!$C$4:$C$1000)*1,("CWST"=[1]OUT_SyntheticFuels!$A$4:$A$1000)*1,("VAR_FIN"=[1]OUT_SyntheticFuels!$B$4:$B$1000)*1,[1]OUT_SyntheticFuels!I$4:I$1000)</f>
        <v>9.3619234541098564</v>
      </c>
      <c r="K645" s="28" cm="1">
        <f t="array" ref="K645">SUMPRODUCT(("SUP_WSTBIO"=[1]OUT_SyntheticFuels!$C$4:$C$1000)*1,("CWST"=[1]OUT_SyntheticFuels!$A$4:$A$1000)*1,("VAR_FIN"=[1]OUT_SyntheticFuels!$B$4:$B$1000)*1,[1]OUT_SyntheticFuels!J$4:J$1000)</f>
        <v>16.927221972447519</v>
      </c>
    </row>
    <row r="646" spans="1:11">
      <c r="A646" t="s">
        <v>5</v>
      </c>
      <c r="B646" s="5" t="s">
        <v>6</v>
      </c>
      <c r="C646" s="5" t="s">
        <v>7</v>
      </c>
      <c r="D646" t="s">
        <v>351</v>
      </c>
      <c r="E646" s="5" t="s">
        <v>8</v>
      </c>
      <c r="F646" s="28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28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28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28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28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28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1:11">
      <c r="A647" t="s">
        <v>5</v>
      </c>
      <c r="B647" s="5" t="s">
        <v>6</v>
      </c>
      <c r="C647" s="5" t="s">
        <v>7</v>
      </c>
      <c r="D647" t="s">
        <v>352</v>
      </c>
      <c r="E647" s="5" t="s">
        <v>8</v>
      </c>
      <c r="F647" s="28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28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28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28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28" cm="1">
        <f t="array" ref="J647">SUMPRODUCT(("SUP_WSTHTGBIO"=[1]OUT_SyntheticFuels!$C$4:$C$1000)*1,("CWST"=[1]OUT_SyntheticFuels!$A$4:$A$1000)*1,("VAR_FIN"=[1]OUT_SyntheticFuels!$B$4:$B$1000)*1,[1]OUT_SyntheticFuels!I$4:I$1000)</f>
        <v>1.2481548250959501E-5</v>
      </c>
      <c r="K647" s="28" cm="1">
        <f t="array" ref="K647">SUMPRODUCT(("SUP_WSTHTGBIO"=[1]OUT_SyntheticFuels!$C$4:$C$1000)*1,("CWST"=[1]OUT_SyntheticFuels!$A$4:$A$1000)*1,("VAR_FIN"=[1]OUT_SyntheticFuels!$B$4:$B$1000)*1,[1]OUT_SyntheticFuels!J$4:J$1000)</f>
        <v>1.3290706240371002E-5</v>
      </c>
    </row>
    <row r="648" spans="1:11">
      <c r="A648" t="s">
        <v>5</v>
      </c>
      <c r="B648" s="5" t="s">
        <v>6</v>
      </c>
      <c r="C648" s="5" t="s">
        <v>7</v>
      </c>
      <c r="D648" t="s">
        <v>353</v>
      </c>
      <c r="E648" s="5" t="s">
        <v>8</v>
      </c>
      <c r="F648" s="28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28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28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28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28" cm="1">
        <f t="array" ref="J648">SUMPRODUCT(("SUP_WSTHTGBIOCCS"=[1]OUT_SyntheticFuels!$C$4:$C$1000)*1,("CWST"=[1]OUT_SyntheticFuels!$A$4:$A$1000)*1,("VAR_FIN"=[1]OUT_SyntheticFuels!$B$4:$B$1000)*1,[1]OUT_SyntheticFuels!I$4:I$1000)</f>
        <v>2.7070722963411063E-6</v>
      </c>
      <c r="K648" s="28" cm="1">
        <f t="array" ref="K648">SUMPRODUCT(("SUP_WSTHTGBIOCCS"=[1]OUT_SyntheticFuels!$C$4:$C$1000)*1,("CWST"=[1]OUT_SyntheticFuels!$A$4:$A$1000)*1,("VAR_FIN"=[1]OUT_SyntheticFuels!$B$4:$B$1000)*1,[1]OUT_SyntheticFuels!J$4:J$1000)</f>
        <v>5.1276961603861806E-6</v>
      </c>
    </row>
    <row r="649" spans="1:11">
      <c r="A649" t="s">
        <v>5</v>
      </c>
      <c r="B649" s="5" t="s">
        <v>6</v>
      </c>
      <c r="C649" s="5" t="s">
        <v>7</v>
      </c>
      <c r="D649" t="s">
        <v>946</v>
      </c>
      <c r="E649" s="5" t="s">
        <v>8</v>
      </c>
      <c r="F649" s="28">
        <f>SUM(F650:F651)</f>
        <v>0</v>
      </c>
      <c r="G649" s="28">
        <f t="shared" ref="G649" si="402">SUM(G650:G651)</f>
        <v>6.2673564434705939E-5</v>
      </c>
      <c r="H649" s="28">
        <f t="shared" ref="H649" si="403">SUM(H650:H651)</f>
        <v>4.0318418899885641E-5</v>
      </c>
      <c r="I649" s="28">
        <f t="shared" ref="I649" si="404">SUM(I650:I651)</f>
        <v>1.391131380551594E-5</v>
      </c>
      <c r="J649" s="28">
        <f t="shared" ref="J649" si="405">SUM(J650:J651)</f>
        <v>2.0547419923286202E-5</v>
      </c>
      <c r="K649" s="28">
        <f t="shared" ref="K649" si="406">SUM(K650:K651)</f>
        <v>1.9498150639142706E-5</v>
      </c>
    </row>
    <row r="650" spans="1:11">
      <c r="A650" t="s">
        <v>5</v>
      </c>
      <c r="B650" s="5" t="s">
        <v>6</v>
      </c>
      <c r="C650" s="5" t="s">
        <v>7</v>
      </c>
      <c r="D650" t="s">
        <v>354</v>
      </c>
      <c r="E650" s="5" t="s">
        <v>8</v>
      </c>
      <c r="F650" s="28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28" cm="1">
        <f t="array" ref="G650">SUMPRODUCT(("SUP_WODBIO"=[1]OUT_SyntheticFuels!$C$4:$C$1000)*1,("CWOD"=[1]OUT_SyntheticFuels!$A$4:$A$1000)*1,("VAR_FIN"=[1]OUT_SyntheticFuels!$B$4:$B$1000)*1,[1]OUT_SyntheticFuels!F$4:F$1000)</f>
        <v>6.2673564434705939E-5</v>
      </c>
      <c r="H650" s="28" cm="1">
        <f t="array" ref="H650">SUMPRODUCT(("SUP_WODBIO"=[1]OUT_SyntheticFuels!$C$4:$C$1000)*1,("CWOD"=[1]OUT_SyntheticFuels!$A$4:$A$1000)*1,("VAR_FIN"=[1]OUT_SyntheticFuels!$B$4:$B$1000)*1,[1]OUT_SyntheticFuels!G$4:G$1000)</f>
        <v>4.0318418899885641E-5</v>
      </c>
      <c r="I650" s="28" cm="1">
        <f t="array" ref="I650">SUMPRODUCT(("SUP_WODBIO"=[1]OUT_SyntheticFuels!$C$4:$C$1000)*1,("CWOD"=[1]OUT_SyntheticFuels!$A$4:$A$1000)*1,("VAR_FIN"=[1]OUT_SyntheticFuels!$B$4:$B$1000)*1,[1]OUT_SyntheticFuels!H$4:H$1000)</f>
        <v>1.391131380551594E-5</v>
      </c>
      <c r="J650" s="28" cm="1">
        <f t="array" ref="J650">SUMPRODUCT(("SUP_WODBIO"=[1]OUT_SyntheticFuels!$C$4:$C$1000)*1,("CWOD"=[1]OUT_SyntheticFuels!$A$4:$A$1000)*1,("VAR_FIN"=[1]OUT_SyntheticFuels!$B$4:$B$1000)*1,[1]OUT_SyntheticFuels!I$4:I$1000)</f>
        <v>8.8191721419379313E-6</v>
      </c>
      <c r="K650" s="28" cm="1">
        <f t="array" ref="K650">SUMPRODUCT(("SUP_WODBIO"=[1]OUT_SyntheticFuels!$C$4:$C$1000)*1,("CWOD"=[1]OUT_SyntheticFuels!$A$4:$A$1000)*1,("VAR_FIN"=[1]OUT_SyntheticFuels!$B$4:$B$1000)*1,[1]OUT_SyntheticFuels!J$4:J$1000)</f>
        <v>2.3616529777215753E-6</v>
      </c>
    </row>
    <row r="651" spans="1:11">
      <c r="A651" t="s">
        <v>5</v>
      </c>
      <c r="B651" s="5" t="s">
        <v>6</v>
      </c>
      <c r="C651" s="5" t="s">
        <v>7</v>
      </c>
      <c r="D651" t="s">
        <v>355</v>
      </c>
      <c r="E651" s="5" t="s">
        <v>8</v>
      </c>
      <c r="F651" s="28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28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28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28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28" cm="1">
        <f t="array" ref="J651">SUMPRODUCT(("SUP_WODBIOCCS"=[1]OUT_SyntheticFuels!$C$4:$C$1000)*1,("CWOD"=[1]OUT_SyntheticFuels!$A$4:$A$1000)*1,("VAR_FIN"=[1]OUT_SyntheticFuels!$B$4:$B$1000)*1,[1]OUT_SyntheticFuels!I$4:I$1000)</f>
        <v>1.1728247781348271E-5</v>
      </c>
      <c r="K651" s="28" cm="1">
        <f t="array" ref="K651">SUMPRODUCT(("SUP_WODBIOCCS"=[1]OUT_SyntheticFuels!$C$4:$C$1000)*1,("CWOD"=[1]OUT_SyntheticFuels!$A$4:$A$1000)*1,("VAR_FIN"=[1]OUT_SyntheticFuels!$B$4:$B$1000)*1,[1]OUT_SyntheticFuels!J$4:J$1000)</f>
        <v>1.713649766142113E-5</v>
      </c>
    </row>
    <row r="652" spans="1:11">
      <c r="A652" t="s">
        <v>5</v>
      </c>
      <c r="B652" s="5" t="s">
        <v>6</v>
      </c>
      <c r="C652" s="5" t="s">
        <v>7</v>
      </c>
      <c r="D652" s="1" t="s">
        <v>393</v>
      </c>
      <c r="E652" s="8" t="s">
        <v>8</v>
      </c>
      <c r="F652" s="22" t="s">
        <v>295</v>
      </c>
      <c r="G652" s="22" t="s">
        <v>295</v>
      </c>
      <c r="H652" s="22" t="s">
        <v>295</v>
      </c>
      <c r="I652" s="22" t="s">
        <v>295</v>
      </c>
      <c r="J652" s="22" t="s">
        <v>295</v>
      </c>
      <c r="K652" s="22" t="s">
        <v>295</v>
      </c>
    </row>
    <row r="653" spans="1:11">
      <c r="A653" t="s">
        <v>5</v>
      </c>
      <c r="B653" s="5" t="s">
        <v>6</v>
      </c>
      <c r="C653" s="5" t="s">
        <v>7</v>
      </c>
      <c r="D653" t="s">
        <v>356</v>
      </c>
      <c r="E653" s="5" t="s">
        <v>8</v>
      </c>
      <c r="F653" s="21">
        <f t="shared" ref="F653:K653" si="407">IFERROR(SUM(F633,F623,F613)/F643,"-")</f>
        <v>0.34965034965035036</v>
      </c>
      <c r="G653" s="21">
        <f t="shared" si="407"/>
        <v>0.34965034965034991</v>
      </c>
      <c r="H653" s="21">
        <f t="shared" si="407"/>
        <v>0.34965034965035019</v>
      </c>
      <c r="I653" s="21">
        <f t="shared" si="407"/>
        <v>0.34965034965035013</v>
      </c>
      <c r="J653" s="21">
        <f t="shared" si="407"/>
        <v>0.34965034965035013</v>
      </c>
      <c r="K653" s="21">
        <f t="shared" si="407"/>
        <v>0.34965034965035019</v>
      </c>
    </row>
    <row r="654" spans="1:11">
      <c r="A654" t="s">
        <v>5</v>
      </c>
      <c r="B654" s="5" t="s">
        <v>6</v>
      </c>
      <c r="C654" s="5" t="s">
        <v>7</v>
      </c>
      <c r="D654" t="s">
        <v>357</v>
      </c>
      <c r="E654" s="5" t="s">
        <v>8</v>
      </c>
      <c r="F654" s="21">
        <f t="shared" ref="F654:K657" si="408">IFERROR(SUM(F635,F625,F615)/F645,"-")</f>
        <v>0.59322033898305093</v>
      </c>
      <c r="G654" s="21">
        <f t="shared" si="408"/>
        <v>0.59322033898305171</v>
      </c>
      <c r="H654" s="21">
        <f t="shared" si="408"/>
        <v>0.59322033898305138</v>
      </c>
      <c r="I654" s="21">
        <f t="shared" si="408"/>
        <v>0.59322033898305082</v>
      </c>
      <c r="J654" s="21">
        <f t="shared" si="408"/>
        <v>0.59322033898305115</v>
      </c>
      <c r="K654" s="21">
        <f t="shared" si="408"/>
        <v>0.59322033898305127</v>
      </c>
    </row>
    <row r="655" spans="1:11">
      <c r="A655" t="s">
        <v>5</v>
      </c>
      <c r="B655" s="5" t="s">
        <v>6</v>
      </c>
      <c r="C655" s="5" t="s">
        <v>7</v>
      </c>
      <c r="D655" t="s">
        <v>358</v>
      </c>
      <c r="E655" s="5" t="s">
        <v>8</v>
      </c>
      <c r="F655" s="21" t="str">
        <f t="shared" si="408"/>
        <v>-</v>
      </c>
      <c r="G655" s="21" t="str">
        <f t="shared" si="408"/>
        <v>-</v>
      </c>
      <c r="H655" s="21" t="str">
        <f t="shared" si="408"/>
        <v>-</v>
      </c>
      <c r="I655" s="21" t="str">
        <f t="shared" si="408"/>
        <v>-</v>
      </c>
      <c r="J655" s="21" t="str">
        <f t="shared" si="408"/>
        <v>-</v>
      </c>
      <c r="K655" s="21" t="str">
        <f t="shared" si="408"/>
        <v>-</v>
      </c>
    </row>
    <row r="656" spans="1:11">
      <c r="A656" t="s">
        <v>5</v>
      </c>
      <c r="B656" s="5" t="s">
        <v>6</v>
      </c>
      <c r="C656" s="5" t="s">
        <v>7</v>
      </c>
      <c r="D656" t="s">
        <v>359</v>
      </c>
      <c r="E656" s="5" t="s">
        <v>8</v>
      </c>
      <c r="F656" s="21" t="str">
        <f t="shared" si="408"/>
        <v>-</v>
      </c>
      <c r="G656" s="21" t="str">
        <f t="shared" si="408"/>
        <v>-</v>
      </c>
      <c r="H656" s="21" t="str">
        <f t="shared" si="408"/>
        <v>-</v>
      </c>
      <c r="I656" s="21" t="str">
        <f t="shared" si="408"/>
        <v>-</v>
      </c>
      <c r="J656" s="21">
        <f t="shared" si="408"/>
        <v>0.69999999999999984</v>
      </c>
      <c r="K656" s="21">
        <f t="shared" si="408"/>
        <v>0.69999999999999973</v>
      </c>
    </row>
    <row r="657" spans="1:11">
      <c r="A657" t="s">
        <v>5</v>
      </c>
      <c r="B657" s="5" t="s">
        <v>6</v>
      </c>
      <c r="C657" s="5" t="s">
        <v>7</v>
      </c>
      <c r="D657" t="s">
        <v>360</v>
      </c>
      <c r="E657" s="5" t="s">
        <v>8</v>
      </c>
      <c r="F657" s="21" t="str">
        <f t="shared" si="408"/>
        <v>-</v>
      </c>
      <c r="G657" s="21" t="str">
        <f t="shared" si="408"/>
        <v>-</v>
      </c>
      <c r="H657" s="21" t="str">
        <f t="shared" si="408"/>
        <v>-</v>
      </c>
      <c r="I657" s="21" t="str">
        <f t="shared" si="408"/>
        <v>-</v>
      </c>
      <c r="J657" s="21">
        <f t="shared" si="408"/>
        <v>0.63000000000000012</v>
      </c>
      <c r="K657" s="21">
        <f t="shared" si="408"/>
        <v>0.63000000000000012</v>
      </c>
    </row>
    <row r="658" spans="1:11">
      <c r="A658" t="s">
        <v>5</v>
      </c>
      <c r="B658" s="5" t="s">
        <v>6</v>
      </c>
      <c r="C658" s="5" t="s">
        <v>7</v>
      </c>
      <c r="D658" t="s">
        <v>361</v>
      </c>
      <c r="E658" s="5" t="s">
        <v>8</v>
      </c>
      <c r="F658" s="21" t="str">
        <f t="shared" ref="F658:K659" si="409">IFERROR(SUM(F640,F630,F620)/F650,"-")</f>
        <v>-</v>
      </c>
      <c r="G658" s="21">
        <f t="shared" si="409"/>
        <v>0.82644527793577927</v>
      </c>
      <c r="H658" s="21">
        <f t="shared" si="409"/>
        <v>0.81304318498505812</v>
      </c>
      <c r="I658" s="21">
        <f t="shared" si="409"/>
        <v>0.74074074074074137</v>
      </c>
      <c r="J658" s="21">
        <f t="shared" si="409"/>
        <v>0.74074074074073992</v>
      </c>
      <c r="K658" s="21">
        <f t="shared" si="409"/>
        <v>0.73446108005328969</v>
      </c>
    </row>
    <row r="659" spans="1:11">
      <c r="A659" t="s">
        <v>5</v>
      </c>
      <c r="B659" s="5" t="s">
        <v>6</v>
      </c>
      <c r="C659" s="5" t="s">
        <v>7</v>
      </c>
      <c r="D659" t="s">
        <v>362</v>
      </c>
      <c r="E659" s="5" t="s">
        <v>8</v>
      </c>
      <c r="F659" s="21" t="str">
        <f t="shared" si="409"/>
        <v>-</v>
      </c>
      <c r="G659" s="21" t="str">
        <f t="shared" si="409"/>
        <v>-</v>
      </c>
      <c r="H659" s="21" t="str">
        <f t="shared" si="409"/>
        <v>-</v>
      </c>
      <c r="I659" s="21" t="str">
        <f t="shared" si="409"/>
        <v>-</v>
      </c>
      <c r="J659" s="21">
        <f t="shared" si="409"/>
        <v>0.67073001422853173</v>
      </c>
      <c r="K659" s="21">
        <f t="shared" si="409"/>
        <v>0.71714957896924392</v>
      </c>
    </row>
    <row r="660" spans="1:11">
      <c r="A660" t="s">
        <v>5</v>
      </c>
      <c r="B660" s="8" t="s">
        <v>6</v>
      </c>
      <c r="C660" s="8" t="s">
        <v>7</v>
      </c>
      <c r="D660" s="1" t="s">
        <v>395</v>
      </c>
      <c r="E660" s="8" t="s">
        <v>8</v>
      </c>
      <c r="F660" s="16">
        <f>SUM(F661,F665,F674)</f>
        <v>4.045821599421036E-3</v>
      </c>
      <c r="G660" s="16">
        <f t="shared" ref="G660:K660" si="410">SUM(G661,G665,G674)</f>
        <v>2.940184298175667E-2</v>
      </c>
      <c r="H660" s="16">
        <f t="shared" si="410"/>
        <v>2.9401947282015114E-2</v>
      </c>
      <c r="I660" s="16">
        <f t="shared" si="410"/>
        <v>3.0197425166022551</v>
      </c>
      <c r="J660" s="16">
        <f t="shared" si="410"/>
        <v>10.447836778029904</v>
      </c>
      <c r="K660" s="16">
        <f t="shared" si="410"/>
        <v>21.91451242288403</v>
      </c>
    </row>
    <row r="661" spans="1:11">
      <c r="A661" t="s">
        <v>5</v>
      </c>
      <c r="B661" t="str">
        <f>B660</f>
        <v>SPS1</v>
      </c>
      <c r="C661" t="str">
        <f>C660</f>
        <v>CH</v>
      </c>
      <c r="D661" t="s">
        <v>947</v>
      </c>
      <c r="E661" s="5" t="s">
        <v>8</v>
      </c>
      <c r="F661" s="13">
        <f>[1]Other_transformation!B$28</f>
        <v>4.045821599421036E-3</v>
      </c>
      <c r="G661" s="13">
        <f>[1]Other_transformation!C$28</f>
        <v>2.940184298175667E-2</v>
      </c>
      <c r="H661" s="13">
        <f>[1]Other_transformation!D$28</f>
        <v>2.9401947282015114E-2</v>
      </c>
      <c r="I661" s="13">
        <f>[1]Other_transformation!E$28</f>
        <v>2.9401465102377022E-2</v>
      </c>
      <c r="J661" s="13">
        <f>[1]Other_transformation!F$28</f>
        <v>1.4935330529859756</v>
      </c>
      <c r="K661" s="13">
        <f>[1]Other_transformation!G$28</f>
        <v>6.6713617178657341</v>
      </c>
    </row>
    <row r="662" spans="1:11">
      <c r="A662" t="s">
        <v>5</v>
      </c>
      <c r="B662" t="str">
        <f t="shared" ref="B662:B673" si="411">B661</f>
        <v>SPS1</v>
      </c>
      <c r="C662" t="str">
        <f t="shared" ref="C662:C673" si="412">C661</f>
        <v>CH</v>
      </c>
      <c r="D662" t="s">
        <v>408</v>
      </c>
      <c r="E662" s="5" t="s">
        <v>8</v>
      </c>
      <c r="F662" s="13" cm="1">
        <f t="array" ref="F662">SUMPRODUCT(("SUP_ELCH2"=[1]OUT_SyntheticFuels!$C$4:$C$1000)*1,ISNUMBER(SEARCH("h2",[1]OUT_SyntheticFuels!$A$4:$A$1000))*1,("Var_Fout"=[1]OUT_SyntheticFuels!$B$4:$B$1000)*1,[1]OUT_SyntheticFuels!E$4:E$1000)</f>
        <v>4.045821599421036E-3</v>
      </c>
      <c r="G662" s="13" cm="1">
        <f t="array" ref="G662">SUMPRODUCT(("SUP_ELCH2"=[1]OUT_SyntheticFuels!$C$4:$C$1000)*1,ISNUMBER(SEARCH("h2",[1]OUT_SyntheticFuels!$A$4:$A$1000))*1,("Var_Fout"=[1]OUT_SyntheticFuels!$B$4:$B$1000)*1,[1]OUT_SyntheticFuels!F$4:F$1000)</f>
        <v>2.940184298175667E-2</v>
      </c>
      <c r="H662" s="13" cm="1">
        <f t="array" ref="H662">SUMPRODUCT(("SUP_ELCH2"=[1]OUT_SyntheticFuels!$C$4:$C$1000)*1,ISNUMBER(SEARCH("h2",[1]OUT_SyntheticFuels!$A$4:$A$1000))*1,("Var_Fout"=[1]OUT_SyntheticFuels!$B$4:$B$1000)*1,[1]OUT_SyntheticFuels!G$4:G$1000)</f>
        <v>2.9401947282015114E-2</v>
      </c>
      <c r="I662" s="13" cm="1">
        <f t="array" ref="I662">SUMPRODUCT(("SUP_ELCH2"=[1]OUT_SyntheticFuels!$C$4:$C$1000)*1,ISNUMBER(SEARCH("h2",[1]OUT_SyntheticFuels!$A$4:$A$1000))*1,("Var_Fout"=[1]OUT_SyntheticFuels!$B$4:$B$1000)*1,[1]OUT_SyntheticFuels!H$4:H$1000)</f>
        <v>2.940009365424933E-2</v>
      </c>
      <c r="J662" s="13" cm="1">
        <f t="array" ref="J662">SUMPRODUCT(("SUP_ELCH2"=[1]OUT_SyntheticFuels!$C$4:$C$1000)*1,ISNUMBER(SEARCH("h2",[1]OUT_SyntheticFuels!$A$4:$A$1000))*1,("Var_Fout"=[1]OUT_SyntheticFuels!$B$4:$B$1000)*1,[1]OUT_SyntheticFuels!I$4:I$1000)</f>
        <v>1.493271311564806</v>
      </c>
      <c r="K662" s="13" cm="1">
        <f t="array" ref="K662">SUMPRODUCT(("SUP_ELCH2"=[1]OUT_SyntheticFuels!$C$4:$C$1000)*1,ISNUMBER(SEARCH("h2",[1]OUT_SyntheticFuels!$A$4:$A$1000))*1,("Var_Fout"=[1]OUT_SyntheticFuels!$B$4:$B$1000)*1,[1]OUT_SyntheticFuels!J$4:J$1000)</f>
        <v>6.6711508683137817</v>
      </c>
    </row>
    <row r="663" spans="1:11">
      <c r="A663" t="s">
        <v>5</v>
      </c>
      <c r="B663" t="str">
        <f t="shared" ref="B663" si="413">B662</f>
        <v>SPS1</v>
      </c>
      <c r="C663" t="str">
        <f t="shared" ref="C663" si="414">C662</f>
        <v>CH</v>
      </c>
      <c r="D663" t="s">
        <v>407</v>
      </c>
      <c r="E663" s="5" t="s">
        <v>8</v>
      </c>
      <c r="F663" s="13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3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3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3" cm="1">
        <f t="array" ref="I663">SUMPRODUCT(("SUP_ELCH2_D"=[1]OUT_SyntheticFuels!$C$4:$C$1000)*1,ISNUMBER(SEARCH("h2",[1]OUT_SyntheticFuels!$A$4:$A$1000))*1,("Var_Fout"=[1]OUT_SyntheticFuels!$B$4:$B$1000)*1,[1]OUT_SyntheticFuels!H$4:H$1000)</f>
        <v>1.3714481276921207E-6</v>
      </c>
      <c r="J663" s="13" cm="1">
        <f t="array" ref="J663">SUMPRODUCT(("SUP_ELCH2_D"=[1]OUT_SyntheticFuels!$C$4:$C$1000)*1,ISNUMBER(SEARCH("h2",[1]OUT_SyntheticFuels!$A$4:$A$1000))*1,("Var_Fout"=[1]OUT_SyntheticFuels!$B$4:$B$1000)*1,[1]OUT_SyntheticFuels!I$4:I$1000)</f>
        <v>1.5222618563056326E-4</v>
      </c>
      <c r="K663" s="13" cm="1">
        <f t="array" ref="K663">SUMPRODUCT(("SUP_ELCH2_D"=[1]OUT_SyntheticFuels!$C$4:$C$1000)*1,ISNUMBER(SEARCH("h2",[1]OUT_SyntheticFuels!$A$4:$A$1000))*1,("Var_Fout"=[1]OUT_SyntheticFuels!$B$4:$B$1000)*1,[1]OUT_SyntheticFuels!J$4:J$1000)</f>
        <v>1.6189852904304611E-4</v>
      </c>
    </row>
    <row r="664" spans="1:11">
      <c r="A664" t="s">
        <v>5</v>
      </c>
      <c r="B664" t="str">
        <f>B662</f>
        <v>SPS1</v>
      </c>
      <c r="C664" t="str">
        <f>C662</f>
        <v>CH</v>
      </c>
      <c r="D664" t="s">
        <v>396</v>
      </c>
      <c r="E664" s="5" t="s">
        <v>8</v>
      </c>
      <c r="F664" s="13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3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3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3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3" cm="1">
        <f t="array" ref="J664">SUMPRODUCT(("SUP_ELCH2_SOEC"=[1]OUT_SyntheticFuels!$C$4:$C$1000)*1,ISNUMBER(SEARCH("H2",[1]OUT_SyntheticFuels!$A$4:$A$1000))*1,("Var_Fout"=[1]OUT_SyntheticFuels!$B$4:$B$1000)*1,[1]OUT_SyntheticFuels!I$4:I$1000)</f>
        <v>1.095152355390299E-4</v>
      </c>
      <c r="K664" s="13" cm="1">
        <f t="array" ref="K664">SUMPRODUCT(("SUP_ELCH2_SOEC"=[1]OUT_SyntheticFuels!$C$4:$C$1000)*1,ISNUMBER(SEARCH("H2",[1]OUT_SyntheticFuels!$A$4:$A$1000))*1,("Var_Fout"=[1]OUT_SyntheticFuels!$B$4:$B$1000)*1,[1]OUT_SyntheticFuels!J$4:J$1000)</f>
        <v>4.8951022909275049E-5</v>
      </c>
    </row>
    <row r="665" spans="1:11">
      <c r="A665" t="s">
        <v>5</v>
      </c>
      <c r="B665" t="str">
        <f t="shared" si="411"/>
        <v>SPS1</v>
      </c>
      <c r="C665" t="str">
        <f t="shared" si="412"/>
        <v>CH</v>
      </c>
      <c r="D665" t="s">
        <v>948</v>
      </c>
      <c r="E665" s="5" t="s">
        <v>8</v>
      </c>
      <c r="F665" s="13">
        <f>SUM([1]Other_transformation!B$29:B$30)</f>
        <v>0</v>
      </c>
      <c r="G665" s="13">
        <f>SUM([1]Other_transformation!C$29:C$30)</f>
        <v>0</v>
      </c>
      <c r="H665" s="13">
        <f>SUM([1]Other_transformation!D$29:D$30)</f>
        <v>0</v>
      </c>
      <c r="I665" s="13">
        <f>SUM([1]Other_transformation!E$29:E$30)</f>
        <v>2.9903410514998781</v>
      </c>
      <c r="J665" s="13">
        <f>SUM([1]Other_transformation!F$29:F$30)</f>
        <v>8.9543037250439284</v>
      </c>
      <c r="K665" s="13">
        <f>SUM([1]Other_transformation!G$29:G$30)</f>
        <v>9.339081584953675</v>
      </c>
    </row>
    <row r="666" spans="1:11">
      <c r="A666" t="s">
        <v>5</v>
      </c>
      <c r="B666" t="str">
        <f t="shared" si="411"/>
        <v>SPS1</v>
      </c>
      <c r="C666" t="str">
        <f t="shared" si="412"/>
        <v>CH</v>
      </c>
      <c r="D666" t="s">
        <v>397</v>
      </c>
      <c r="E666" s="5" t="s">
        <v>8</v>
      </c>
      <c r="F666" s="13">
        <f>[1]Other_transformation!B$29</f>
        <v>0</v>
      </c>
      <c r="G666" s="13">
        <f>[1]Other_transformation!C$29</f>
        <v>0</v>
      </c>
      <c r="H666" s="13">
        <f>[1]Other_transformation!D$29</f>
        <v>0</v>
      </c>
      <c r="I666" s="13">
        <f>[1]Other_transformation!E$29</f>
        <v>2.9903410514998781</v>
      </c>
      <c r="J666" s="13">
        <f>[1]Other_transformation!F$29</f>
        <v>8.9542623226441407</v>
      </c>
      <c r="K666" s="13">
        <f>[1]Other_transformation!G$29</f>
        <v>4.4521824982268754E-7</v>
      </c>
    </row>
    <row r="667" spans="1:11">
      <c r="A667" t="s">
        <v>5</v>
      </c>
      <c r="B667" t="str">
        <f t="shared" si="411"/>
        <v>SPS1</v>
      </c>
      <c r="C667" t="str">
        <f t="shared" si="412"/>
        <v>CH</v>
      </c>
      <c r="D667" t="s">
        <v>398</v>
      </c>
      <c r="E667" s="5" t="s">
        <v>8</v>
      </c>
      <c r="F667" s="13">
        <f>[1]Other_transformation!B$30</f>
        <v>0</v>
      </c>
      <c r="G667" s="13">
        <f>[1]Other_transformation!C$30</f>
        <v>0</v>
      </c>
      <c r="H667" s="13">
        <f>[1]Other_transformation!D$30</f>
        <v>0</v>
      </c>
      <c r="I667" s="13">
        <f>[1]Other_transformation!E$30</f>
        <v>0</v>
      </c>
      <c r="J667" s="13">
        <f>[1]Other_transformation!F$30</f>
        <v>4.1402399787370751E-5</v>
      </c>
      <c r="K667" s="13">
        <f>[1]Other_transformation!G$30</f>
        <v>9.3390811397354252</v>
      </c>
    </row>
    <row r="668" spans="1:11">
      <c r="A668" t="s">
        <v>5</v>
      </c>
      <c r="B668" t="str">
        <f t="shared" si="411"/>
        <v>SPS1</v>
      </c>
      <c r="C668" t="str">
        <f t="shared" si="412"/>
        <v>CH</v>
      </c>
      <c r="D668" t="s">
        <v>949</v>
      </c>
      <c r="E668" s="5" t="s">
        <v>8</v>
      </c>
      <c r="F668" s="13">
        <f>F665-F671</f>
        <v>0</v>
      </c>
      <c r="G668" s="13">
        <f t="shared" ref="G668:K668" si="415">G665-G671</f>
        <v>0</v>
      </c>
      <c r="H668" s="13">
        <f t="shared" si="415"/>
        <v>0</v>
      </c>
      <c r="I668" s="13">
        <f t="shared" si="415"/>
        <v>2.9903343513659362</v>
      </c>
      <c r="J668" s="13">
        <f t="shared" si="415"/>
        <v>8.9542938049783878</v>
      </c>
      <c r="K668" s="13">
        <f t="shared" si="415"/>
        <v>9.3390699412696456</v>
      </c>
    </row>
    <row r="669" spans="1:11">
      <c r="A669" t="s">
        <v>5</v>
      </c>
      <c r="B669" t="str">
        <f t="shared" si="411"/>
        <v>SPS1</v>
      </c>
      <c r="C669" t="str">
        <f t="shared" si="412"/>
        <v>CH</v>
      </c>
      <c r="D669" t="s">
        <v>612</v>
      </c>
      <c r="E669" s="5" t="s">
        <v>8</v>
      </c>
      <c r="F669" s="13">
        <f t="shared" ref="F669:K669" si="416">F666-F672</f>
        <v>0</v>
      </c>
      <c r="G669" s="13">
        <f t="shared" si="416"/>
        <v>0</v>
      </c>
      <c r="H669" s="13">
        <f t="shared" si="416"/>
        <v>0</v>
      </c>
      <c r="I669" s="13">
        <f t="shared" si="416"/>
        <v>2.9903343513659362</v>
      </c>
      <c r="J669" s="13">
        <f t="shared" si="416"/>
        <v>8.9542524026244674</v>
      </c>
      <c r="K669" s="13">
        <f t="shared" si="416"/>
        <v>4.4521769473805974E-7</v>
      </c>
    </row>
    <row r="670" spans="1:11">
      <c r="A670" t="s">
        <v>5</v>
      </c>
      <c r="B670" t="str">
        <f t="shared" si="411"/>
        <v>SPS1</v>
      </c>
      <c r="C670" t="str">
        <f t="shared" si="412"/>
        <v>CH</v>
      </c>
      <c r="D670" t="s">
        <v>613</v>
      </c>
      <c r="E670" s="5" t="s">
        <v>8</v>
      </c>
      <c r="F670" s="13">
        <f t="shared" ref="F670:K670" si="417">F667-F673</f>
        <v>0</v>
      </c>
      <c r="G670" s="13">
        <f t="shared" si="417"/>
        <v>0</v>
      </c>
      <c r="H670" s="13">
        <f t="shared" si="417"/>
        <v>0</v>
      </c>
      <c r="I670" s="13">
        <f t="shared" si="417"/>
        <v>0</v>
      </c>
      <c r="J670" s="13">
        <f t="shared" si="417"/>
        <v>4.140235391953646E-5</v>
      </c>
      <c r="K670" s="13">
        <f t="shared" si="417"/>
        <v>9.33906949605195</v>
      </c>
    </row>
    <row r="671" spans="1:11">
      <c r="A671" t="s">
        <v>5</v>
      </c>
      <c r="B671" t="str">
        <f t="shared" si="411"/>
        <v>SPS1</v>
      </c>
      <c r="C671" t="str">
        <f t="shared" si="412"/>
        <v>CH</v>
      </c>
      <c r="D671" t="s">
        <v>950</v>
      </c>
      <c r="E671" s="5" t="s">
        <v>8</v>
      </c>
      <c r="F671" s="13">
        <f>SUM(F672:F673)</f>
        <v>0</v>
      </c>
      <c r="G671" s="13">
        <f t="shared" ref="G671:K671" si="418">SUM(G672:G673)</f>
        <v>0</v>
      </c>
      <c r="H671" s="13">
        <f t="shared" si="418"/>
        <v>0</v>
      </c>
      <c r="I671" s="13">
        <f t="shared" si="418"/>
        <v>6.7001339420044199E-6</v>
      </c>
      <c r="J671" s="13">
        <f t="shared" si="418"/>
        <v>9.9200655413246393E-6</v>
      </c>
      <c r="K671" s="13">
        <f t="shared" si="418"/>
        <v>1.16436840302418E-5</v>
      </c>
    </row>
    <row r="672" spans="1:11">
      <c r="A672" t="s">
        <v>5</v>
      </c>
      <c r="B672" t="str">
        <f t="shared" si="411"/>
        <v>SPS1</v>
      </c>
      <c r="C672" t="str">
        <f t="shared" si="412"/>
        <v>CH</v>
      </c>
      <c r="D672" t="s">
        <v>673</v>
      </c>
      <c r="E672" s="5" t="s">
        <v>8</v>
      </c>
      <c r="F672" s="13">
        <f>IFERROR([1]Energy_Balances!B$157/([1]Energy_Balances!B$157+[1]Energy_Balances!B$72),0)*F666</f>
        <v>0</v>
      </c>
      <c r="G672" s="13">
        <f>IFERROR([1]Energy_Balances!C$157/([1]Energy_Balances!C$157+[1]Energy_Balances!C$72),0)*G666</f>
        <v>0</v>
      </c>
      <c r="H672" s="13">
        <f>IFERROR([1]Energy_Balances!D$157/([1]Energy_Balances!D$157+[1]Energy_Balances!D$72),0)*H666</f>
        <v>0</v>
      </c>
      <c r="I672" s="13">
        <f>IFERROR([1]Energy_Balances!E$157/([1]Energy_Balances!E$157+[1]Energy_Balances!E$72),0)*I666</f>
        <v>6.7001339420044199E-6</v>
      </c>
      <c r="J672" s="13">
        <f>IFERROR([1]Energy_Balances!F$157/([1]Energy_Balances!F$157+[1]Energy_Balances!F$72),0)*J666</f>
        <v>9.9200196734903469E-6</v>
      </c>
      <c r="K672" s="13">
        <f>IFERROR([1]Energy_Balances!G$157/([1]Energy_Balances!G$157+[1]Energy_Balances!G$72),0)*K666</f>
        <v>5.5508462778445093E-13</v>
      </c>
    </row>
    <row r="673" spans="1:11">
      <c r="A673" t="s">
        <v>5</v>
      </c>
      <c r="B673" t="str">
        <f t="shared" si="411"/>
        <v>SPS1</v>
      </c>
      <c r="C673" t="str">
        <f t="shared" si="412"/>
        <v>CH</v>
      </c>
      <c r="D673" t="s">
        <v>674</v>
      </c>
      <c r="E673" s="5" t="s">
        <v>8</v>
      </c>
      <c r="F673" s="13">
        <f>IFERROR([1]Energy_Balances!B$157/([1]Energy_Balances!B$157+[1]Energy_Balances!B$72),0)*F667</f>
        <v>0</v>
      </c>
      <c r="G673" s="13">
        <f>IFERROR([1]Energy_Balances!C$157/([1]Energy_Balances!C$157+[1]Energy_Balances!C$72),0)*G667</f>
        <v>0</v>
      </c>
      <c r="H673" s="13">
        <f>IFERROR([1]Energy_Balances!D$157/([1]Energy_Balances!D$157+[1]Energy_Balances!D$72),0)*H667</f>
        <v>0</v>
      </c>
      <c r="I673" s="13">
        <f>IFERROR([1]Energy_Balances!E$157/([1]Energy_Balances!E$157+[1]Energy_Balances!E$72),0)*I667</f>
        <v>0</v>
      </c>
      <c r="J673" s="13">
        <f>IFERROR([1]Energy_Balances!F$157/([1]Energy_Balances!F$157+[1]Energy_Balances!F$72),0)*J667</f>
        <v>4.5867834291809024E-11</v>
      </c>
      <c r="K673" s="13">
        <f>IFERROR([1]Energy_Balances!G$157/([1]Energy_Balances!G$157+[1]Energy_Balances!G$72),0)*K667</f>
        <v>1.1643683475157172E-5</v>
      </c>
    </row>
    <row r="674" spans="1:11">
      <c r="A674" t="s">
        <v>5</v>
      </c>
      <c r="B674" t="str">
        <f t="shared" ref="B674:B676" si="419">B673</f>
        <v>SPS1</v>
      </c>
      <c r="C674" t="str">
        <f t="shared" ref="C674:C676" si="420">C673</f>
        <v>CH</v>
      </c>
      <c r="D674" t="s">
        <v>951</v>
      </c>
      <c r="E674" s="5" t="s">
        <v>8</v>
      </c>
      <c r="F674" s="13">
        <f>SUM(F675:F676)</f>
        <v>0</v>
      </c>
      <c r="G674" s="13">
        <f t="shared" ref="G674:K674" si="421">SUM(G675:G676)</f>
        <v>0</v>
      </c>
      <c r="H674" s="13">
        <f t="shared" si="421"/>
        <v>0</v>
      </c>
      <c r="I674" s="13">
        <f t="shared" si="421"/>
        <v>0</v>
      </c>
      <c r="J674" s="13">
        <f t="shared" si="421"/>
        <v>0</v>
      </c>
      <c r="K674" s="13">
        <f t="shared" si="421"/>
        <v>5.9040691200646176</v>
      </c>
    </row>
    <row r="675" spans="1:11">
      <c r="A675" t="s">
        <v>5</v>
      </c>
      <c r="B675" t="str">
        <f t="shared" si="419"/>
        <v>SPS1</v>
      </c>
      <c r="C675" t="str">
        <f t="shared" si="420"/>
        <v>CH</v>
      </c>
      <c r="D675" t="s">
        <v>399</v>
      </c>
      <c r="E675" s="5" t="s">
        <v>8</v>
      </c>
      <c r="F675" s="13">
        <f>[1]Other_transformation!B31</f>
        <v>0</v>
      </c>
      <c r="G675" s="13">
        <f>[1]Other_transformation!C31</f>
        <v>0</v>
      </c>
      <c r="H675" s="13">
        <f>[1]Other_transformation!D31</f>
        <v>0</v>
      </c>
      <c r="I675" s="13">
        <f>[1]Other_transformation!E31</f>
        <v>0</v>
      </c>
      <c r="J675" s="13">
        <f>[1]Other_transformation!F31</f>
        <v>0</v>
      </c>
      <c r="K675" s="13">
        <f>[1]Other_transformation!G31</f>
        <v>1.7426008191989695E-7</v>
      </c>
    </row>
    <row r="676" spans="1:11">
      <c r="A676" t="s">
        <v>5</v>
      </c>
      <c r="B676" t="str">
        <f t="shared" si="419"/>
        <v>SPS1</v>
      </c>
      <c r="C676" t="str">
        <f t="shared" si="420"/>
        <v>CH</v>
      </c>
      <c r="D676" t="s">
        <v>400</v>
      </c>
      <c r="E676" s="5" t="s">
        <v>8</v>
      </c>
      <c r="F676" s="13">
        <f>[1]Other_transformation!B32</f>
        <v>0</v>
      </c>
      <c r="G676" s="13">
        <f>[1]Other_transformation!C32</f>
        <v>0</v>
      </c>
      <c r="H676" s="13">
        <f>[1]Other_transformation!D32</f>
        <v>0</v>
      </c>
      <c r="I676" s="13">
        <f>[1]Other_transformation!E32</f>
        <v>0</v>
      </c>
      <c r="J676" s="13">
        <f>[1]Other_transformation!F32</f>
        <v>0</v>
      </c>
      <c r="K676" s="13">
        <f>[1]Other_transformation!G32</f>
        <v>5.9040689458045357</v>
      </c>
    </row>
    <row r="677" spans="1:11">
      <c r="A677" t="s">
        <v>5</v>
      </c>
      <c r="B677" s="8" t="s">
        <v>6</v>
      </c>
      <c r="C677" s="8" t="s">
        <v>7</v>
      </c>
      <c r="D677" s="1" t="s">
        <v>411</v>
      </c>
      <c r="E677" s="8" t="s">
        <v>8</v>
      </c>
      <c r="F677" s="16">
        <f>SUM(F678,F682,F684,F693)</f>
        <v>5.9063089042642866E-3</v>
      </c>
      <c r="G677" s="16">
        <f t="shared" ref="G677:K677" si="422">SUM(G678,G682,G684,G693)</f>
        <v>4.2365767985240166E-2</v>
      </c>
      <c r="H677" s="16">
        <f t="shared" si="422"/>
        <v>4.155752266009205E-2</v>
      </c>
      <c r="I677" s="16">
        <f t="shared" si="422"/>
        <v>3.9749352578816151</v>
      </c>
      <c r="J677" s="16">
        <f t="shared" si="422"/>
        <v>13.709108105027692</v>
      </c>
      <c r="K677" s="16">
        <f t="shared" si="422"/>
        <v>31.850133279764229</v>
      </c>
    </row>
    <row r="678" spans="1:11">
      <c r="A678" t="s">
        <v>5</v>
      </c>
      <c r="B678" t="str">
        <f>B677</f>
        <v>SPS1</v>
      </c>
      <c r="C678" t="str">
        <f>C677</f>
        <v>CH</v>
      </c>
      <c r="D678" t="s">
        <v>952</v>
      </c>
      <c r="E678" s="5" t="s">
        <v>8</v>
      </c>
      <c r="F678" s="13">
        <f>SUM(F679:F681)</f>
        <v>5.9063089042642866E-3</v>
      </c>
      <c r="G678" s="13">
        <f t="shared" ref="G678:K678" si="423">SUM(G679:G681)</f>
        <v>4.2365767985240166E-2</v>
      </c>
      <c r="H678" s="13">
        <f t="shared" si="423"/>
        <v>4.155752266009205E-2</v>
      </c>
      <c r="I678" s="13">
        <f t="shared" si="423"/>
        <v>4.0275979592297319E-2</v>
      </c>
      <c r="J678" s="13">
        <f t="shared" si="423"/>
        <v>1.9271076284619124</v>
      </c>
      <c r="K678" s="13">
        <f t="shared" si="423"/>
        <v>8.1357962276604994</v>
      </c>
    </row>
    <row r="679" spans="1:11">
      <c r="A679" t="s">
        <v>5</v>
      </c>
      <c r="B679" t="str">
        <f t="shared" ref="B679:B695" si="424">B678</f>
        <v>SPS1</v>
      </c>
      <c r="C679" t="str">
        <f t="shared" ref="C679:C695" si="425">C678</f>
        <v>CH</v>
      </c>
      <c r="D679" t="s">
        <v>409</v>
      </c>
      <c r="E679" s="5" t="s">
        <v>8</v>
      </c>
      <c r="F679" s="13" cm="1">
        <f t="array" ref="F679">SUMPRODUCT(("SUP_ELCH2"=[1]OUT_SyntheticFuels!$C$4:$C$1000)*1,ISNUMBER(SEARCH("ELC",[1]OUT_SyntheticFuels!$A$4:$A$1000))*1,("Var_Fin"=[1]OUT_SyntheticFuels!$B$4:$B$1000)*1,[1]OUT_SyntheticFuels!E$4:E$1000)</f>
        <v>5.9063089042642866E-3</v>
      </c>
      <c r="G679" s="13" cm="1">
        <f t="array" ref="G679">SUMPRODUCT(("SUP_ELCH2"=[1]OUT_SyntheticFuels!$C$4:$C$1000)*1,ISNUMBER(SEARCH("ELC",[1]OUT_SyntheticFuels!$A$4:$A$1000))*1,("Var_Fin"=[1]OUT_SyntheticFuels!$B$4:$B$1000)*1,[1]OUT_SyntheticFuels!F$4:F$1000)</f>
        <v>4.2365767985240166E-2</v>
      </c>
      <c r="H679" s="13" cm="1">
        <f t="array" ref="H679">SUMPRODUCT(("SUP_ELCH2"=[1]OUT_SyntheticFuels!$C$4:$C$1000)*1,ISNUMBER(SEARCH("ELC",[1]OUT_SyntheticFuels!$A$4:$A$1000))*1,("Var_Fin"=[1]OUT_SyntheticFuels!$B$4:$B$1000)*1,[1]OUT_SyntheticFuels!G$4:G$1000)</f>
        <v>4.155752266009205E-2</v>
      </c>
      <c r="I679" s="13" cm="1">
        <f t="array" ref="I679">SUMPRODUCT(("SUP_ELCH2"=[1]OUT_SyntheticFuels!$C$4:$C$1000)*1,ISNUMBER(SEARCH("ELC",[1]OUT_SyntheticFuels!$A$4:$A$1000))*1,("Var_Fin"=[1]OUT_SyntheticFuels!$B$4:$B$1000)*1,[1]OUT_SyntheticFuels!H$4:H$1000)</f>
        <v>4.0274100896231985E-2</v>
      </c>
      <c r="J679" s="13" cm="1">
        <f t="array" ref="J679">SUMPRODUCT(("SUP_ELCH2"=[1]OUT_SyntheticFuels!$C$4:$C$1000)*1,ISNUMBER(SEARCH("ELC",[1]OUT_SyntheticFuels!$A$4:$A$1000))*1,("Var_Fin"=[1]OUT_SyntheticFuels!$B$4:$B$1000)*1,[1]OUT_SyntheticFuels!I$4:I$1000)</f>
        <v>1.9268016923416889</v>
      </c>
      <c r="K679" s="13" cm="1">
        <f t="array" ref="K679">SUMPRODUCT(("SUP_ELCH2"=[1]OUT_SyntheticFuels!$C$4:$C$1000)*1,ISNUMBER(SEARCH("ELC",[1]OUT_SyntheticFuels!$A$4:$A$1000))*1,("Var_Fin"=[1]OUT_SyntheticFuels!$B$4:$B$1000)*1,[1]OUT_SyntheticFuels!J$4:J$1000)</f>
        <v>8.1355498394070498</v>
      </c>
    </row>
    <row r="680" spans="1:11">
      <c r="A680" t="s">
        <v>5</v>
      </c>
      <c r="B680" t="str">
        <f t="shared" ref="B680" si="426">B679</f>
        <v>SPS1</v>
      </c>
      <c r="C680" t="str">
        <f t="shared" ref="C680" si="427">C679</f>
        <v>CH</v>
      </c>
      <c r="D680" t="s">
        <v>410</v>
      </c>
      <c r="E680" s="5" t="s">
        <v>8</v>
      </c>
      <c r="F680" s="13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3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3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3" cm="1">
        <f t="array" ref="I680">SUMPRODUCT(("SUP_ELCH2_D"=[1]OUT_SyntheticFuels!$C$4:$C$1000)*1,ISNUMBER(SEARCH("ELC",[1]OUT_SyntheticFuels!$A$4:$A$1000))*1,("Var_Fin"=[1]OUT_SyntheticFuels!$B$4:$B$1000)*1,[1]OUT_SyntheticFuels!H$4:H$1000)</f>
        <v>1.8786960653316722E-6</v>
      </c>
      <c r="J680" s="13" cm="1">
        <f t="array" ref="J680">SUMPRODUCT(("SUP_ELCH2_D"=[1]OUT_SyntheticFuels!$C$4:$C$1000)*1,ISNUMBER(SEARCH("ELC",[1]OUT_SyntheticFuels!$A$4:$A$1000))*1,("Var_Fin"=[1]OUT_SyntheticFuels!$B$4:$B$1000)*1,[1]OUT_SyntheticFuels!I$4:I$1000)</f>
        <v>1.9642088468459792E-4</v>
      </c>
      <c r="K680" s="13" cm="1">
        <f t="array" ref="K680">SUMPRODUCT(("SUP_ELCH2_D"=[1]OUT_SyntheticFuels!$C$4:$C$1000)*1,ISNUMBER(SEARCH("ELC",[1]OUT_SyntheticFuels!$A$4:$A$1000))*1,("Var_Fin"=[1]OUT_SyntheticFuels!$B$4:$B$1000)*1,[1]OUT_SyntheticFuels!J$4:J$1000)</f>
        <v>1.9743723054029997E-4</v>
      </c>
    </row>
    <row r="681" spans="1:11">
      <c r="A681" t="s">
        <v>5</v>
      </c>
      <c r="B681" t="str">
        <f>B679</f>
        <v>SPS1</v>
      </c>
      <c r="C681" t="str">
        <f>C679</f>
        <v>CH</v>
      </c>
      <c r="D681" t="s">
        <v>401</v>
      </c>
      <c r="E681" s="5" t="s">
        <v>8</v>
      </c>
      <c r="F681" s="13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3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3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3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3" cm="1">
        <f t="array" ref="J681">SUMPRODUCT(("SUP_ELCH2_SOEC"=[1]OUT_SyntheticFuels!$C$4:$C$1000)*1,ISNUMBER(SEARCH("ELC",[1]OUT_SyntheticFuels!$A$4:$A$1000))*1,("Var_Fin"=[1]OUT_SyntheticFuels!$B$4:$B$1000)*1,[1]OUT_SyntheticFuels!I$4:I$1000)</f>
        <v>1.095152355390299E-4</v>
      </c>
      <c r="K681" s="13" cm="1">
        <f t="array" ref="K681">SUMPRODUCT(("SUP_ELCH2_SOEC"=[1]OUT_SyntheticFuels!$C$4:$C$1000)*1,ISNUMBER(SEARCH("ELC",[1]OUT_SyntheticFuels!$A$4:$A$1000))*1,("Var_Fin"=[1]OUT_SyntheticFuels!$B$4:$B$1000)*1,[1]OUT_SyntheticFuels!J$4:J$1000)</f>
        <v>4.8951022909275049E-5</v>
      </c>
    </row>
    <row r="682" spans="1:11">
      <c r="A682" t="s">
        <v>5</v>
      </c>
      <c r="B682" t="str">
        <f t="shared" ref="B682:B683" si="428">B681</f>
        <v>SPS1</v>
      </c>
      <c r="C682" t="str">
        <f t="shared" ref="C682:C683" si="429">C681</f>
        <v>CH</v>
      </c>
      <c r="D682" t="s">
        <v>953</v>
      </c>
      <c r="E682" s="5" t="s">
        <v>8</v>
      </c>
      <c r="F682" s="13">
        <f>F683</f>
        <v>0</v>
      </c>
      <c r="G682" s="13">
        <f t="shared" ref="G682:K682" si="430">G683</f>
        <v>0</v>
      </c>
      <c r="H682" s="13">
        <f t="shared" si="430"/>
        <v>0</v>
      </c>
      <c r="I682" s="13">
        <f t="shared" si="430"/>
        <v>0</v>
      </c>
      <c r="J682" s="13">
        <f t="shared" si="430"/>
        <v>1.6364345540314817E-5</v>
      </c>
      <c r="K682" s="13">
        <f t="shared" si="430"/>
        <v>5.4390025454749993E-6</v>
      </c>
    </row>
    <row r="683" spans="1:11">
      <c r="A683" t="s">
        <v>5</v>
      </c>
      <c r="B683" t="str">
        <f t="shared" si="428"/>
        <v>SPS1</v>
      </c>
      <c r="C683" t="str">
        <f t="shared" si="429"/>
        <v>CH</v>
      </c>
      <c r="D683" t="s">
        <v>406</v>
      </c>
      <c r="E683" s="5" t="s">
        <v>8</v>
      </c>
      <c r="F683" s="13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3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3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3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3" cm="1">
        <f t="array" ref="J683">SUMPRODUCT(("SUP_ELCH2_SOEC"=[1]OUT_SyntheticFuels!$C$4:$C$1000)*1,ISNUMBER(SEARCH("CHEAT",[1]OUT_SyntheticFuels!$A$4:$A$1000))*1,("Var_Fin"=[1]OUT_SyntheticFuels!$B$4:$B$1000)*1,[1]OUT_SyntheticFuels!I$4:I$1000)</f>
        <v>1.6364345540314817E-5</v>
      </c>
      <c r="K683" s="13" cm="1">
        <f t="array" ref="K683">SUMPRODUCT(("SUP_ELCH2_SOEC"=[1]OUT_SyntheticFuels!$C$4:$C$1000)*1,ISNUMBER(SEARCH("CHEAT",[1]OUT_SyntheticFuels!$A$4:$A$1000))*1,("Var_Fin"=[1]OUT_SyntheticFuels!$B$4:$B$1000)*1,[1]OUT_SyntheticFuels!J$4:J$1000)</f>
        <v>5.4390025454749993E-6</v>
      </c>
    </row>
    <row r="684" spans="1:11">
      <c r="A684" t="s">
        <v>5</v>
      </c>
      <c r="B684" t="str">
        <f>B681</f>
        <v>SPS1</v>
      </c>
      <c r="C684" t="str">
        <f>C681</f>
        <v>CH</v>
      </c>
      <c r="D684" t="s">
        <v>954</v>
      </c>
      <c r="E684" s="5" t="s">
        <v>8</v>
      </c>
      <c r="F684" s="13">
        <f>SUM(F685:F686)</f>
        <v>0</v>
      </c>
      <c r="G684" s="13">
        <f t="shared" ref="G684:K684" si="431">SUM(G685:G686)</f>
        <v>0</v>
      </c>
      <c r="H684" s="13">
        <f t="shared" si="431"/>
        <v>0</v>
      </c>
      <c r="I684" s="13">
        <f t="shared" si="431"/>
        <v>3.9346592782893177</v>
      </c>
      <c r="J684" s="13">
        <f t="shared" si="431"/>
        <v>11.78198411222024</v>
      </c>
      <c r="K684" s="13">
        <f t="shared" si="431"/>
        <v>13.534902105763331</v>
      </c>
    </row>
    <row r="685" spans="1:11">
      <c r="A685" t="s">
        <v>5</v>
      </c>
      <c r="B685" t="str">
        <f t="shared" si="424"/>
        <v>SPS1</v>
      </c>
      <c r="C685" t="str">
        <f t="shared" si="425"/>
        <v>CH</v>
      </c>
      <c r="D685" t="s">
        <v>402</v>
      </c>
      <c r="E685" s="5" t="s">
        <v>8</v>
      </c>
      <c r="F685" s="13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3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3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3" cm="1">
        <f t="array" ref="I685">SUMPRODUCT(("SUP_ngaH2"=[1]OUT_SyntheticFuels!$C$4:$C$1000)*1,ISNUMBER(SEARCH("nga",[1]OUT_SyntheticFuels!$A$4:$A$1000))*1,("Var_Fin"=[1]OUT_SyntheticFuels!$B$4:$B$1000)*1,[1]OUT_SyntheticFuels!H$4:H$1000)</f>
        <v>3.9346592782893177</v>
      </c>
      <c r="J685" s="13" cm="1">
        <f t="array" ref="J685">SUMPRODUCT(("SUP_ngaH2"=[1]OUT_SyntheticFuels!$C$4:$C$1000)*1,ISNUMBER(SEARCH("nga",[1]OUT_SyntheticFuels!$A$4:$A$1000))*1,("Var_Fin"=[1]OUT_SyntheticFuels!$B$4:$B$1000)*1,[1]OUT_SyntheticFuels!I$4:I$1000)</f>
        <v>11.781924108742286</v>
      </c>
      <c r="K685" s="13" cm="1">
        <f t="array" ref="K685">SUMPRODUCT(("SUP_ngaH2"=[1]OUT_SyntheticFuels!$C$4:$C$1000)*1,ISNUMBER(SEARCH("nga",[1]OUT_SyntheticFuels!$A$4:$A$1000))*1,("Var_Fin"=[1]OUT_SyntheticFuels!$B$4:$B$1000)*1,[1]OUT_SyntheticFuels!J$4:J$1000)</f>
        <v>1.9032482080424116E-6</v>
      </c>
    </row>
    <row r="686" spans="1:11">
      <c r="A686" t="s">
        <v>5</v>
      </c>
      <c r="B686" t="str">
        <f t="shared" si="424"/>
        <v>SPS1</v>
      </c>
      <c r="C686" t="str">
        <f t="shared" si="425"/>
        <v>CH</v>
      </c>
      <c r="D686" t="s">
        <v>403</v>
      </c>
      <c r="E686" s="5" t="s">
        <v>8</v>
      </c>
      <c r="F686" s="13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3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3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3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3" cm="1">
        <f t="array" ref="J686">SUMPRODUCT(("SUP_ngaH2ccs"=[1]OUT_SyntheticFuels!$C$4:$C$1000)*1,ISNUMBER(SEARCH("nga",[1]OUT_SyntheticFuels!$A$4:$A$1000))*1,("Var_Fin"=[1]OUT_SyntheticFuels!$B$4:$B$1000)*1,[1]OUT_SyntheticFuels!I$4:I$1000)</f>
        <v>6.0003477952711203E-5</v>
      </c>
      <c r="K686" s="13" cm="1">
        <f t="array" ref="K686">SUMPRODUCT(("SUP_ngaH2ccs"=[1]OUT_SyntheticFuels!$C$4:$C$1000)*1,ISNUMBER(SEARCH("nga",[1]OUT_SyntheticFuels!$A$4:$A$1000))*1,("Var_Fin"=[1]OUT_SyntheticFuels!$B$4:$B$1000)*1,[1]OUT_SyntheticFuels!J$4:J$1000)</f>
        <v>13.534900202515123</v>
      </c>
    </row>
    <row r="687" spans="1:11">
      <c r="A687" t="s">
        <v>5</v>
      </c>
      <c r="B687" t="str">
        <f t="shared" si="424"/>
        <v>SPS1</v>
      </c>
      <c r="C687" t="str">
        <f t="shared" si="425"/>
        <v>CH</v>
      </c>
      <c r="D687" t="s">
        <v>955</v>
      </c>
      <c r="E687" s="5" t="s">
        <v>8</v>
      </c>
      <c r="F687" s="13">
        <f>F684-F690</f>
        <v>0</v>
      </c>
      <c r="G687" s="13">
        <f t="shared" ref="G687:K687" si="432">G684-G690</f>
        <v>0</v>
      </c>
      <c r="H687" s="13">
        <f t="shared" si="432"/>
        <v>0</v>
      </c>
      <c r="I687" s="13">
        <f t="shared" si="432"/>
        <v>3.9346504623236047</v>
      </c>
      <c r="J687" s="13">
        <f t="shared" si="432"/>
        <v>11.7819710594963</v>
      </c>
      <c r="K687" s="13">
        <f t="shared" si="432"/>
        <v>13.534885230857371</v>
      </c>
    </row>
    <row r="688" spans="1:11">
      <c r="A688" t="s">
        <v>5</v>
      </c>
      <c r="B688" t="str">
        <f t="shared" si="424"/>
        <v>SPS1</v>
      </c>
      <c r="C688" t="str">
        <f t="shared" si="425"/>
        <v>CH</v>
      </c>
      <c r="D688" t="s">
        <v>614</v>
      </c>
      <c r="E688" s="5" t="s">
        <v>8</v>
      </c>
      <c r="F688" s="13">
        <f t="shared" ref="F688:K688" si="433">F685-F691</f>
        <v>0</v>
      </c>
      <c r="G688" s="13">
        <f t="shared" si="433"/>
        <v>0</v>
      </c>
      <c r="H688" s="13">
        <f t="shared" si="433"/>
        <v>0</v>
      </c>
      <c r="I688" s="13">
        <f t="shared" si="433"/>
        <v>3.9346504623236047</v>
      </c>
      <c r="J688" s="13">
        <f t="shared" si="433"/>
        <v>11.781911056084821</v>
      </c>
      <c r="K688" s="13">
        <f t="shared" si="433"/>
        <v>1.903245835130197E-6</v>
      </c>
    </row>
    <row r="689" spans="1:11">
      <c r="A689" t="s">
        <v>5</v>
      </c>
      <c r="B689" t="str">
        <f t="shared" si="424"/>
        <v>SPS1</v>
      </c>
      <c r="C689" t="str">
        <f t="shared" si="425"/>
        <v>CH</v>
      </c>
      <c r="D689" t="s">
        <v>615</v>
      </c>
      <c r="E689" s="5" t="s">
        <v>8</v>
      </c>
      <c r="F689" s="13">
        <f t="shared" ref="F689:K689" si="434">F686-F692</f>
        <v>0</v>
      </c>
      <c r="G689" s="13">
        <f t="shared" si="434"/>
        <v>0</v>
      </c>
      <c r="H689" s="13">
        <f t="shared" si="434"/>
        <v>0</v>
      </c>
      <c r="I689" s="13">
        <f t="shared" si="434"/>
        <v>0</v>
      </c>
      <c r="J689" s="13">
        <f t="shared" si="434"/>
        <v>6.0003411477589043E-5</v>
      </c>
      <c r="K689" s="13">
        <f t="shared" si="434"/>
        <v>13.534883327611537</v>
      </c>
    </row>
    <row r="690" spans="1:11">
      <c r="A690" t="s">
        <v>5</v>
      </c>
      <c r="B690" t="str">
        <f t="shared" si="424"/>
        <v>SPS1</v>
      </c>
      <c r="C690" t="str">
        <f t="shared" si="425"/>
        <v>CH</v>
      </c>
      <c r="D690" t="s">
        <v>956</v>
      </c>
      <c r="E690" s="5" t="s">
        <v>8</v>
      </c>
      <c r="F690" s="13">
        <f>SUM(F691:F692)</f>
        <v>0</v>
      </c>
      <c r="G690" s="13">
        <f t="shared" ref="G690:K690" si="435">SUM(G691:G692)</f>
        <v>0</v>
      </c>
      <c r="H690" s="13">
        <f t="shared" si="435"/>
        <v>0</v>
      </c>
      <c r="I690" s="13">
        <f t="shared" si="435"/>
        <v>8.8159657131637209E-6</v>
      </c>
      <c r="J690" s="13">
        <f t="shared" si="435"/>
        <v>1.3052723940241035E-5</v>
      </c>
      <c r="K690" s="13">
        <f t="shared" si="435"/>
        <v>1.6874905960096538E-5</v>
      </c>
    </row>
    <row r="691" spans="1:11">
      <c r="A691" t="s">
        <v>5</v>
      </c>
      <c r="B691" t="str">
        <f t="shared" si="424"/>
        <v>SPS1</v>
      </c>
      <c r="C691" t="str">
        <f t="shared" si="425"/>
        <v>CH</v>
      </c>
      <c r="D691" t="s">
        <v>675</v>
      </c>
      <c r="E691" s="5" t="s">
        <v>8</v>
      </c>
      <c r="F691" s="13">
        <f>IFERROR(F672/F666,0)*F685</f>
        <v>0</v>
      </c>
      <c r="G691" s="13">
        <f t="shared" ref="G691:K692" si="436">IFERROR(G672/G666,0)*G685</f>
        <v>0</v>
      </c>
      <c r="H691" s="13">
        <f t="shared" si="436"/>
        <v>0</v>
      </c>
      <c r="I691" s="13">
        <f t="shared" si="436"/>
        <v>8.8159657131637209E-6</v>
      </c>
      <c r="J691" s="13">
        <f t="shared" si="436"/>
        <v>1.3052657465118873E-5</v>
      </c>
      <c r="K691" s="13">
        <f t="shared" si="436"/>
        <v>2.3729122145450961E-12</v>
      </c>
    </row>
    <row r="692" spans="1:11">
      <c r="A692" t="s">
        <v>5</v>
      </c>
      <c r="B692" t="str">
        <f t="shared" si="424"/>
        <v>SPS1</v>
      </c>
      <c r="C692" t="str">
        <f t="shared" si="425"/>
        <v>CH</v>
      </c>
      <c r="D692" t="s">
        <v>676</v>
      </c>
      <c r="E692" s="5" t="s">
        <v>8</v>
      </c>
      <c r="F692" s="13">
        <f>IFERROR(F673/F667,0)*F686</f>
        <v>0</v>
      </c>
      <c r="G692" s="13">
        <f t="shared" si="436"/>
        <v>0</v>
      </c>
      <c r="H692" s="13">
        <f t="shared" si="436"/>
        <v>0</v>
      </c>
      <c r="I692" s="13">
        <f t="shared" si="436"/>
        <v>0</v>
      </c>
      <c r="J692" s="13">
        <f t="shared" si="436"/>
        <v>6.6475122162042034E-11</v>
      </c>
      <c r="K692" s="13">
        <f t="shared" si="436"/>
        <v>1.6874903587184325E-5</v>
      </c>
    </row>
    <row r="693" spans="1:11">
      <c r="A693" t="s">
        <v>5</v>
      </c>
      <c r="B693" t="str">
        <f t="shared" si="424"/>
        <v>SPS1</v>
      </c>
      <c r="C693" t="str">
        <f t="shared" si="425"/>
        <v>CH</v>
      </c>
      <c r="D693" t="s">
        <v>957</v>
      </c>
      <c r="E693" s="5" t="s">
        <v>8</v>
      </c>
      <c r="F693" s="13">
        <f>SUM(F694:F695)</f>
        <v>0</v>
      </c>
      <c r="G693" s="13">
        <f t="shared" ref="G693:K693" si="437">SUM(G694:G695)</f>
        <v>0</v>
      </c>
      <c r="H693" s="13">
        <f t="shared" si="437"/>
        <v>0</v>
      </c>
      <c r="I693" s="13">
        <f t="shared" si="437"/>
        <v>0</v>
      </c>
      <c r="J693" s="13">
        <f t="shared" si="437"/>
        <v>0</v>
      </c>
      <c r="K693" s="13">
        <f t="shared" si="437"/>
        <v>10.179429507337852</v>
      </c>
    </row>
    <row r="694" spans="1:11">
      <c r="A694" t="s">
        <v>5</v>
      </c>
      <c r="B694" t="str">
        <f t="shared" si="424"/>
        <v>SPS1</v>
      </c>
      <c r="C694" t="str">
        <f t="shared" si="425"/>
        <v>CH</v>
      </c>
      <c r="D694" t="s">
        <v>404</v>
      </c>
      <c r="E694" s="5" t="s">
        <v>8</v>
      </c>
      <c r="F694" s="13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3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3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3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3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3" cm="1">
        <f t="array" ref="K694">SUMPRODUCT(("SUP_wodH2"=[1]OUT_SyntheticFuels!$C$4:$C$1000)*1,ISNUMBER(SEARCH("wod",[1]OUT_SyntheticFuels!$A$4:$A$1000))*1,("Var_Fin"=[1]OUT_SyntheticFuels!$B$4:$B$1000)*1,[1]OUT_SyntheticFuels!J$4:J$1000)</f>
        <v>2.9043347019943584E-7</v>
      </c>
    </row>
    <row r="695" spans="1:11">
      <c r="A695" t="s">
        <v>5</v>
      </c>
      <c r="B695" t="str">
        <f t="shared" si="424"/>
        <v>SPS1</v>
      </c>
      <c r="C695" t="str">
        <f t="shared" si="425"/>
        <v>CH</v>
      </c>
      <c r="D695" t="s">
        <v>405</v>
      </c>
      <c r="E695" s="5" t="s">
        <v>8</v>
      </c>
      <c r="F695" s="13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3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3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3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3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3" cm="1">
        <f t="array" ref="K695">SUMPRODUCT(("SUP_wodH2ccs"=[1]OUT_SyntheticFuels!$C$4:$C$1000)*1,ISNUMBER(SEARCH("wod",[1]OUT_SyntheticFuels!$A$4:$A$1000))*1,("Var_Fin"=[1]OUT_SyntheticFuels!$B$4:$B$1000)*1,[1]OUT_SyntheticFuels!J$4:J$1000)</f>
        <v>10.179429216904381</v>
      </c>
    </row>
    <row r="696" spans="1:11">
      <c r="A696" t="s">
        <v>5</v>
      </c>
      <c r="B696" s="8" t="s">
        <v>6</v>
      </c>
      <c r="C696" s="8" t="s">
        <v>7</v>
      </c>
      <c r="D696" s="1" t="s">
        <v>413</v>
      </c>
      <c r="E696" s="8" t="s">
        <v>242</v>
      </c>
      <c r="F696" s="21" t="s">
        <v>295</v>
      </c>
      <c r="G696" s="21" t="s">
        <v>295</v>
      </c>
      <c r="H696" s="21" t="s">
        <v>295</v>
      </c>
      <c r="I696" s="21" t="s">
        <v>295</v>
      </c>
      <c r="J696" s="21" t="s">
        <v>295</v>
      </c>
      <c r="K696" s="21" t="s">
        <v>295</v>
      </c>
    </row>
    <row r="697" spans="1:11">
      <c r="A697" t="s">
        <v>5</v>
      </c>
      <c r="B697" t="str">
        <f>B696</f>
        <v>SPS1</v>
      </c>
      <c r="C697" t="str">
        <f t="shared" ref="C697:C703" si="438">C696</f>
        <v>CH</v>
      </c>
      <c r="D697" t="s">
        <v>414</v>
      </c>
      <c r="E697" s="5" t="s">
        <v>242</v>
      </c>
      <c r="F697" s="21">
        <f>IFERROR(F662/F679,"-")</f>
        <v>0.68499999999999994</v>
      </c>
      <c r="G697" s="21">
        <f t="shared" ref="G697:K697" si="439">IFERROR(G662/G679,"-")</f>
        <v>0.69399999999999984</v>
      </c>
      <c r="H697" s="21">
        <f t="shared" si="439"/>
        <v>0.70749999999999968</v>
      </c>
      <c r="I697" s="21">
        <f t="shared" si="439"/>
        <v>0.72999999999999954</v>
      </c>
      <c r="J697" s="21">
        <f t="shared" si="439"/>
        <v>0.77499999999999847</v>
      </c>
      <c r="K697" s="21">
        <f t="shared" si="439"/>
        <v>0.82000000000000006</v>
      </c>
    </row>
    <row r="698" spans="1:11">
      <c r="A698" t="s">
        <v>5</v>
      </c>
      <c r="B698" t="str">
        <f t="shared" ref="B698:B703" si="440">B697</f>
        <v>SPS1</v>
      </c>
      <c r="C698" t="str">
        <f t="shared" si="438"/>
        <v>CH</v>
      </c>
      <c r="D698" t="s">
        <v>415</v>
      </c>
      <c r="E698" s="5" t="s">
        <v>242</v>
      </c>
      <c r="F698" s="21" t="str">
        <f>IFERROR(F663/F680,"-")</f>
        <v>-</v>
      </c>
      <c r="G698" s="21" t="str">
        <f t="shared" ref="G698:K698" si="441">IFERROR(G663/G680,"-")</f>
        <v>-</v>
      </c>
      <c r="H698" s="21" t="str">
        <f t="shared" si="441"/>
        <v>-</v>
      </c>
      <c r="I698" s="21">
        <f t="shared" si="441"/>
        <v>0.73</v>
      </c>
      <c r="J698" s="21">
        <f t="shared" si="441"/>
        <v>0.77499999999999936</v>
      </c>
      <c r="K698" s="21">
        <f t="shared" si="441"/>
        <v>0.82000000000000062</v>
      </c>
    </row>
    <row r="699" spans="1:11">
      <c r="A699" t="s">
        <v>5</v>
      </c>
      <c r="B699" t="str">
        <f t="shared" si="440"/>
        <v>SPS1</v>
      </c>
      <c r="C699" t="str">
        <f t="shared" si="438"/>
        <v>CH</v>
      </c>
      <c r="D699" t="s">
        <v>416</v>
      </c>
      <c r="E699" s="5" t="s">
        <v>242</v>
      </c>
      <c r="F699" s="21" t="str">
        <f>IFERROR(F664/SUM(F681,F683),"-")</f>
        <v>-</v>
      </c>
      <c r="G699" s="21" t="str">
        <f t="shared" ref="G699:K699" si="442">IFERROR(G664/SUM(G681,G683),"-")</f>
        <v>-</v>
      </c>
      <c r="H699" s="21" t="str">
        <f t="shared" si="442"/>
        <v>-</v>
      </c>
      <c r="I699" s="21" t="str">
        <f t="shared" si="442"/>
        <v>-</v>
      </c>
      <c r="J699" s="21">
        <f t="shared" si="442"/>
        <v>0.87</v>
      </c>
      <c r="K699" s="21">
        <f t="shared" si="442"/>
        <v>0.90000000000000013</v>
      </c>
    </row>
    <row r="700" spans="1:11">
      <c r="A700" t="s">
        <v>5</v>
      </c>
      <c r="B700" t="str">
        <f t="shared" si="440"/>
        <v>SPS1</v>
      </c>
      <c r="C700" t="str">
        <f t="shared" si="438"/>
        <v>CH</v>
      </c>
      <c r="D700" t="s">
        <v>417</v>
      </c>
      <c r="E700" s="5" t="s">
        <v>242</v>
      </c>
      <c r="F700" s="21" t="str">
        <f>IFERROR(F666/F685,"-")</f>
        <v>-</v>
      </c>
      <c r="G700" s="21" t="str">
        <f t="shared" ref="G700:K701" si="443">IFERROR(G666/G685,"-")</f>
        <v>-</v>
      </c>
      <c r="H700" s="21" t="str">
        <f t="shared" si="443"/>
        <v>-</v>
      </c>
      <c r="I700" s="21">
        <f t="shared" si="443"/>
        <v>0.75999999999999912</v>
      </c>
      <c r="J700" s="21">
        <f t="shared" si="443"/>
        <v>0.76000000000000023</v>
      </c>
      <c r="K700" s="21">
        <f t="shared" si="443"/>
        <v>0.23392547957820875</v>
      </c>
    </row>
    <row r="701" spans="1:11">
      <c r="A701" t="s">
        <v>5</v>
      </c>
      <c r="B701" t="str">
        <f t="shared" si="440"/>
        <v>SPS1</v>
      </c>
      <c r="C701" t="str">
        <f t="shared" si="438"/>
        <v>CH</v>
      </c>
      <c r="D701" t="s">
        <v>418</v>
      </c>
      <c r="E701" s="5" t="s">
        <v>242</v>
      </c>
      <c r="F701" s="21" t="str">
        <f>IFERROR(F667/F686,"-")</f>
        <v>-</v>
      </c>
      <c r="G701" s="21" t="str">
        <f t="shared" si="443"/>
        <v>-</v>
      </c>
      <c r="H701" s="21" t="str">
        <f t="shared" si="443"/>
        <v>-</v>
      </c>
      <c r="I701" s="21" t="str">
        <f t="shared" si="443"/>
        <v>-</v>
      </c>
      <c r="J701" s="21">
        <f t="shared" si="443"/>
        <v>0.69000000000000039</v>
      </c>
      <c r="K701" s="21">
        <f t="shared" si="443"/>
        <v>0.68999999999999928</v>
      </c>
    </row>
    <row r="702" spans="1:11">
      <c r="A702" t="s">
        <v>5</v>
      </c>
      <c r="B702" t="str">
        <f>B701</f>
        <v>SPS1</v>
      </c>
      <c r="C702" t="str">
        <f>C701</f>
        <v>CH</v>
      </c>
      <c r="D702" t="s">
        <v>419</v>
      </c>
      <c r="E702" s="5" t="s">
        <v>242</v>
      </c>
      <c r="F702" s="21" t="str">
        <f>IFERROR(F675/F694,"-")</f>
        <v>-</v>
      </c>
      <c r="G702" s="21" t="str">
        <f t="shared" ref="G702:K703" si="444">IFERROR(G675/G694,"-")</f>
        <v>-</v>
      </c>
      <c r="H702" s="21" t="str">
        <f t="shared" si="444"/>
        <v>-</v>
      </c>
      <c r="I702" s="21" t="str">
        <f t="shared" si="444"/>
        <v>-</v>
      </c>
      <c r="J702" s="21" t="str">
        <f t="shared" si="444"/>
        <v>-</v>
      </c>
      <c r="K702" s="21">
        <f t="shared" si="444"/>
        <v>0.59999999931218484</v>
      </c>
    </row>
    <row r="703" spans="1:11">
      <c r="A703" t="s">
        <v>5</v>
      </c>
      <c r="B703" t="str">
        <f t="shared" si="440"/>
        <v>SPS1</v>
      </c>
      <c r="C703" t="str">
        <f t="shared" si="438"/>
        <v>CH</v>
      </c>
      <c r="D703" t="s">
        <v>420</v>
      </c>
      <c r="E703" s="5" t="s">
        <v>242</v>
      </c>
      <c r="F703" s="21" t="str">
        <f>IFERROR(F676/F695,"-")</f>
        <v>-</v>
      </c>
      <c r="G703" s="21" t="str">
        <f t="shared" si="444"/>
        <v>-</v>
      </c>
      <c r="H703" s="21" t="str">
        <f t="shared" si="444"/>
        <v>-</v>
      </c>
      <c r="I703" s="21" t="str">
        <f t="shared" si="444"/>
        <v>-</v>
      </c>
      <c r="J703" s="21" t="str">
        <f t="shared" si="444"/>
        <v>-</v>
      </c>
      <c r="K703" s="21">
        <f t="shared" si="444"/>
        <v>0.5799999999999994</v>
      </c>
    </row>
    <row r="704" spans="1:11">
      <c r="A704" t="s">
        <v>5</v>
      </c>
      <c r="B704" s="8" t="s">
        <v>6</v>
      </c>
      <c r="C704" s="8" t="s">
        <v>7</v>
      </c>
      <c r="D704" s="1" t="s">
        <v>429</v>
      </c>
      <c r="E704" s="8" t="s">
        <v>8</v>
      </c>
      <c r="F704" s="13">
        <f>[1]Other_transformation!B$39</f>
        <v>1.1764706341947189</v>
      </c>
      <c r="G704" s="13">
        <f>[1]Other_transformation!C$39</f>
        <v>5.2926466924452811</v>
      </c>
      <c r="H704" s="13">
        <f>[1]Other_transformation!D$39</f>
        <v>4.9220189355994028</v>
      </c>
      <c r="I704" s="13">
        <f>[1]Other_transformation!E$39</f>
        <v>4.3043571244421583</v>
      </c>
      <c r="J704" s="13">
        <f>[1]Other_transformation!F$39</f>
        <v>4.3043653805147857</v>
      </c>
      <c r="K704" s="13">
        <f>[1]Other_transformation!G$39</f>
        <v>4.3428548416204498</v>
      </c>
    </row>
    <row r="705" spans="1:11">
      <c r="A705" t="s">
        <v>5</v>
      </c>
      <c r="B705" s="8" t="s">
        <v>6</v>
      </c>
      <c r="C705" s="8" t="s">
        <v>7</v>
      </c>
      <c r="D705" s="1" t="s">
        <v>430</v>
      </c>
      <c r="E705" s="8" t="s">
        <v>8</v>
      </c>
      <c r="F705" s="13">
        <f>[1]Other_transformation!B$38</f>
        <v>1.2890702096719113</v>
      </c>
      <c r="G705" s="13">
        <f>[1]Other_transformation!C$38</f>
        <v>5.7992039777684523</v>
      </c>
      <c r="H705" s="13">
        <f>[1]Other_transformation!D$38</f>
        <v>5.3931035734395536</v>
      </c>
      <c r="I705" s="13">
        <f>[1]Other_transformation!E$38</f>
        <v>4.7163255755256488</v>
      </c>
      <c r="J705" s="13">
        <f>[1]Other_transformation!F$38</f>
        <v>4.7163346217839823</v>
      </c>
      <c r="K705" s="13">
        <f>[1]Other_transformation!G$38</f>
        <v>4.7585078951794388</v>
      </c>
    </row>
    <row r="706" spans="1:11">
      <c r="A706" t="s">
        <v>5</v>
      </c>
      <c r="B706" s="8" t="s">
        <v>6</v>
      </c>
      <c r="C706" s="8" t="s">
        <v>7</v>
      </c>
      <c r="D706" s="1" t="s">
        <v>431</v>
      </c>
      <c r="E706" s="8" t="s">
        <v>8</v>
      </c>
      <c r="F706" s="22">
        <f t="shared" ref="F706:K706" si="445">F704/F705</f>
        <v>0.91265054871925799</v>
      </c>
      <c r="G706" s="22">
        <f t="shared" si="445"/>
        <v>0.91265054871925788</v>
      </c>
      <c r="H706" s="22">
        <f t="shared" si="445"/>
        <v>0.91265054871925855</v>
      </c>
      <c r="I706" s="22">
        <f t="shared" si="445"/>
        <v>0.91265054871925899</v>
      </c>
      <c r="J706" s="22">
        <f t="shared" si="445"/>
        <v>0.91265054871925799</v>
      </c>
      <c r="K706" s="22">
        <f t="shared" si="445"/>
        <v>0.91265054871926088</v>
      </c>
    </row>
    <row r="707" spans="1:11">
      <c r="A707" t="s">
        <v>5</v>
      </c>
      <c r="B707" s="8" t="s">
        <v>6</v>
      </c>
      <c r="C707" s="8" t="str">
        <f t="shared" ref="C707:C711" si="446">C701</f>
        <v>CH</v>
      </c>
      <c r="D707" s="1" t="s">
        <v>479</v>
      </c>
      <c r="E707" s="8" t="s">
        <v>8</v>
      </c>
      <c r="F707" s="22" cm="1">
        <f t="array" ref="F707">SUMPRODUCT(("CT_CWODPLT"=[1]OUT_SyntheticFuels!$C$4:$C$1000)*1,("Var_Fout"=[1]OUT_SyntheticFuels!$B$4:$B$1000)*1,[1]OUT_SyntheticFuels!E$4:E$1000)</f>
        <v>5.9796219480736941</v>
      </c>
      <c r="G707" s="22" cm="1">
        <f t="array" ref="G707">SUMPRODUCT(("CT_CWODPLT"=[1]OUT_SyntheticFuels!$C$4:$C$1000)*1,("Var_Fout"=[1]OUT_SyntheticFuels!$B$4:$B$1000)*1,[1]OUT_SyntheticFuels!F$4:F$1000)</f>
        <v>6.9696446270000694</v>
      </c>
      <c r="H707" s="22" cm="1">
        <f t="array" ref="H707">SUMPRODUCT(("CT_CWODPLT"=[1]OUT_SyntheticFuels!$C$4:$C$1000)*1,("Var_Fout"=[1]OUT_SyntheticFuels!$B$4:$B$1000)*1,[1]OUT_SyntheticFuels!G$4:G$1000)</f>
        <v>6.8665346020753946</v>
      </c>
      <c r="I707" s="22" cm="1">
        <f t="array" ref="I707">SUMPRODUCT(("CT_CWODPLT"=[1]OUT_SyntheticFuels!$C$4:$C$1000)*1,("Var_Fout"=[1]OUT_SyntheticFuels!$B$4:$B$1000)*1,[1]OUT_SyntheticFuels!H$4:H$1000)</f>
        <v>7.0899387916590966</v>
      </c>
      <c r="J707" s="22" cm="1">
        <f t="array" ref="J707">SUMPRODUCT(("CT_CWODPLT"=[1]OUT_SyntheticFuels!$C$4:$C$1000)*1,("Var_Fout"=[1]OUT_SyntheticFuels!$B$4:$B$1000)*1,[1]OUT_SyntheticFuels!I$4:I$1000)</f>
        <v>7.8210251507812254</v>
      </c>
      <c r="K707" s="22" cm="1">
        <f t="array" ref="K707">SUMPRODUCT(("CT_CWODPLT"=[1]OUT_SyntheticFuels!$C$4:$C$1000)*1,("Var_Fout"=[1]OUT_SyntheticFuels!$B$4:$B$1000)*1,[1]OUT_SyntheticFuels!J$4:J$1000)</f>
        <v>7.46002773743548</v>
      </c>
    </row>
    <row r="708" spans="1:11">
      <c r="A708" t="s">
        <v>5</v>
      </c>
      <c r="B708" s="5" t="str">
        <f>B707</f>
        <v>SPS1</v>
      </c>
      <c r="C708" s="8" t="str">
        <f t="shared" si="446"/>
        <v>CH</v>
      </c>
      <c r="D708" t="s">
        <v>496</v>
      </c>
      <c r="E708" s="5" t="s">
        <v>8</v>
      </c>
      <c r="F708" s="23">
        <f>F707</f>
        <v>5.9796219480736941</v>
      </c>
      <c r="G708" s="23">
        <f t="shared" ref="G708:K708" si="447">G707</f>
        <v>6.9696446270000694</v>
      </c>
      <c r="H708" s="23">
        <f t="shared" si="447"/>
        <v>6.8665346020753946</v>
      </c>
      <c r="I708" s="23">
        <f t="shared" si="447"/>
        <v>7.0899387916590966</v>
      </c>
      <c r="J708" s="23">
        <f t="shared" si="447"/>
        <v>7.8210251507812254</v>
      </c>
      <c r="K708" s="23">
        <f t="shared" si="447"/>
        <v>7.46002773743548</v>
      </c>
    </row>
    <row r="709" spans="1:11">
      <c r="A709" t="s">
        <v>5</v>
      </c>
      <c r="B709" s="8" t="s">
        <v>6</v>
      </c>
      <c r="C709" s="8" t="str">
        <f t="shared" si="446"/>
        <v>CH</v>
      </c>
      <c r="D709" s="1" t="s">
        <v>480</v>
      </c>
      <c r="E709" s="8" t="s">
        <v>8</v>
      </c>
      <c r="F709" s="22" cm="1">
        <f t="array" ref="F709">SUMPRODUCT(("CT_CWODPLT"=[1]OUT_SyntheticFuels!$C$4:$C$1000)*1,("Var_Fin"=[1]OUT_SyntheticFuels!$B$4:$B$1000)*1,[1]OUT_SyntheticFuels!E$4:E$1000)</f>
        <v>7.1185975572305882</v>
      </c>
      <c r="G709" s="22" cm="1">
        <f t="array" ref="G709">SUMPRODUCT(("CT_CWODPLT"=[1]OUT_SyntheticFuels!$C$4:$C$1000)*1,("Var_Fin"=[1]OUT_SyntheticFuels!$B$4:$B$1000)*1,[1]OUT_SyntheticFuels!F$4:F$1000)</f>
        <v>8.2971959845238903</v>
      </c>
      <c r="H709" s="22" cm="1">
        <f t="array" ref="H709">SUMPRODUCT(("CT_CWODPLT"=[1]OUT_SyntheticFuels!$C$4:$C$1000)*1,("Var_Fin"=[1]OUT_SyntheticFuels!$B$4:$B$1000)*1,[1]OUT_SyntheticFuels!G$4:G$1000)</f>
        <v>8.1744459548516613</v>
      </c>
      <c r="I709" s="22" cm="1">
        <f t="array" ref="I709">SUMPRODUCT(("CT_CWODPLT"=[1]OUT_SyntheticFuels!$C$4:$C$1000)*1,("Var_Fin"=[1]OUT_SyntheticFuels!$B$4:$B$1000)*1,[1]OUT_SyntheticFuels!H$4:H$1000)</f>
        <v>8.4404033234036824</v>
      </c>
      <c r="J709" s="22" cm="1">
        <f t="array" ref="J709">SUMPRODUCT(("CT_CWODPLT"=[1]OUT_SyntheticFuels!$C$4:$C$1000)*1,("Var_Fin"=[1]OUT_SyntheticFuels!$B$4:$B$1000)*1,[1]OUT_SyntheticFuels!I$4:I$1000)</f>
        <v>9.3107442271205159</v>
      </c>
      <c r="K709" s="22" cm="1">
        <f t="array" ref="K709">SUMPRODUCT(("CT_CWODPLT"=[1]OUT_SyntheticFuels!$C$4:$C$1000)*1,("Var_Fin"=[1]OUT_SyntheticFuels!$B$4:$B$1000)*1,[1]OUT_SyntheticFuels!J$4:J$1000)</f>
        <v>8.8809854017089176</v>
      </c>
    </row>
    <row r="710" spans="1:11">
      <c r="A710" t="s">
        <v>5</v>
      </c>
      <c r="B710" s="5" t="str">
        <f>B709</f>
        <v>SPS1</v>
      </c>
      <c r="C710" s="8" t="str">
        <f t="shared" si="446"/>
        <v>CH</v>
      </c>
      <c r="D710" s="5" t="s">
        <v>495</v>
      </c>
      <c r="E710" s="5" t="str">
        <f>E709</f>
        <v>PJ/yr.</v>
      </c>
      <c r="F710" s="23">
        <f t="shared" ref="F710:K710" si="448">F709</f>
        <v>7.1185975572305882</v>
      </c>
      <c r="G710" s="23">
        <f t="shared" si="448"/>
        <v>8.2971959845238903</v>
      </c>
      <c r="H710" s="23">
        <f t="shared" si="448"/>
        <v>8.1744459548516613</v>
      </c>
      <c r="I710" s="23">
        <f t="shared" si="448"/>
        <v>8.4404033234036824</v>
      </c>
      <c r="J710" s="23">
        <f t="shared" si="448"/>
        <v>9.3107442271205159</v>
      </c>
      <c r="K710" s="23">
        <f t="shared" si="448"/>
        <v>8.8809854017089176</v>
      </c>
    </row>
    <row r="711" spans="1:11">
      <c r="A711" t="s">
        <v>5</v>
      </c>
      <c r="B711" s="8" t="s">
        <v>6</v>
      </c>
      <c r="C711" s="8" t="str">
        <f t="shared" si="446"/>
        <v>CH</v>
      </c>
      <c r="D711" s="1" t="s">
        <v>481</v>
      </c>
      <c r="E711" s="8" t="s">
        <v>242</v>
      </c>
      <c r="F711" s="22">
        <f t="shared" ref="F711:K711" si="449">IFERROR(F707/F709,"-")</f>
        <v>0.84</v>
      </c>
      <c r="G711" s="22">
        <f t="shared" si="449"/>
        <v>0.84000000000000019</v>
      </c>
      <c r="H711" s="22">
        <f t="shared" si="449"/>
        <v>0.83999999999999986</v>
      </c>
      <c r="I711" s="22">
        <f t="shared" si="449"/>
        <v>0.84000000000000041</v>
      </c>
      <c r="J711" s="22">
        <f t="shared" si="449"/>
        <v>0.83999999999999919</v>
      </c>
      <c r="K711" s="22">
        <f t="shared" si="449"/>
        <v>0.83999999999999875</v>
      </c>
    </row>
    <row r="712" spans="1:11">
      <c r="A712" t="s">
        <v>5</v>
      </c>
      <c r="B712" s="8" t="str">
        <f>B706</f>
        <v>SPS1</v>
      </c>
      <c r="C712" s="8" t="str">
        <f>C706</f>
        <v>CH</v>
      </c>
      <c r="D712" s="1" t="s">
        <v>436</v>
      </c>
      <c r="E712" s="8" t="s">
        <v>8</v>
      </c>
      <c r="F712" s="22">
        <f>F713+F715</f>
        <v>0</v>
      </c>
      <c r="G712" s="22">
        <f t="shared" ref="G712:K712" si="450">G713+G715</f>
        <v>0</v>
      </c>
      <c r="H712" s="22">
        <f t="shared" si="450"/>
        <v>0</v>
      </c>
      <c r="I712" s="22">
        <f t="shared" si="450"/>
        <v>0</v>
      </c>
      <c r="J712" s="22">
        <f t="shared" si="450"/>
        <v>1.6803424137535574E-5</v>
      </c>
      <c r="K712" s="22">
        <f t="shared" si="450"/>
        <v>0.38836620060286153</v>
      </c>
    </row>
    <row r="713" spans="1:11">
      <c r="A713" t="s">
        <v>5</v>
      </c>
      <c r="B713" s="5" t="str">
        <f>B706</f>
        <v>SPS1</v>
      </c>
      <c r="C713" s="5" t="str">
        <f>C706</f>
        <v>CH</v>
      </c>
      <c r="D713" t="s">
        <v>958</v>
      </c>
      <c r="E713" s="5" t="s">
        <v>8</v>
      </c>
      <c r="F713" s="23">
        <f>F714</f>
        <v>0</v>
      </c>
      <c r="G713" s="23">
        <f t="shared" ref="G713:K713" si="451">G714</f>
        <v>0</v>
      </c>
      <c r="H713" s="23">
        <f t="shared" si="451"/>
        <v>0</v>
      </c>
      <c r="I713" s="23">
        <f t="shared" si="451"/>
        <v>0</v>
      </c>
      <c r="J713" s="23">
        <f t="shared" si="451"/>
        <v>3.3747978014690926E-6</v>
      </c>
      <c r="K713" s="23">
        <f t="shared" si="451"/>
        <v>2.1370374237687477E-5</v>
      </c>
    </row>
    <row r="714" spans="1:11">
      <c r="A714" t="s">
        <v>5</v>
      </c>
      <c r="B714" s="5" t="str">
        <f t="shared" ref="B714:C716" si="452">B712</f>
        <v>SPS1</v>
      </c>
      <c r="C714" s="5" t="str">
        <f t="shared" si="452"/>
        <v>CH</v>
      </c>
      <c r="D714" t="s">
        <v>432</v>
      </c>
      <c r="E714" s="5" t="s">
        <v>8</v>
      </c>
      <c r="F714" s="23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23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23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23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23" cm="1">
        <f t="array" ref="J714">SUMPRODUCT(("SUP_H2NGA"=[1]OUT_SyntheticFuels!$C$4:$C$1000)*1,("NGA"=[1]OUT_SyntheticFuels!$A$4:$A$1000)*1,("Var_Fout"=[1]OUT_SyntheticFuels!$B$4:$B$1000)*1,[1]OUT_SyntheticFuels!I$4:I$1000)</f>
        <v>3.3747978014690926E-6</v>
      </c>
      <c r="K714" s="23" cm="1">
        <f t="array" ref="K714">SUMPRODUCT(("SUP_H2NGA"=[1]OUT_SyntheticFuels!$C$4:$C$1000)*1,("NGA"=[1]OUT_SyntheticFuels!$A$4:$A$1000)*1,("Var_Fout"=[1]OUT_SyntheticFuels!$B$4:$B$1000)*1,[1]OUT_SyntheticFuels!J$4:J$1000)</f>
        <v>2.1370374237687477E-5</v>
      </c>
    </row>
    <row r="715" spans="1:11">
      <c r="A715" t="s">
        <v>5</v>
      </c>
      <c r="B715" s="5" t="str">
        <f t="shared" si="452"/>
        <v>SPS1</v>
      </c>
      <c r="C715" s="5" t="str">
        <f t="shared" si="452"/>
        <v>CH</v>
      </c>
      <c r="D715" t="s">
        <v>959</v>
      </c>
      <c r="E715" s="5" t="s">
        <v>8</v>
      </c>
      <c r="F715" s="23">
        <f>SUM(F716:F718)</f>
        <v>0</v>
      </c>
      <c r="G715" s="23">
        <f t="shared" ref="G715:K715" si="453">SUM(G716:G718)</f>
        <v>0</v>
      </c>
      <c r="H715" s="23">
        <f t="shared" si="453"/>
        <v>0</v>
      </c>
      <c r="I715" s="23">
        <f t="shared" si="453"/>
        <v>0</v>
      </c>
      <c r="J715" s="23">
        <f t="shared" si="453"/>
        <v>1.342862633606648E-5</v>
      </c>
      <c r="K715" s="23">
        <f t="shared" si="453"/>
        <v>0.38834483022862387</v>
      </c>
    </row>
    <row r="716" spans="1:11">
      <c r="A716" t="s">
        <v>5</v>
      </c>
      <c r="B716" s="5" t="str">
        <f t="shared" si="452"/>
        <v>SPS1</v>
      </c>
      <c r="C716" s="5" t="str">
        <f t="shared" si="452"/>
        <v>CH</v>
      </c>
      <c r="D716" t="s">
        <v>433</v>
      </c>
      <c r="E716" s="5" t="s">
        <v>8</v>
      </c>
      <c r="F716" s="23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23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23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23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23" cm="1">
        <f t="array" ref="J716">SUMPRODUCT(("SUP_H2DSL"=[1]OUT_SyntheticFuels!$C$4:$C$1000)*1,("DSL"=[1]OUT_SyntheticFuels!$A$4:$A$1000)*1,("Var_Fout"=[1]OUT_SyntheticFuels!$B$4:$B$1000)*1,[1]OUT_SyntheticFuels!I$4:I$1000)</f>
        <v>8.0980462507228097E-6</v>
      </c>
      <c r="K716" s="23" cm="1">
        <f t="array" ref="K716">SUMPRODUCT(("SUP_H2DSL"=[1]OUT_SyntheticFuels!$C$4:$C$1000)*1,("DSL"=[1]OUT_SyntheticFuels!$A$4:$A$1000)*1,("Var_Fout"=[1]OUT_SyntheticFuels!$B$4:$B$1000)*1,[1]OUT_SyntheticFuels!J$4:J$1000)</f>
        <v>9.4193436622645565E-2</v>
      </c>
    </row>
    <row r="717" spans="1:11">
      <c r="A717" t="s">
        <v>5</v>
      </c>
      <c r="B717" s="5" t="str">
        <f t="shared" ref="B717:C719" si="454">B716</f>
        <v>SPS1</v>
      </c>
      <c r="C717" s="5" t="str">
        <f t="shared" si="454"/>
        <v>CH</v>
      </c>
      <c r="D717" t="s">
        <v>434</v>
      </c>
      <c r="E717" s="5" t="s">
        <v>8</v>
      </c>
      <c r="F717" s="23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23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23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23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23" cm="1">
        <f t="array" ref="J717">SUMPRODUCT(("SUP_H2gsl"=[1]OUT_SyntheticFuels!$C$4:$C$1000)*1,("gsl"=[1]OUT_SyntheticFuels!$A$4:$A$1000)*1,("Var_Fout"=[1]OUT_SyntheticFuels!$B$4:$B$1000)*1,[1]OUT_SyntheticFuels!I$4:I$1000)</f>
        <v>5.33058008534367E-6</v>
      </c>
      <c r="K717" s="23" cm="1">
        <f t="array" ref="K717">SUMPRODUCT(("SUP_H2gsl"=[1]OUT_SyntheticFuels!$C$4:$C$1000)*1,("gsl"=[1]OUT_SyntheticFuels!$A$4:$A$1000)*1,("Var_Fout"=[1]OUT_SyntheticFuels!$B$4:$B$1000)*1,[1]OUT_SyntheticFuels!J$4:J$1000)</f>
        <v>0.29414956502129747</v>
      </c>
    </row>
    <row r="718" spans="1:11">
      <c r="A718" t="s">
        <v>5</v>
      </c>
      <c r="B718" s="5" t="str">
        <f t="shared" si="454"/>
        <v>SPS1</v>
      </c>
      <c r="C718" s="5" t="str">
        <f t="shared" si="454"/>
        <v>CH</v>
      </c>
      <c r="D718" t="s">
        <v>435</v>
      </c>
      <c r="E718" s="5" t="s">
        <v>8</v>
      </c>
      <c r="F718" s="23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23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23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23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23" cm="1">
        <f t="array" ref="J718">SUMPRODUCT(("SUP_H2DSL"=[1]OUT_SyntheticFuels!$C$4:$C$1000)*1,("KER"=[1]OUT_SyntheticFuels!$A$4:$A$1000)*1,("Var_Fout"=[1]OUT_SyntheticFuels!$B$4:$B$1000)*1,[1]OUT_SyntheticFuels!I$4:I$1000)</f>
        <v>0</v>
      </c>
      <c r="K718" s="23" cm="1">
        <f t="array" ref="K718">SUMPRODUCT(("SUP_H2DSL"=[1]OUT_SyntheticFuels!$C$4:$C$1000)*1,("KER"=[1]OUT_SyntheticFuels!$A$4:$A$1000)*1,("Var_Fout"=[1]OUT_SyntheticFuels!$B$4:$B$1000)*1,[1]OUT_SyntheticFuels!J$4:J$1000)</f>
        <v>1.8285846808657283E-6</v>
      </c>
    </row>
    <row r="719" spans="1:11">
      <c r="A719" t="s">
        <v>5</v>
      </c>
      <c r="B719" s="8" t="str">
        <f t="shared" si="454"/>
        <v>SPS1</v>
      </c>
      <c r="C719" s="8" t="str">
        <f t="shared" si="454"/>
        <v>CH</v>
      </c>
      <c r="D719" s="1" t="s">
        <v>439</v>
      </c>
      <c r="E719" s="8" t="s">
        <v>8</v>
      </c>
      <c r="F719" s="22">
        <f>F720</f>
        <v>0</v>
      </c>
      <c r="G719" s="22">
        <f t="shared" ref="G719:K719" si="455">G720</f>
        <v>0</v>
      </c>
      <c r="H719" s="22">
        <f t="shared" si="455"/>
        <v>0</v>
      </c>
      <c r="I719" s="22">
        <f t="shared" si="455"/>
        <v>0</v>
      </c>
      <c r="J719" s="22">
        <f t="shared" si="455"/>
        <v>2.818722486769065E-5</v>
      </c>
      <c r="K719" s="22">
        <f t="shared" si="455"/>
        <v>0.58264823364988727</v>
      </c>
    </row>
    <row r="720" spans="1:11">
      <c r="A720" t="s">
        <v>5</v>
      </c>
      <c r="B720" s="5" t="str">
        <f>B719</f>
        <v>SPS1</v>
      </c>
      <c r="C720" s="5" t="str">
        <f t="shared" ref="C720:C726" si="456">C719</f>
        <v>CH</v>
      </c>
      <c r="D720" t="s">
        <v>960</v>
      </c>
      <c r="E720" s="5" t="s">
        <v>8</v>
      </c>
      <c r="F720" s="23">
        <f>SUM(F721,F723)</f>
        <v>0</v>
      </c>
      <c r="G720" s="23">
        <f t="shared" ref="G720:K720" si="457">SUM(G721,G723)</f>
        <v>0</v>
      </c>
      <c r="H720" s="23">
        <f t="shared" si="457"/>
        <v>0</v>
      </c>
      <c r="I720" s="23">
        <f t="shared" si="457"/>
        <v>0</v>
      </c>
      <c r="J720" s="23">
        <f t="shared" si="457"/>
        <v>2.818722486769065E-5</v>
      </c>
      <c r="K720" s="23">
        <f t="shared" si="457"/>
        <v>0.58264823364988727</v>
      </c>
    </row>
    <row r="721" spans="1:13">
      <c r="A721" t="s">
        <v>5</v>
      </c>
      <c r="B721" s="5" t="str">
        <f t="shared" ref="B721:B726" si="458">B720</f>
        <v>SPS1</v>
      </c>
      <c r="C721" s="5" t="str">
        <f t="shared" si="456"/>
        <v>CH</v>
      </c>
      <c r="D721" t="s">
        <v>961</v>
      </c>
      <c r="E721" s="5" t="s">
        <v>8</v>
      </c>
      <c r="F721" s="23">
        <f>F722</f>
        <v>0</v>
      </c>
      <c r="G721" s="23">
        <f t="shared" ref="G721:K721" si="459">G722</f>
        <v>0</v>
      </c>
      <c r="H721" s="23">
        <f t="shared" si="459"/>
        <v>0</v>
      </c>
      <c r="I721" s="23">
        <f t="shared" si="459"/>
        <v>0</v>
      </c>
      <c r="J721" s="23">
        <f t="shared" si="459"/>
        <v>4.3828542876222057E-6</v>
      </c>
      <c r="K721" s="23">
        <f t="shared" si="459"/>
        <v>2.7753732776217529E-5</v>
      </c>
    </row>
    <row r="722" spans="1:13">
      <c r="A722" t="s">
        <v>5</v>
      </c>
      <c r="B722" s="5" t="str">
        <f t="shared" si="458"/>
        <v>SPS1</v>
      </c>
      <c r="C722" s="5" t="str">
        <f t="shared" si="456"/>
        <v>CH</v>
      </c>
      <c r="D722" t="s">
        <v>438</v>
      </c>
      <c r="E722" s="5" t="s">
        <v>8</v>
      </c>
      <c r="F722" s="17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7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7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7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7" cm="1">
        <f t="array" ref="J722">SUMPRODUCT(("SUP_H2NGA"=[1]OUT_SyntheticFuels!$C$4:$C$1000)*1,("H2"=[1]OUT_SyntheticFuels!$A$4:$A$1000)*1,("Var_Fin"=[1]OUT_SyntheticFuels!$B$4:$B$1000)*1,[1]OUT_SyntheticFuels!I$4:I$1000)</f>
        <v>4.3828542876222057E-6</v>
      </c>
      <c r="K722" s="17" cm="1">
        <f t="array" ref="K722">SUMPRODUCT(("SUP_H2NGA"=[1]OUT_SyntheticFuels!$C$4:$C$1000)*1,("H2"=[1]OUT_SyntheticFuels!$A$4:$A$1000)*1,("Var_Fin"=[1]OUT_SyntheticFuels!$B$4:$B$1000)*1,[1]OUT_SyntheticFuels!J$4:J$1000)</f>
        <v>2.7753732776217529E-5</v>
      </c>
    </row>
    <row r="723" spans="1:13">
      <c r="A723" t="s">
        <v>5</v>
      </c>
      <c r="B723" s="5" t="str">
        <f t="shared" si="458"/>
        <v>SPS1</v>
      </c>
      <c r="C723" s="5" t="str">
        <f t="shared" si="456"/>
        <v>CH</v>
      </c>
      <c r="D723" t="s">
        <v>962</v>
      </c>
      <c r="E723" s="5" t="s">
        <v>8</v>
      </c>
      <c r="F723" s="23">
        <f>SUM(F724:F726)</f>
        <v>0</v>
      </c>
      <c r="G723" s="23">
        <f t="shared" ref="G723:K723" si="460">SUM(G724:G726)</f>
        <v>0</v>
      </c>
      <c r="H723" s="23">
        <f t="shared" si="460"/>
        <v>0</v>
      </c>
      <c r="I723" s="23">
        <f t="shared" si="460"/>
        <v>0</v>
      </c>
      <c r="J723" s="23">
        <f t="shared" si="460"/>
        <v>2.3804370580068444E-5</v>
      </c>
      <c r="K723" s="23">
        <f t="shared" si="460"/>
        <v>0.58262047991711108</v>
      </c>
    </row>
    <row r="724" spans="1:13">
      <c r="A724" t="s">
        <v>5</v>
      </c>
      <c r="B724" s="5" t="str">
        <f t="shared" si="458"/>
        <v>SPS1</v>
      </c>
      <c r="C724" s="5" t="str">
        <f t="shared" si="456"/>
        <v>CH</v>
      </c>
      <c r="D724" t="s">
        <v>453</v>
      </c>
      <c r="E724" s="5" t="s">
        <v>8</v>
      </c>
      <c r="F724" s="17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7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7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7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7" cm="1">
        <f t="array" ref="J724">SUMPRODUCT(("SUP_H2DSL"=[1]OUT_SyntheticFuels!$C$4:$C$1000)*1,("H2"=[1]OUT_SyntheticFuels!$A$4:$A$1000)*1,("Var_Fin"=[1]OUT_SyntheticFuels!$B$4:$B$1000)*1,[1]OUT_SyntheticFuels!I$4:I$1000)*IFERROR(J716/SUM(J716,J718),0)</f>
        <v>1.6189256172434631E-5</v>
      </c>
      <c r="K724" s="17" cm="1">
        <f t="array" ref="K724">SUMPRODUCT(("SUP_H2DSL"=[1]OUT_SyntheticFuels!$C$4:$C$1000)*1,("H2"=[1]OUT_SyntheticFuels!$A$4:$A$1000)*1,("Var_Fin"=[1]OUT_SyntheticFuels!$B$4:$B$1000)*1,[1]OUT_SyntheticFuels!J$4:J$1000)*IFERROR(K716/SUM(K716,K718),0)</f>
        <v>0.16240366284574059</v>
      </c>
    </row>
    <row r="725" spans="1:13">
      <c r="A725" t="s">
        <v>5</v>
      </c>
      <c r="B725" s="5" t="str">
        <f t="shared" si="458"/>
        <v>SPS1</v>
      </c>
      <c r="C725" s="5" t="str">
        <f t="shared" si="456"/>
        <v>CH</v>
      </c>
      <c r="D725" t="s">
        <v>454</v>
      </c>
      <c r="E725" s="5" t="s">
        <v>8</v>
      </c>
      <c r="F725" s="17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7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7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7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7" cm="1">
        <f t="array" ref="J725">SUMPRODUCT(("SUP_H2GSL"=[1]OUT_SyntheticFuels!$C$4:$C$1000)*1,("H2"=[1]OUT_SyntheticFuels!$A$4:$A$1000)*1,("Var_Fin"=[1]OUT_SyntheticFuels!$B$4:$B$1000)*1,[1]OUT_SyntheticFuels!I$4:I$1000)</f>
        <v>7.6151144076338123E-6</v>
      </c>
      <c r="K725" s="17" cm="1">
        <f t="array" ref="K725">SUMPRODUCT(("SUP_H2GSL"=[1]OUT_SyntheticFuels!$C$4:$C$1000)*1,("H2"=[1]OUT_SyntheticFuels!$A$4:$A$1000)*1,("Var_Fin"=[1]OUT_SyntheticFuels!$B$4:$B$1000)*1,[1]OUT_SyntheticFuels!J$4:J$1000)</f>
        <v>0.42021366431613993</v>
      </c>
    </row>
    <row r="726" spans="1:13">
      <c r="A726" t="s">
        <v>5</v>
      </c>
      <c r="B726" s="5" t="str">
        <f t="shared" si="458"/>
        <v>SPS1</v>
      </c>
      <c r="C726" s="5" t="str">
        <f t="shared" si="456"/>
        <v>CH</v>
      </c>
      <c r="D726" t="s">
        <v>455</v>
      </c>
      <c r="E726" s="5" t="s">
        <v>8</v>
      </c>
      <c r="F726" s="17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7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7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7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7" cm="1">
        <f t="array" ref="J726">SUMPRODUCT(("SUP_H2DSL"=[1]OUT_SyntheticFuels!$C$4:$C$1000)*1,("H2"=[1]OUT_SyntheticFuels!$A$4:$A$1000)*1,("Var_Fin"=[1]OUT_SyntheticFuels!$B$4:$B$1000)*1,[1]OUT_SyntheticFuels!I$4:I$1000)-J724</f>
        <v>0</v>
      </c>
      <c r="K726" s="17" cm="1">
        <f t="array" ref="K726">SUMPRODUCT(("SUP_H2DSL"=[1]OUT_SyntheticFuels!$C$4:$C$1000)*1,("H2"=[1]OUT_SyntheticFuels!$A$4:$A$1000)*1,("Var_Fin"=[1]OUT_SyntheticFuels!$B$4:$B$1000)*1,[1]OUT_SyntheticFuels!J$4:J$1000)-K724</f>
        <v>3.1527552305787854E-6</v>
      </c>
    </row>
    <row r="727" spans="1:13">
      <c r="A727" t="s">
        <v>5</v>
      </c>
      <c r="B727" s="8" t="str">
        <f>B726</f>
        <v>SPS1</v>
      </c>
      <c r="C727" s="8" t="str">
        <f>C726</f>
        <v>CH</v>
      </c>
      <c r="D727" s="1" t="s">
        <v>445</v>
      </c>
      <c r="E727" s="8" t="s">
        <v>242</v>
      </c>
      <c r="F727" s="22" t="s">
        <v>295</v>
      </c>
      <c r="G727" s="22" t="s">
        <v>295</v>
      </c>
      <c r="H727" s="22" t="s">
        <v>295</v>
      </c>
      <c r="I727" s="22" t="s">
        <v>295</v>
      </c>
      <c r="J727" s="22" t="s">
        <v>295</v>
      </c>
      <c r="K727" s="22" t="s">
        <v>295</v>
      </c>
    </row>
    <row r="728" spans="1:13">
      <c r="A728" t="s">
        <v>5</v>
      </c>
      <c r="B728" s="5" t="str">
        <f>B727</f>
        <v>SPS1</v>
      </c>
      <c r="C728" s="5" t="str">
        <f t="shared" ref="C728:C733" si="461">C727</f>
        <v>CH</v>
      </c>
      <c r="D728" t="s">
        <v>441</v>
      </c>
      <c r="E728" s="5" t="s">
        <v>242</v>
      </c>
      <c r="F728" s="22" t="str">
        <f>IFERROR(F714/F722,"-")</f>
        <v>-</v>
      </c>
      <c r="G728" s="22" t="str">
        <f t="shared" ref="G728:K728" si="462">IFERROR(G714/G722,"-")</f>
        <v>-</v>
      </c>
      <c r="H728" s="22" t="str">
        <f t="shared" si="462"/>
        <v>-</v>
      </c>
      <c r="I728" s="22" t="str">
        <f t="shared" si="462"/>
        <v>-</v>
      </c>
      <c r="J728" s="22">
        <f t="shared" si="462"/>
        <v>0.76999999999999869</v>
      </c>
      <c r="K728" s="22">
        <f t="shared" si="462"/>
        <v>0.76999999999999924</v>
      </c>
    </row>
    <row r="729" spans="1:13">
      <c r="A729" t="s">
        <v>5</v>
      </c>
      <c r="B729" s="5" t="str">
        <f t="shared" ref="B729:B733" si="463">B728</f>
        <v>SPS1</v>
      </c>
      <c r="C729" s="5" t="str">
        <f t="shared" si="461"/>
        <v>CH</v>
      </c>
      <c r="D729" t="s">
        <v>442</v>
      </c>
      <c r="E729" s="5" t="s">
        <v>242</v>
      </c>
      <c r="F729" s="24" t="str">
        <f>IFERROR(F716/F724,"-")</f>
        <v>-</v>
      </c>
      <c r="G729" s="24" t="str">
        <f t="shared" ref="G729:K729" si="464">IFERROR(G716/G724,"-")</f>
        <v>-</v>
      </c>
      <c r="H729" s="24" t="str">
        <f t="shared" si="464"/>
        <v>-</v>
      </c>
      <c r="I729" s="24" t="str">
        <f t="shared" si="464"/>
        <v>-</v>
      </c>
      <c r="J729" s="24">
        <f t="shared" si="464"/>
        <v>0.50021113783543147</v>
      </c>
      <c r="K729" s="24">
        <f t="shared" si="464"/>
        <v>0.57999576470215064</v>
      </c>
      <c r="L729" s="8"/>
      <c r="M729" s="8"/>
    </row>
    <row r="730" spans="1:13">
      <c r="A730" t="s">
        <v>5</v>
      </c>
      <c r="B730" s="5" t="str">
        <f t="shared" si="463"/>
        <v>SPS1</v>
      </c>
      <c r="C730" s="5" t="str">
        <f t="shared" si="461"/>
        <v>CH</v>
      </c>
      <c r="D730" t="s">
        <v>443</v>
      </c>
      <c r="E730" s="5" t="s">
        <v>242</v>
      </c>
      <c r="F730" s="24" t="str">
        <f>IFERROR(F717/F725,"-")</f>
        <v>-</v>
      </c>
      <c r="G730" s="24" t="str">
        <f t="shared" ref="G730:K730" si="465">IFERROR(G717/G725,"-")</f>
        <v>-</v>
      </c>
      <c r="H730" s="24" t="str">
        <f t="shared" si="465"/>
        <v>-</v>
      </c>
      <c r="I730" s="24" t="str">
        <f t="shared" si="465"/>
        <v>-</v>
      </c>
      <c r="J730" s="24">
        <f t="shared" si="465"/>
        <v>0.70000000000000018</v>
      </c>
      <c r="K730" s="24">
        <f t="shared" si="465"/>
        <v>0.69999999999999885</v>
      </c>
      <c r="L730" s="8"/>
      <c r="M730" s="8"/>
    </row>
    <row r="731" spans="1:13">
      <c r="A731" t="s">
        <v>5</v>
      </c>
      <c r="B731" s="5" t="str">
        <f t="shared" si="463"/>
        <v>SPS1</v>
      </c>
      <c r="C731" s="5" t="str">
        <f t="shared" si="461"/>
        <v>CH</v>
      </c>
      <c r="D731" t="s">
        <v>444</v>
      </c>
      <c r="E731" s="5" t="s">
        <v>242</v>
      </c>
      <c r="F731" s="24" t="str">
        <f>IFERROR(F718/F726,"-")</f>
        <v>-</v>
      </c>
      <c r="G731" s="24" t="str">
        <f t="shared" ref="G731:K731" si="466">IFERROR(G718/G726,"-")</f>
        <v>-</v>
      </c>
      <c r="H731" s="24" t="str">
        <f t="shared" si="466"/>
        <v>-</v>
      </c>
      <c r="I731" s="24" t="str">
        <f t="shared" si="466"/>
        <v>-</v>
      </c>
      <c r="J731" s="24" t="str">
        <f t="shared" si="466"/>
        <v>-</v>
      </c>
      <c r="K731" s="24">
        <f t="shared" si="466"/>
        <v>0.57999576469817959</v>
      </c>
      <c r="L731" s="8"/>
      <c r="M731" s="8"/>
    </row>
    <row r="732" spans="1:13">
      <c r="A732" t="s">
        <v>5</v>
      </c>
      <c r="B732" s="5" t="str">
        <f t="shared" si="463"/>
        <v>SPS1</v>
      </c>
      <c r="C732" s="5" t="str">
        <f t="shared" si="461"/>
        <v>CH</v>
      </c>
      <c r="D732" s="1" t="s">
        <v>449</v>
      </c>
      <c r="E732" s="8" t="s">
        <v>447</v>
      </c>
      <c r="F732" s="22">
        <f>F733</f>
        <v>0</v>
      </c>
      <c r="G732" s="22">
        <f t="shared" ref="G732" si="467">G733</f>
        <v>0</v>
      </c>
      <c r="H732" s="22">
        <f t="shared" ref="H732" si="468">H733</f>
        <v>0</v>
      </c>
      <c r="I732" s="22">
        <f t="shared" ref="I732" si="469">I733</f>
        <v>0</v>
      </c>
      <c r="J732" s="22">
        <f t="shared" ref="J732" si="470">J733</f>
        <v>1.2720054432161067E-6</v>
      </c>
      <c r="K732" s="22">
        <f t="shared" ref="K732" si="471">K733</f>
        <v>2.8614006777414547E-2</v>
      </c>
      <c r="L732" s="8"/>
      <c r="M732" s="8"/>
    </row>
    <row r="733" spans="1:13">
      <c r="A733" t="s">
        <v>5</v>
      </c>
      <c r="B733" s="5" t="str">
        <f t="shared" si="463"/>
        <v>SPS1</v>
      </c>
      <c r="C733" s="5" t="str">
        <f t="shared" si="461"/>
        <v>CH</v>
      </c>
      <c r="D733" t="s">
        <v>448</v>
      </c>
      <c r="E733" s="5" t="s">
        <v>447</v>
      </c>
      <c r="F733" s="23">
        <f>SUM(F737,F739)</f>
        <v>0</v>
      </c>
      <c r="G733" s="23">
        <f t="shared" ref="G733" si="472">SUM(G737,G739)</f>
        <v>0</v>
      </c>
      <c r="H733" s="23">
        <f t="shared" ref="H733" si="473">SUM(H737,H739)</f>
        <v>0</v>
      </c>
      <c r="I733" s="23">
        <f t="shared" ref="I733" si="474">SUM(I737,I739)</f>
        <v>0</v>
      </c>
      <c r="J733" s="23">
        <f t="shared" ref="J733" si="475">SUM(J737,J739)</f>
        <v>1.2720054432161067E-6</v>
      </c>
      <c r="K733" s="23">
        <f t="shared" ref="K733" si="476">SUM(K737,K739)</f>
        <v>2.8614006777414547E-2</v>
      </c>
      <c r="L733" s="8"/>
      <c r="M733" s="8"/>
    </row>
    <row r="734" spans="1:13">
      <c r="A734" t="s">
        <v>5</v>
      </c>
      <c r="B734" s="5" t="str">
        <f t="shared" ref="B734:C736" si="477">B733</f>
        <v>SPS1</v>
      </c>
      <c r="C734" s="5" t="str">
        <f t="shared" si="477"/>
        <v>CH</v>
      </c>
      <c r="D734" t="s">
        <v>450</v>
      </c>
      <c r="E734" s="5" t="s">
        <v>447</v>
      </c>
      <c r="F734" s="23">
        <v>0</v>
      </c>
      <c r="G734" s="23">
        <v>0</v>
      </c>
      <c r="H734" s="23">
        <v>0</v>
      </c>
      <c r="I734" s="23">
        <v>0</v>
      </c>
      <c r="J734" s="23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6.0126262702615746E-7</v>
      </c>
      <c r="K734" s="23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1.8003264063656668E-2</v>
      </c>
      <c r="L734" s="8"/>
      <c r="M734" s="8"/>
    </row>
    <row r="735" spans="1:13">
      <c r="A735" t="s">
        <v>5</v>
      </c>
      <c r="B735" s="5" t="str">
        <f t="shared" si="477"/>
        <v>SPS1</v>
      </c>
      <c r="C735" s="5" t="str">
        <f t="shared" si="477"/>
        <v>CH</v>
      </c>
      <c r="D735" t="s">
        <v>451</v>
      </c>
      <c r="E735" s="5" t="s">
        <v>447</v>
      </c>
      <c r="F735" s="23">
        <v>0</v>
      </c>
      <c r="G735" s="23">
        <v>0</v>
      </c>
      <c r="H735" s="23">
        <v>0</v>
      </c>
      <c r="I735" s="23">
        <v>0</v>
      </c>
      <c r="J735" s="23">
        <f>J733-J734-J736</f>
        <v>6.7074275025730548E-7</v>
      </c>
      <c r="K735" s="23">
        <f>K733-K734-K736</f>
        <v>1.0610740675744601E-2</v>
      </c>
      <c r="L735" s="8"/>
      <c r="M735" s="8"/>
    </row>
    <row r="736" spans="1:13">
      <c r="A736" t="s">
        <v>5</v>
      </c>
      <c r="B736" s="5" t="str">
        <f t="shared" si="477"/>
        <v>SPS1</v>
      </c>
      <c r="C736" s="5" t="str">
        <f t="shared" si="477"/>
        <v>CH</v>
      </c>
      <c r="D736" t="s">
        <v>460</v>
      </c>
      <c r="E736" s="5" t="s">
        <v>447</v>
      </c>
      <c r="F736" s="23">
        <v>0</v>
      </c>
      <c r="G736" s="23">
        <v>0</v>
      </c>
      <c r="H736" s="23">
        <v>0</v>
      </c>
      <c r="I736" s="23">
        <v>0</v>
      </c>
      <c r="J736" s="23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6.5932643710071422E-14</v>
      </c>
      <c r="K736" s="23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2.0380132769648202E-9</v>
      </c>
      <c r="L736" s="8"/>
    </row>
    <row r="737" spans="1:13">
      <c r="A737" t="s">
        <v>5</v>
      </c>
      <c r="B737" s="5" t="str">
        <f>B733</f>
        <v>SPS1</v>
      </c>
      <c r="C737" s="5" t="str">
        <f>C733</f>
        <v>CH</v>
      </c>
      <c r="D737" t="s">
        <v>963</v>
      </c>
      <c r="E737" s="5" t="s">
        <v>447</v>
      </c>
      <c r="F737" s="23">
        <f>F738</f>
        <v>0</v>
      </c>
      <c r="G737" s="23">
        <f t="shared" ref="G737" si="478">G738</f>
        <v>0</v>
      </c>
      <c r="H737" s="23">
        <f t="shared" ref="H737" si="479">H738</f>
        <v>0</v>
      </c>
      <c r="I737" s="23">
        <f t="shared" ref="I737" si="480">I738</f>
        <v>0</v>
      </c>
      <c r="J737" s="23">
        <f t="shared" ref="J737" si="481">J738</f>
        <v>1.9033859600285687E-7</v>
      </c>
      <c r="K737" s="23">
        <f t="shared" ref="K737" si="482">K738</f>
        <v>1.2052891070055742E-6</v>
      </c>
      <c r="L737" s="8"/>
    </row>
    <row r="738" spans="1:13">
      <c r="A738" t="s">
        <v>5</v>
      </c>
      <c r="B738" s="5" t="str">
        <f>B737</f>
        <v>SPS1</v>
      </c>
      <c r="C738" s="5" t="str">
        <f>C737</f>
        <v>CH</v>
      </c>
      <c r="D738" t="s">
        <v>456</v>
      </c>
      <c r="E738" s="5" t="s">
        <v>447</v>
      </c>
      <c r="F738" s="17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7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7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7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7" cm="1">
        <f t="array" ref="J738">SUMPRODUCT(("SUP_H2NGA"=[1]OUT_SyntheticFuels!$C$4:$C$1000)*1,("CO2_M"=[1]OUT_SyntheticFuels!$A$4:$A$1000)*1,("Var_Fin"=[1]OUT_SyntheticFuels!$B$4:$B$1000)*1,[1]OUT_SyntheticFuels!I$4:I$1000)/1000</f>
        <v>1.9033859600285687E-7</v>
      </c>
      <c r="K738" s="17" cm="1">
        <f t="array" ref="K738">SUMPRODUCT(("SUP_H2NGA"=[1]OUT_SyntheticFuels!$C$4:$C$1000)*1,("CO2_M"=[1]OUT_SyntheticFuels!$A$4:$A$1000)*1,("Var_Fin"=[1]OUT_SyntheticFuels!$B$4:$B$1000)*1,[1]OUT_SyntheticFuels!J$4:J$1000)/1000</f>
        <v>1.2052891070055742E-6</v>
      </c>
      <c r="L738" s="8"/>
    </row>
    <row r="739" spans="1:13">
      <c r="A739" t="s">
        <v>5</v>
      </c>
      <c r="B739" s="5" t="str">
        <f t="shared" ref="B739:B742" si="483">B738</f>
        <v>SPS1</v>
      </c>
      <c r="C739" s="5" t="str">
        <f t="shared" ref="C739:C742" si="484">C738</f>
        <v>CH</v>
      </c>
      <c r="D739" t="s">
        <v>964</v>
      </c>
      <c r="E739" s="5" t="s">
        <v>447</v>
      </c>
      <c r="F739" s="23">
        <f>SUM(F740:F742)</f>
        <v>0</v>
      </c>
      <c r="G739" s="23">
        <f t="shared" ref="G739" si="485">SUM(G740:G742)</f>
        <v>0</v>
      </c>
      <c r="H739" s="23">
        <f t="shared" ref="H739" si="486">SUM(H740:H742)</f>
        <v>0</v>
      </c>
      <c r="I739" s="23">
        <f t="shared" ref="I739" si="487">SUM(I740:I742)</f>
        <v>0</v>
      </c>
      <c r="J739" s="23">
        <f t="shared" ref="J739" si="488">SUM(J740:J742)</f>
        <v>1.0816668472132497E-6</v>
      </c>
      <c r="K739" s="23">
        <f t="shared" ref="K739" si="489">SUM(K740:K742)</f>
        <v>2.861280148830754E-2</v>
      </c>
      <c r="L739" s="8"/>
    </row>
    <row r="740" spans="1:13">
      <c r="A740" t="s">
        <v>5</v>
      </c>
      <c r="B740" s="5" t="str">
        <f t="shared" si="483"/>
        <v>SPS1</v>
      </c>
      <c r="C740" s="5" t="str">
        <f t="shared" si="484"/>
        <v>CH</v>
      </c>
      <c r="D740" t="s">
        <v>457</v>
      </c>
      <c r="E740" s="5" t="s">
        <v>447</v>
      </c>
      <c r="F740" s="17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7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7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7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7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6.8827003691488694E-7</v>
      </c>
      <c r="K740" s="17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6.9044295534954319E-3</v>
      </c>
      <c r="L740" s="8"/>
    </row>
    <row r="741" spans="1:13">
      <c r="A741" t="s">
        <v>5</v>
      </c>
      <c r="B741" s="5" t="str">
        <f t="shared" si="483"/>
        <v>SPS1</v>
      </c>
      <c r="C741" s="5" t="str">
        <f t="shared" si="484"/>
        <v>CH</v>
      </c>
      <c r="D741" t="s">
        <v>458</v>
      </c>
      <c r="E741" s="5" t="s">
        <v>447</v>
      </c>
      <c r="F741" s="17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7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7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7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7" cm="1">
        <f t="array" ref="J741">SUMPRODUCT(("SUP_H2GSL"=[1]OUT_SyntheticFuels!$C$4:$C$1000)*1,("co2_m"=[1]OUT_SyntheticFuels!$A$4:$A$1000)*1,("Var_Fin"=[1]OUT_SyntheticFuels!$B$4:$B$1000)*1,[1]OUT_SyntheticFuels!I$4:I$1000)/1000</f>
        <v>3.9339681029836279E-7</v>
      </c>
      <c r="K741" s="17" cm="1">
        <f t="array" ref="K741">SUMPRODUCT(("SUP_H2GSL"=[1]OUT_SyntheticFuels!$C$4:$C$1000)*1,("co2_m"=[1]OUT_SyntheticFuels!$A$4:$A$1000)*1,("Var_Fin"=[1]OUT_SyntheticFuels!$B$4:$B$1000)*1,[1]OUT_SyntheticFuels!J$4:J$1000)/1000</f>
        <v>2.1708237898571747E-2</v>
      </c>
      <c r="L741" s="8"/>
      <c r="M741" s="8"/>
    </row>
    <row r="742" spans="1:13">
      <c r="A742" t="s">
        <v>5</v>
      </c>
      <c r="B742" s="5" t="str">
        <f t="shared" si="483"/>
        <v>SPS1</v>
      </c>
      <c r="C742" s="5" t="str">
        <f t="shared" si="484"/>
        <v>CH</v>
      </c>
      <c r="D742" t="s">
        <v>459</v>
      </c>
      <c r="E742" s="5" t="s">
        <v>447</v>
      </c>
      <c r="F742" s="17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7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7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7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7" cm="1">
        <f t="array" ref="J742">SUMPRODUCT(("SUP_H2DSL"=[1]OUT_SyntheticFuels!$C$4:$C$1000)*1,("co2_m"=[1]OUT_SyntheticFuels!$A$4:$A$1000)*1,("Var_Fin"=[1]OUT_SyntheticFuels!$B$4:$B$1000)*1,[1]OUT_SyntheticFuels!I$4:I$1000)/1000-J740</f>
        <v>0</v>
      </c>
      <c r="K742" s="17" cm="1">
        <f t="array" ref="K742">SUMPRODUCT(("SUP_H2DSL"=[1]OUT_SyntheticFuels!$C$4:$C$1000)*1,("co2_m"=[1]OUT_SyntheticFuels!$A$4:$A$1000)*1,("Var_Fin"=[1]OUT_SyntheticFuels!$B$4:$B$1000)*1,[1]OUT_SyntheticFuels!J$4:J$1000)/1000-K740</f>
        <v>1.3403624036199824E-7</v>
      </c>
      <c r="L742" s="8"/>
      <c r="M742" s="8"/>
    </row>
    <row r="743" spans="1:13">
      <c r="A743" t="s">
        <v>5</v>
      </c>
      <c r="B743" s="5" t="str">
        <f>B739</f>
        <v>SPS1</v>
      </c>
      <c r="C743" s="5" t="str">
        <f>C739</f>
        <v>CH</v>
      </c>
      <c r="D743" t="s">
        <v>965</v>
      </c>
      <c r="E743" s="5" t="s">
        <v>447</v>
      </c>
      <c r="F743" s="23">
        <f>IFERROR(F$734/F$733,0)*F737</f>
        <v>0</v>
      </c>
      <c r="G743" s="23">
        <f t="shared" ref="G743:K743" si="490">IFERROR(G$734/G$733,0)*G737</f>
        <v>0</v>
      </c>
      <c r="H743" s="23">
        <f t="shared" si="490"/>
        <v>0</v>
      </c>
      <c r="I743" s="23">
        <f t="shared" si="490"/>
        <v>0</v>
      </c>
      <c r="J743" s="23">
        <f t="shared" si="490"/>
        <v>8.9970907646269303E-8</v>
      </c>
      <c r="K743" s="23">
        <f t="shared" si="490"/>
        <v>7.5833972624895496E-7</v>
      </c>
    </row>
    <row r="744" spans="1:13">
      <c r="A744" t="s">
        <v>5</v>
      </c>
      <c r="B744" s="5" t="str">
        <f>B743</f>
        <v>SPS1</v>
      </c>
      <c r="C744" s="5" t="str">
        <f>C743</f>
        <v>CH</v>
      </c>
      <c r="D744" t="s">
        <v>461</v>
      </c>
      <c r="E744" s="5" t="s">
        <v>447</v>
      </c>
      <c r="F744" s="23">
        <f t="shared" ref="F744:K744" si="491">IFERROR(F$734/F$733,0)*F738</f>
        <v>0</v>
      </c>
      <c r="G744" s="23">
        <f t="shared" si="491"/>
        <v>0</v>
      </c>
      <c r="H744" s="23">
        <f t="shared" si="491"/>
        <v>0</v>
      </c>
      <c r="I744" s="23">
        <f t="shared" si="491"/>
        <v>0</v>
      </c>
      <c r="J744" s="23">
        <f t="shared" si="491"/>
        <v>8.9970907646269303E-8</v>
      </c>
      <c r="K744" s="23">
        <f t="shared" si="491"/>
        <v>7.5833972624895496E-7</v>
      </c>
    </row>
    <row r="745" spans="1:13">
      <c r="A745" t="s">
        <v>5</v>
      </c>
      <c r="B745" s="5" t="str">
        <f t="shared" ref="B745:B748" si="492">B744</f>
        <v>SPS1</v>
      </c>
      <c r="C745" s="5" t="str">
        <f t="shared" ref="C745:C748" si="493">C744</f>
        <v>CH</v>
      </c>
      <c r="D745" t="s">
        <v>966</v>
      </c>
      <c r="E745" s="5" t="s">
        <v>447</v>
      </c>
      <c r="F745" s="23">
        <f t="shared" ref="F745:K745" si="494">IFERROR(F$734/F$733,0)*F739</f>
        <v>0</v>
      </c>
      <c r="G745" s="23">
        <f t="shared" si="494"/>
        <v>0</v>
      </c>
      <c r="H745" s="23">
        <f t="shared" si="494"/>
        <v>0</v>
      </c>
      <c r="I745" s="23">
        <f t="shared" si="494"/>
        <v>0</v>
      </c>
      <c r="J745" s="23">
        <f t="shared" si="494"/>
        <v>5.1129171937988804E-7</v>
      </c>
      <c r="K745" s="23">
        <f t="shared" si="494"/>
        <v>1.8002505723930418E-2</v>
      </c>
    </row>
    <row r="746" spans="1:13">
      <c r="A746" t="s">
        <v>5</v>
      </c>
      <c r="B746" s="5" t="str">
        <f t="shared" si="492"/>
        <v>SPS1</v>
      </c>
      <c r="C746" s="5" t="str">
        <f t="shared" si="493"/>
        <v>CH</v>
      </c>
      <c r="D746" t="s">
        <v>462</v>
      </c>
      <c r="E746" s="5" t="s">
        <v>447</v>
      </c>
      <c r="F746" s="23">
        <f t="shared" ref="F746:K746" si="495">IFERROR(F$734/F$733,0)*F740</f>
        <v>0</v>
      </c>
      <c r="G746" s="23">
        <f t="shared" si="495"/>
        <v>0</v>
      </c>
      <c r="H746" s="23">
        <f t="shared" si="495"/>
        <v>0</v>
      </c>
      <c r="I746" s="23">
        <f t="shared" si="495"/>
        <v>0</v>
      </c>
      <c r="J746" s="23">
        <f t="shared" si="495"/>
        <v>3.2533748397531635E-7</v>
      </c>
      <c r="K746" s="23">
        <f t="shared" si="495"/>
        <v>4.3441056482382244E-3</v>
      </c>
    </row>
    <row r="747" spans="1:13">
      <c r="A747" t="s">
        <v>5</v>
      </c>
      <c r="B747" s="5" t="str">
        <f t="shared" si="492"/>
        <v>SPS1</v>
      </c>
      <c r="C747" s="5" t="str">
        <f t="shared" si="493"/>
        <v>CH</v>
      </c>
      <c r="D747" t="s">
        <v>463</v>
      </c>
      <c r="E747" s="5" t="s">
        <v>447</v>
      </c>
      <c r="F747" s="23">
        <f t="shared" ref="F747:K747" si="496">IFERROR(F$734/F$733,0)*F741</f>
        <v>0</v>
      </c>
      <c r="G747" s="23">
        <f t="shared" si="496"/>
        <v>0</v>
      </c>
      <c r="H747" s="23">
        <f t="shared" si="496"/>
        <v>0</v>
      </c>
      <c r="I747" s="23">
        <f t="shared" si="496"/>
        <v>0</v>
      </c>
      <c r="J747" s="23">
        <f t="shared" si="496"/>
        <v>1.8595423540457174E-7</v>
      </c>
      <c r="K747" s="23">
        <f t="shared" si="496"/>
        <v>1.3658315743223549E-2</v>
      </c>
    </row>
    <row r="748" spans="1:13">
      <c r="A748" t="s">
        <v>5</v>
      </c>
      <c r="B748" s="5" t="str">
        <f t="shared" si="492"/>
        <v>SPS1</v>
      </c>
      <c r="C748" s="5" t="str">
        <f t="shared" si="493"/>
        <v>CH</v>
      </c>
      <c r="D748" t="s">
        <v>464</v>
      </c>
      <c r="E748" s="5" t="s">
        <v>447</v>
      </c>
      <c r="F748" s="23">
        <f t="shared" ref="F748:K748" si="497">IFERROR(F$734/F$733,0)*F742</f>
        <v>0</v>
      </c>
      <c r="G748" s="23">
        <f t="shared" si="497"/>
        <v>0</v>
      </c>
      <c r="H748" s="23">
        <f t="shared" si="497"/>
        <v>0</v>
      </c>
      <c r="I748" s="23">
        <f t="shared" si="497"/>
        <v>0</v>
      </c>
      <c r="J748" s="23">
        <f t="shared" si="497"/>
        <v>0</v>
      </c>
      <c r="K748" s="23">
        <f t="shared" si="497"/>
        <v>8.4332468644045241E-8</v>
      </c>
    </row>
    <row r="749" spans="1:13">
      <c r="A749" t="s">
        <v>5</v>
      </c>
      <c r="B749" s="5" t="str">
        <f>B745</f>
        <v>SPS1</v>
      </c>
      <c r="C749" s="5" t="str">
        <f>C745</f>
        <v>CH</v>
      </c>
      <c r="D749" t="s">
        <v>967</v>
      </c>
      <c r="E749" s="5" t="s">
        <v>447</v>
      </c>
      <c r="F749" s="23">
        <f>IFERROR(F$735/F$733,0)*F737</f>
        <v>0</v>
      </c>
      <c r="G749" s="23">
        <f t="shared" ref="G749:K749" si="498">IFERROR(G$735/G$733,0)*G737</f>
        <v>0</v>
      </c>
      <c r="H749" s="23">
        <f t="shared" si="498"/>
        <v>0</v>
      </c>
      <c r="I749" s="23">
        <f t="shared" si="498"/>
        <v>0</v>
      </c>
      <c r="J749" s="23">
        <f t="shared" si="498"/>
        <v>1.0036767849064955E-7</v>
      </c>
      <c r="K749" s="23">
        <f t="shared" si="498"/>
        <v>4.4694929491071786E-7</v>
      </c>
    </row>
    <row r="750" spans="1:13">
      <c r="A750" t="s">
        <v>5</v>
      </c>
      <c r="B750" s="5" t="str">
        <f>B749</f>
        <v>SPS1</v>
      </c>
      <c r="C750" s="5" t="str">
        <f>C749</f>
        <v>CH</v>
      </c>
      <c r="D750" t="s">
        <v>465</v>
      </c>
      <c r="E750" s="5" t="s">
        <v>447</v>
      </c>
      <c r="F750" s="23">
        <f t="shared" ref="F750:K750" si="499">IFERROR(F$735/F$733,0)*F738</f>
        <v>0</v>
      </c>
      <c r="G750" s="23">
        <f t="shared" si="499"/>
        <v>0</v>
      </c>
      <c r="H750" s="23">
        <f t="shared" si="499"/>
        <v>0</v>
      </c>
      <c r="I750" s="23">
        <f t="shared" si="499"/>
        <v>0</v>
      </c>
      <c r="J750" s="23">
        <f t="shared" si="499"/>
        <v>1.0036767849064955E-7</v>
      </c>
      <c r="K750" s="23">
        <f t="shared" si="499"/>
        <v>4.4694929491071786E-7</v>
      </c>
    </row>
    <row r="751" spans="1:13">
      <c r="A751" t="s">
        <v>5</v>
      </c>
      <c r="B751" s="5" t="str">
        <f t="shared" ref="B751:B754" si="500">B750</f>
        <v>SPS1</v>
      </c>
      <c r="C751" s="5" t="str">
        <f t="shared" ref="C751:C754" si="501">C750</f>
        <v>CH</v>
      </c>
      <c r="D751" t="s">
        <v>968</v>
      </c>
      <c r="E751" s="5" t="s">
        <v>447</v>
      </c>
      <c r="F751" s="23">
        <f t="shared" ref="F751:K751" si="502">IFERROR(F$735/F$733,0)*F739</f>
        <v>0</v>
      </c>
      <c r="G751" s="23">
        <f t="shared" si="502"/>
        <v>0</v>
      </c>
      <c r="H751" s="23">
        <f t="shared" si="502"/>
        <v>0</v>
      </c>
      <c r="I751" s="23">
        <f t="shared" si="502"/>
        <v>0</v>
      </c>
      <c r="J751" s="23">
        <f t="shared" si="502"/>
        <v>5.7037507176665584E-7</v>
      </c>
      <c r="K751" s="23">
        <f t="shared" si="502"/>
        <v>1.061029372644969E-2</v>
      </c>
    </row>
    <row r="752" spans="1:13">
      <c r="A752" t="s">
        <v>5</v>
      </c>
      <c r="B752" s="5" t="str">
        <f t="shared" si="500"/>
        <v>SPS1</v>
      </c>
      <c r="C752" s="5" t="str">
        <f t="shared" si="501"/>
        <v>CH</v>
      </c>
      <c r="D752" t="s">
        <v>466</v>
      </c>
      <c r="E752" s="5" t="s">
        <v>447</v>
      </c>
      <c r="F752" s="23">
        <f t="shared" ref="F752:K752" si="503">IFERROR(F$735/F$733,0)*F740</f>
        <v>0</v>
      </c>
      <c r="G752" s="23">
        <f t="shared" si="503"/>
        <v>0</v>
      </c>
      <c r="H752" s="23">
        <f t="shared" si="503"/>
        <v>0</v>
      </c>
      <c r="I752" s="23">
        <f t="shared" si="503"/>
        <v>0</v>
      </c>
      <c r="J752" s="23">
        <f t="shared" si="503"/>
        <v>3.6293251726404463E-7</v>
      </c>
      <c r="K752" s="23">
        <f t="shared" si="503"/>
        <v>2.560323413493883E-3</v>
      </c>
    </row>
    <row r="753" spans="1:13">
      <c r="A753" t="s">
        <v>5</v>
      </c>
      <c r="B753" s="5" t="str">
        <f t="shared" si="500"/>
        <v>SPS1</v>
      </c>
      <c r="C753" s="5" t="str">
        <f t="shared" si="501"/>
        <v>CH</v>
      </c>
      <c r="D753" t="s">
        <v>467</v>
      </c>
      <c r="E753" s="5" t="s">
        <v>447</v>
      </c>
      <c r="F753" s="23">
        <f t="shared" ref="F753:K753" si="504">IFERROR(F$735/F$733,0)*F741</f>
        <v>0</v>
      </c>
      <c r="G753" s="23">
        <f t="shared" si="504"/>
        <v>0</v>
      </c>
      <c r="H753" s="23">
        <f t="shared" si="504"/>
        <v>0</v>
      </c>
      <c r="I753" s="23">
        <f t="shared" si="504"/>
        <v>0</v>
      </c>
      <c r="J753" s="23">
        <f t="shared" si="504"/>
        <v>2.074425545026112E-7</v>
      </c>
      <c r="K753" s="23">
        <f t="shared" si="504"/>
        <v>8.0499206091936351E-3</v>
      </c>
    </row>
    <row r="754" spans="1:13">
      <c r="A754" t="s">
        <v>5</v>
      </c>
      <c r="B754" s="5" t="str">
        <f t="shared" si="500"/>
        <v>SPS1</v>
      </c>
      <c r="C754" s="5" t="str">
        <f t="shared" si="501"/>
        <v>CH</v>
      </c>
      <c r="D754" t="s">
        <v>468</v>
      </c>
      <c r="E754" s="5" t="s">
        <v>447</v>
      </c>
      <c r="F754" s="23">
        <f t="shared" ref="F754:K754" si="505">IFERROR(F$735/F$733,0)*F742</f>
        <v>0</v>
      </c>
      <c r="G754" s="23">
        <f t="shared" si="505"/>
        <v>0</v>
      </c>
      <c r="H754" s="23">
        <f t="shared" si="505"/>
        <v>0</v>
      </c>
      <c r="I754" s="23">
        <f t="shared" si="505"/>
        <v>0</v>
      </c>
      <c r="J754" s="23">
        <f t="shared" si="505"/>
        <v>0</v>
      </c>
      <c r="K754" s="23">
        <f t="shared" si="505"/>
        <v>4.9703762171312443E-8</v>
      </c>
    </row>
    <row r="755" spans="1:13">
      <c r="A755" t="s">
        <v>5</v>
      </c>
      <c r="B755" s="5" t="str">
        <f>B751</f>
        <v>SPS1</v>
      </c>
      <c r="C755" s="5" t="str">
        <f>C751</f>
        <v>CH</v>
      </c>
      <c r="D755" t="s">
        <v>969</v>
      </c>
      <c r="E755" s="5" t="s">
        <v>447</v>
      </c>
      <c r="F755" s="23">
        <f>IFERROR(F$736/F$733,0)*F737</f>
        <v>0</v>
      </c>
      <c r="G755" s="23">
        <f t="shared" ref="G755:K755" si="506">IFERROR(G$736/G$733,0)*G737</f>
        <v>0</v>
      </c>
      <c r="H755" s="23">
        <f t="shared" si="506"/>
        <v>0</v>
      </c>
      <c r="I755" s="23">
        <f t="shared" si="506"/>
        <v>0</v>
      </c>
      <c r="J755" s="23">
        <f t="shared" si="506"/>
        <v>9.8659379969331556E-15</v>
      </c>
      <c r="K755" s="23">
        <f t="shared" si="506"/>
        <v>8.5845901336589487E-14</v>
      </c>
    </row>
    <row r="756" spans="1:13">
      <c r="A756" t="s">
        <v>5</v>
      </c>
      <c r="B756" s="5" t="str">
        <f>B755</f>
        <v>SPS1</v>
      </c>
      <c r="C756" s="5" t="str">
        <f>C755</f>
        <v>CH</v>
      </c>
      <c r="D756" t="s">
        <v>469</v>
      </c>
      <c r="E756" s="5" t="s">
        <v>447</v>
      </c>
      <c r="F756" s="23">
        <f t="shared" ref="F756:K756" si="507">IFERROR(F$736/F$733,0)*F738</f>
        <v>0</v>
      </c>
      <c r="G756" s="23">
        <f t="shared" si="507"/>
        <v>0</v>
      </c>
      <c r="H756" s="23">
        <f t="shared" si="507"/>
        <v>0</v>
      </c>
      <c r="I756" s="23">
        <f t="shared" si="507"/>
        <v>0</v>
      </c>
      <c r="J756" s="23">
        <f t="shared" si="507"/>
        <v>9.8659379969331556E-15</v>
      </c>
      <c r="K756" s="23">
        <f t="shared" si="507"/>
        <v>8.5845901336589487E-14</v>
      </c>
    </row>
    <row r="757" spans="1:13">
      <c r="A757" t="s">
        <v>5</v>
      </c>
      <c r="B757" s="5" t="str">
        <f t="shared" ref="B757:B760" si="508">B756</f>
        <v>SPS1</v>
      </c>
      <c r="C757" s="5" t="str">
        <f t="shared" ref="C757:C760" si="509">C756</f>
        <v>CH</v>
      </c>
      <c r="D757" t="s">
        <v>970</v>
      </c>
      <c r="E757" s="5" t="s">
        <v>447</v>
      </c>
      <c r="F757" s="23">
        <f t="shared" ref="F757:K757" si="510">IFERROR(F$736/F$733,0)*F739</f>
        <v>0</v>
      </c>
      <c r="G757" s="23">
        <f t="shared" si="510"/>
        <v>0</v>
      </c>
      <c r="H757" s="23">
        <f t="shared" si="510"/>
        <v>0</v>
      </c>
      <c r="I757" s="23">
        <f t="shared" si="510"/>
        <v>0</v>
      </c>
      <c r="J757" s="23">
        <f t="shared" si="510"/>
        <v>5.6066705713138262E-14</v>
      </c>
      <c r="K757" s="23">
        <f t="shared" si="510"/>
        <v>2.0379274310634835E-9</v>
      </c>
    </row>
    <row r="758" spans="1:13">
      <c r="A758" t="s">
        <v>5</v>
      </c>
      <c r="B758" s="5" t="str">
        <f t="shared" si="508"/>
        <v>SPS1</v>
      </c>
      <c r="C758" s="5" t="str">
        <f t="shared" si="509"/>
        <v>CH</v>
      </c>
      <c r="D758" t="s">
        <v>470</v>
      </c>
      <c r="E758" s="5" t="s">
        <v>447</v>
      </c>
      <c r="F758" s="23">
        <f t="shared" ref="F758:K758" si="511">IFERROR(F$736/F$733,0)*F740</f>
        <v>0</v>
      </c>
      <c r="G758" s="23">
        <f t="shared" si="511"/>
        <v>0</v>
      </c>
      <c r="H758" s="23">
        <f t="shared" si="511"/>
        <v>0</v>
      </c>
      <c r="I758" s="23">
        <f t="shared" si="511"/>
        <v>0</v>
      </c>
      <c r="J758" s="23">
        <f t="shared" si="511"/>
        <v>3.5675525888859915E-14</v>
      </c>
      <c r="K758" s="23">
        <f t="shared" si="511"/>
        <v>4.9176332449178953E-10</v>
      </c>
    </row>
    <row r="759" spans="1:13">
      <c r="A759" t="s">
        <v>5</v>
      </c>
      <c r="B759" s="5" t="str">
        <f t="shared" si="508"/>
        <v>SPS1</v>
      </c>
      <c r="C759" s="5" t="str">
        <f t="shared" si="509"/>
        <v>CH</v>
      </c>
      <c r="D759" t="s">
        <v>471</v>
      </c>
      <c r="E759" s="5" t="s">
        <v>447</v>
      </c>
      <c r="F759" s="23">
        <f t="shared" ref="F759:K759" si="512">IFERROR(F$736/F$733,0)*F741</f>
        <v>0</v>
      </c>
      <c r="G759" s="23">
        <f t="shared" si="512"/>
        <v>0</v>
      </c>
      <c r="H759" s="23">
        <f t="shared" si="512"/>
        <v>0</v>
      </c>
      <c r="I759" s="23">
        <f t="shared" si="512"/>
        <v>0</v>
      </c>
      <c r="J759" s="23">
        <f t="shared" si="512"/>
        <v>2.0391179824278347E-14</v>
      </c>
      <c r="K759" s="23">
        <f t="shared" si="512"/>
        <v>1.5461545599311421E-9</v>
      </c>
    </row>
    <row r="760" spans="1:13">
      <c r="A760" t="s">
        <v>5</v>
      </c>
      <c r="B760" s="5" t="str">
        <f t="shared" si="508"/>
        <v>SPS1</v>
      </c>
      <c r="C760" s="5" t="str">
        <f t="shared" si="509"/>
        <v>CH</v>
      </c>
      <c r="D760" t="s">
        <v>472</v>
      </c>
      <c r="E760" s="5" t="s">
        <v>447</v>
      </c>
      <c r="F760" s="23">
        <f t="shared" ref="F760:K760" si="513">IFERROR(F$736/F$733,0)*F742</f>
        <v>0</v>
      </c>
      <c r="G760" s="23">
        <f t="shared" si="513"/>
        <v>0</v>
      </c>
      <c r="H760" s="23">
        <f t="shared" si="513"/>
        <v>0</v>
      </c>
      <c r="I760" s="23">
        <f t="shared" si="513"/>
        <v>0</v>
      </c>
      <c r="J760" s="23">
        <f t="shared" si="513"/>
        <v>0</v>
      </c>
      <c r="K760" s="23">
        <f t="shared" si="513"/>
        <v>9.5466405518508349E-15</v>
      </c>
    </row>
    <row r="761" spans="1:13">
      <c r="A761" t="s">
        <v>5</v>
      </c>
      <c r="B761" s="8" t="str">
        <f t="shared" ref="B761" si="514">B760</f>
        <v>SPS1</v>
      </c>
      <c r="C761" s="8" t="str">
        <f t="shared" ref="C761:C775" si="515">C760</f>
        <v>CH</v>
      </c>
      <c r="D761" s="1" t="s">
        <v>501</v>
      </c>
      <c r="E761" s="8" t="s">
        <v>8</v>
      </c>
      <c r="F761" s="22">
        <f t="shared" ref="F761:K761" si="516">F762+F766+F776+F787+F789+F801+F803+F805+F809+F811+F813</f>
        <v>142.21733380123493</v>
      </c>
      <c r="G761" s="22">
        <f t="shared" si="516"/>
        <v>140.22822385802218</v>
      </c>
      <c r="H761" s="22">
        <f t="shared" si="516"/>
        <v>140.9247848819044</v>
      </c>
      <c r="I761" s="22">
        <f t="shared" si="516"/>
        <v>141.87397157971301</v>
      </c>
      <c r="J761" s="22">
        <f t="shared" si="516"/>
        <v>137.89645810811834</v>
      </c>
      <c r="K761" s="22">
        <f t="shared" si="516"/>
        <v>136.84735997062822</v>
      </c>
    </row>
    <row r="762" spans="1:13">
      <c r="A762" t="s">
        <v>5</v>
      </c>
      <c r="B762" s="5" t="str">
        <f>B761</f>
        <v>SPS1</v>
      </c>
      <c r="C762" s="5" t="str">
        <f t="shared" si="515"/>
        <v>CH</v>
      </c>
      <c r="D762" t="s">
        <v>971</v>
      </c>
      <c r="E762" t="s">
        <v>8</v>
      </c>
      <c r="F762" s="23">
        <f>[1]Industry!B$11</f>
        <v>60.070000963690269</v>
      </c>
      <c r="G762" s="23">
        <f>[1]Industry!C$11</f>
        <v>62.339946643432711</v>
      </c>
      <c r="H762" s="23">
        <f>[1]Industry!D$11</f>
        <v>63.622187685097899</v>
      </c>
      <c r="I762" s="23">
        <f>[1]Industry!E$11</f>
        <v>65.917478421812248</v>
      </c>
      <c r="J762" s="23">
        <f>[1]Industry!F$11</f>
        <v>67.891802291895317</v>
      </c>
      <c r="K762" s="23">
        <f>[1]Industry!G$11</f>
        <v>70.470813762896952</v>
      </c>
    </row>
    <row r="763" spans="1:13">
      <c r="A763" t="s">
        <v>5</v>
      </c>
      <c r="B763" s="5" t="str">
        <f t="shared" ref="B763:B775" si="517">B762</f>
        <v>SPS1</v>
      </c>
      <c r="C763" s="5" t="str">
        <f t="shared" si="515"/>
        <v>CH</v>
      </c>
      <c r="D763" t="s">
        <v>787</v>
      </c>
      <c r="E763" t="s">
        <v>8</v>
      </c>
      <c r="F763" s="13">
        <f t="shared" ref="F763:J763" si="518">F762-F764-F765</f>
        <v>11.646935643830055</v>
      </c>
      <c r="G763" s="13">
        <f t="shared" si="518"/>
        <v>12.258977517325988</v>
      </c>
      <c r="H763" s="13">
        <f t="shared" si="518"/>
        <v>12.249237377525461</v>
      </c>
      <c r="I763" s="13">
        <f t="shared" si="518"/>
        <v>12.234023013729356</v>
      </c>
      <c r="J763" s="13">
        <f t="shared" si="518"/>
        <v>12.201748707071403</v>
      </c>
      <c r="K763" s="13">
        <f>K762-K764-K765</f>
        <v>12.407000429840785</v>
      </c>
      <c r="L763" s="2"/>
      <c r="M763" s="2"/>
    </row>
    <row r="764" spans="1:13">
      <c r="A764" t="s">
        <v>5</v>
      </c>
      <c r="B764" s="5" t="str">
        <f t="shared" si="517"/>
        <v>SPS1</v>
      </c>
      <c r="C764" s="5" t="str">
        <f t="shared" si="515"/>
        <v>CH</v>
      </c>
      <c r="D764" t="s">
        <v>748</v>
      </c>
      <c r="E764" t="s">
        <v>8</v>
      </c>
      <c r="F764" s="13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0.35966766768921798</v>
      </c>
      <c r="G764" s="13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0.45106204227663799</v>
      </c>
      <c r="H764" s="13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0.80277247642223926</v>
      </c>
      <c r="I764" s="13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1.565731537130588</v>
      </c>
      <c r="J764" s="13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1.8531995077871197</v>
      </c>
      <c r="K764" s="13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2.1015150825947262</v>
      </c>
    </row>
    <row r="765" spans="1:13">
      <c r="A765" t="s">
        <v>5</v>
      </c>
      <c r="B765" s="5" t="str">
        <f t="shared" si="517"/>
        <v>SPS1</v>
      </c>
      <c r="C765" s="5" t="str">
        <f t="shared" si="515"/>
        <v>CH</v>
      </c>
      <c r="D765" t="s">
        <v>473</v>
      </c>
      <c r="E765" t="s">
        <v>8</v>
      </c>
      <c r="F765" s="13">
        <f>[1]Industry!B$11-[1]Industry!B$33</f>
        <v>48.063397652170998</v>
      </c>
      <c r="G765" s="13">
        <f>[1]Industry!C$11-[1]Industry!C$33</f>
        <v>49.629907083830084</v>
      </c>
      <c r="H765" s="13">
        <f>[1]Industry!D$11-[1]Industry!D$33</f>
        <v>50.570177831150197</v>
      </c>
      <c r="I765" s="13">
        <f>[1]Industry!E$11-[1]Industry!E$33</f>
        <v>52.117723870952304</v>
      </c>
      <c r="J765" s="13">
        <f>[1]Industry!F$11-[1]Industry!F$33</f>
        <v>53.83685407703679</v>
      </c>
      <c r="K765" s="13">
        <f>[1]Industry!G$11-[1]Industry!G$33</f>
        <v>55.962298250461437</v>
      </c>
    </row>
    <row r="766" spans="1:13">
      <c r="A766" t="s">
        <v>5</v>
      </c>
      <c r="B766" s="5" t="str">
        <f t="shared" si="517"/>
        <v>SPS1</v>
      </c>
      <c r="C766" s="5" t="str">
        <f t="shared" si="515"/>
        <v>CH</v>
      </c>
      <c r="D766" t="s">
        <v>474</v>
      </c>
      <c r="E766" t="s">
        <v>8</v>
      </c>
      <c r="F766" s="13">
        <f>SUM(F769,F774)</f>
        <v>11.627800215560455</v>
      </c>
      <c r="G766" s="13">
        <f t="shared" ref="G766:K766" si="519">SUM(G769,G774)</f>
        <v>8.1727556306038451</v>
      </c>
      <c r="H766" s="13">
        <f t="shared" si="519"/>
        <v>7.9128583815600217</v>
      </c>
      <c r="I766" s="13">
        <f t="shared" si="519"/>
        <v>6.3531902061833261</v>
      </c>
      <c r="J766" s="13">
        <f t="shared" si="519"/>
        <v>3.1463255829743324</v>
      </c>
      <c r="K766" s="13">
        <f t="shared" si="519"/>
        <v>0.23309989397290184</v>
      </c>
    </row>
    <row r="767" spans="1:13">
      <c r="A767" t="s">
        <v>5</v>
      </c>
      <c r="B767" s="5" t="str">
        <f t="shared" si="517"/>
        <v>SPS1</v>
      </c>
      <c r="C767" s="5" t="str">
        <f t="shared" si="515"/>
        <v>CH</v>
      </c>
      <c r="D767" t="s">
        <v>475</v>
      </c>
      <c r="E767" t="s">
        <v>8</v>
      </c>
      <c r="F767" s="13">
        <f>SUM(F771,F775)</f>
        <v>8.8978001346038784</v>
      </c>
      <c r="G767" s="13">
        <f t="shared" ref="G767:K767" si="520">SUM(G771,G775)</f>
        <v>8.1727554726016738</v>
      </c>
      <c r="H767" s="13">
        <f t="shared" si="520"/>
        <v>7.9127626287000616</v>
      </c>
      <c r="I767" s="13">
        <f t="shared" si="520"/>
        <v>6.3531784689162123</v>
      </c>
      <c r="J767" s="13">
        <f t="shared" si="520"/>
        <v>3.146315044810855</v>
      </c>
      <c r="K767" s="13">
        <f t="shared" si="520"/>
        <v>0.23309989397290184</v>
      </c>
    </row>
    <row r="768" spans="1:13">
      <c r="A768" t="s">
        <v>5</v>
      </c>
      <c r="B768" s="5" t="str">
        <f t="shared" si="517"/>
        <v>SPS1</v>
      </c>
      <c r="C768" s="5" t="str">
        <f t="shared" si="515"/>
        <v>CH</v>
      </c>
      <c r="D768" t="s">
        <v>476</v>
      </c>
      <c r="E768" t="s">
        <v>8</v>
      </c>
      <c r="F768" s="13">
        <f>F773</f>
        <v>2.7300000809565779</v>
      </c>
      <c r="G768" s="13">
        <f t="shared" ref="G768:K768" si="521">G773</f>
        <v>1.580021711810444E-7</v>
      </c>
      <c r="H768" s="13">
        <f t="shared" si="521"/>
        <v>9.5752859960516562E-5</v>
      </c>
      <c r="I768" s="13">
        <f t="shared" si="521"/>
        <v>1.1737267113876744E-5</v>
      </c>
      <c r="J768" s="13">
        <f t="shared" si="521"/>
        <v>1.053816347754919E-5</v>
      </c>
      <c r="K768" s="13">
        <f t="shared" si="521"/>
        <v>0</v>
      </c>
    </row>
    <row r="769" spans="1:11">
      <c r="A769" t="s">
        <v>5</v>
      </c>
      <c r="B769" s="5" t="str">
        <f t="shared" si="517"/>
        <v>SPS1</v>
      </c>
      <c r="C769" s="5" t="str">
        <f t="shared" si="515"/>
        <v>CH</v>
      </c>
      <c r="D769" t="s">
        <v>972</v>
      </c>
      <c r="E769" t="s">
        <v>8</v>
      </c>
      <c r="F769" s="13">
        <f>SUM(F770,F772)</f>
        <v>11.627800215560455</v>
      </c>
      <c r="G769" s="13">
        <f t="shared" ref="G769:K769" si="522">SUM(G770,G772)</f>
        <v>8.1727556306038451</v>
      </c>
      <c r="H769" s="13">
        <f t="shared" si="522"/>
        <v>7.9128516926283554</v>
      </c>
      <c r="I769" s="13">
        <f t="shared" si="522"/>
        <v>6.136561094680661</v>
      </c>
      <c r="J769" s="13">
        <f t="shared" si="522"/>
        <v>2.9093905206278952</v>
      </c>
      <c r="K769" s="13">
        <f t="shared" si="522"/>
        <v>7.7042003024862311E-6</v>
      </c>
    </row>
    <row r="770" spans="1:11">
      <c r="A770" t="s">
        <v>5</v>
      </c>
      <c r="B770" s="5" t="str">
        <f t="shared" si="517"/>
        <v>SPS1</v>
      </c>
      <c r="C770" s="5" t="str">
        <f t="shared" si="515"/>
        <v>CH</v>
      </c>
      <c r="D770" t="s">
        <v>530</v>
      </c>
      <c r="E770" t="s">
        <v>8</v>
      </c>
      <c r="F770" s="13">
        <f>[1]Industry!B$34</f>
        <v>8.8978001346038784</v>
      </c>
      <c r="G770" s="13">
        <f>[1]Industry!C$34</f>
        <v>8.1727554726016738</v>
      </c>
      <c r="H770" s="13">
        <f>[1]Industry!D$34</f>
        <v>7.9127559397683953</v>
      </c>
      <c r="I770" s="13">
        <f>[1]Industry!E$34</f>
        <v>6.1365493574135472</v>
      </c>
      <c r="J770" s="13">
        <f>[1]Industry!F$34</f>
        <v>2.9093799824644178</v>
      </c>
      <c r="K770" s="13">
        <f>[1]Industry!G$34</f>
        <v>7.7042003024862311E-6</v>
      </c>
    </row>
    <row r="771" spans="1:11">
      <c r="A771" t="s">
        <v>5</v>
      </c>
      <c r="B771" s="5" t="str">
        <f t="shared" si="517"/>
        <v>SPS1</v>
      </c>
      <c r="C771" s="5" t="str">
        <f t="shared" si="515"/>
        <v>CH</v>
      </c>
      <c r="D771" t="s">
        <v>531</v>
      </c>
      <c r="E771" t="s">
        <v>8</v>
      </c>
      <c r="F771" s="13">
        <f>F770</f>
        <v>8.8978001346038784</v>
      </c>
      <c r="G771" s="13">
        <f t="shared" ref="G771:K771" si="523">G770</f>
        <v>8.1727554726016738</v>
      </c>
      <c r="H771" s="13">
        <f t="shared" si="523"/>
        <v>7.9127559397683953</v>
      </c>
      <c r="I771" s="13">
        <f t="shared" si="523"/>
        <v>6.1365493574135472</v>
      </c>
      <c r="J771" s="13">
        <f t="shared" si="523"/>
        <v>2.9093799824644178</v>
      </c>
      <c r="K771" s="13">
        <f t="shared" si="523"/>
        <v>7.7042003024862311E-6</v>
      </c>
    </row>
    <row r="772" spans="1:11">
      <c r="A772" t="s">
        <v>5</v>
      </c>
      <c r="B772" s="5" t="str">
        <f t="shared" si="517"/>
        <v>SPS1</v>
      </c>
      <c r="C772" s="5" t="str">
        <f t="shared" si="515"/>
        <v>CH</v>
      </c>
      <c r="D772" t="s">
        <v>532</v>
      </c>
      <c r="E772" t="s">
        <v>8</v>
      </c>
      <c r="F772" s="13">
        <f>[1]Industry!B$35</f>
        <v>2.7300000809565779</v>
      </c>
      <c r="G772" s="13">
        <f>[1]Industry!C$35</f>
        <v>1.580021711810444E-7</v>
      </c>
      <c r="H772" s="13">
        <f>[1]Industry!D$35</f>
        <v>9.5752859960516562E-5</v>
      </c>
      <c r="I772" s="13">
        <f>[1]Industry!E$35</f>
        <v>1.1737267113876744E-5</v>
      </c>
      <c r="J772" s="13">
        <f>[1]Industry!F$35</f>
        <v>1.053816347754919E-5</v>
      </c>
      <c r="K772" s="13">
        <f>[1]Industry!G$35</f>
        <v>0</v>
      </c>
    </row>
    <row r="773" spans="1:11">
      <c r="A773" t="s">
        <v>5</v>
      </c>
      <c r="B773" s="5" t="str">
        <f t="shared" si="517"/>
        <v>SPS1</v>
      </c>
      <c r="C773" s="5" t="str">
        <f t="shared" si="515"/>
        <v>CH</v>
      </c>
      <c r="D773" t="s">
        <v>975</v>
      </c>
      <c r="E773" t="s">
        <v>8</v>
      </c>
      <c r="F773" s="13">
        <f>F772</f>
        <v>2.7300000809565779</v>
      </c>
      <c r="G773" s="13">
        <f t="shared" ref="G773:K773" si="524">G772</f>
        <v>1.580021711810444E-7</v>
      </c>
      <c r="H773" s="13">
        <f t="shared" si="524"/>
        <v>9.5752859960516562E-5</v>
      </c>
      <c r="I773" s="13">
        <f t="shared" si="524"/>
        <v>1.1737267113876744E-5</v>
      </c>
      <c r="J773" s="13">
        <f t="shared" si="524"/>
        <v>1.053816347754919E-5</v>
      </c>
      <c r="K773" s="13">
        <f t="shared" si="524"/>
        <v>0</v>
      </c>
    </row>
    <row r="774" spans="1:11">
      <c r="A774" t="s">
        <v>5</v>
      </c>
      <c r="B774" s="5" t="str">
        <f t="shared" si="517"/>
        <v>SPS1</v>
      </c>
      <c r="C774" s="5" t="str">
        <f t="shared" si="515"/>
        <v>CH</v>
      </c>
      <c r="D774" t="s">
        <v>973</v>
      </c>
      <c r="E774" t="s">
        <v>8</v>
      </c>
      <c r="F774" s="13">
        <f>[1]Industry!B$36</f>
        <v>0</v>
      </c>
      <c r="G774" s="13">
        <f>[1]Industry!C$36</f>
        <v>0</v>
      </c>
      <c r="H774" s="13">
        <f>[1]Industry!D$36</f>
        <v>6.6889316667757279E-6</v>
      </c>
      <c r="I774" s="13">
        <f>[1]Industry!E$36</f>
        <v>0.21662911150266476</v>
      </c>
      <c r="J774" s="13">
        <f>[1]Industry!F$36</f>
        <v>0.23693506234643738</v>
      </c>
      <c r="K774" s="13">
        <f>[1]Industry!G$36</f>
        <v>0.23309218977259935</v>
      </c>
    </row>
    <row r="775" spans="1:11">
      <c r="A775" t="s">
        <v>5</v>
      </c>
      <c r="B775" s="5" t="str">
        <f t="shared" si="517"/>
        <v>SPS1</v>
      </c>
      <c r="C775" s="5" t="str">
        <f t="shared" si="515"/>
        <v>CH</v>
      </c>
      <c r="D775" t="s">
        <v>974</v>
      </c>
      <c r="E775" t="s">
        <v>8</v>
      </c>
      <c r="F775" s="13">
        <f>F774</f>
        <v>0</v>
      </c>
      <c r="G775" s="13">
        <f t="shared" ref="G775:K775" si="525">G774</f>
        <v>0</v>
      </c>
      <c r="H775" s="13">
        <f t="shared" si="525"/>
        <v>6.6889316667757279E-6</v>
      </c>
      <c r="I775" s="13">
        <f t="shared" si="525"/>
        <v>0.21662911150266476</v>
      </c>
      <c r="J775" s="13">
        <f t="shared" si="525"/>
        <v>0.23693506234643738</v>
      </c>
      <c r="K775" s="13">
        <f t="shared" si="525"/>
        <v>0.23309218977259935</v>
      </c>
    </row>
    <row r="776" spans="1:11">
      <c r="A776" t="s">
        <v>5</v>
      </c>
      <c r="B776" s="5" t="str">
        <f t="shared" ref="B776:B777" si="526">B775</f>
        <v>SPS1</v>
      </c>
      <c r="C776" s="5" t="str">
        <f t="shared" ref="C776:C777" si="527">C775</f>
        <v>CH</v>
      </c>
      <c r="D776" t="s">
        <v>477</v>
      </c>
      <c r="E776" t="s">
        <v>8</v>
      </c>
      <c r="F776" s="13">
        <f>SUM([1]Industry!B$37:B$39)</f>
        <v>35.989083955270083</v>
      </c>
      <c r="G776" s="13">
        <f>SUM([1]Industry!C$37:C$39)</f>
        <v>32.149510033110651</v>
      </c>
      <c r="H776" s="13">
        <f>SUM([1]Industry!D$37:D$39)</f>
        <v>37.444897311983716</v>
      </c>
      <c r="I776" s="13">
        <f>SUM([1]Industry!E$37:E$39)</f>
        <v>29.170313172480178</v>
      </c>
      <c r="J776" s="13">
        <f>SUM([1]Industry!F$37:F$39)</f>
        <v>17.78946553396904</v>
      </c>
      <c r="K776" s="13">
        <f>SUM([1]Industry!G$37:G$39)</f>
        <v>10.119131922048906</v>
      </c>
    </row>
    <row r="777" spans="1:11">
      <c r="A777" t="s">
        <v>5</v>
      </c>
      <c r="B777" s="5" t="str">
        <f t="shared" si="526"/>
        <v>SPS1</v>
      </c>
      <c r="C777" s="5" t="str">
        <f t="shared" si="527"/>
        <v>CH</v>
      </c>
      <c r="D777" t="s">
        <v>683</v>
      </c>
      <c r="E777" t="s">
        <v>8</v>
      </c>
      <c r="F777" s="13">
        <f>SUM([1]Industry!B$37:B$38)-F778</f>
        <v>35.552282895598879</v>
      </c>
      <c r="G777" s="13">
        <f>SUM([1]Industry!C$37:C$38)-G778</f>
        <v>31.597374164019637</v>
      </c>
      <c r="H777" s="13">
        <f>SUM([1]Industry!D$37:D$38)-H778</f>
        <v>35.546497782900801</v>
      </c>
      <c r="I777" s="13">
        <f>SUM([1]Industry!E$37:E$38)-I778</f>
        <v>24.853819452066659</v>
      </c>
      <c r="J777" s="13">
        <f>SUM([1]Industry!F$37:F$38)-J778</f>
        <v>13.472971270289545</v>
      </c>
      <c r="K777" s="13">
        <f>SUM([1]Industry!G$37:G$38)-K778</f>
        <v>5.8026376283683208</v>
      </c>
    </row>
    <row r="778" spans="1:11">
      <c r="A778" t="s">
        <v>5</v>
      </c>
      <c r="B778" s="5" t="str">
        <f t="shared" ref="B778" si="528">B777</f>
        <v>SPS1</v>
      </c>
      <c r="C778" s="5" t="str">
        <f t="shared" ref="C778" si="529">C777</f>
        <v>CH</v>
      </c>
      <c r="D778" t="s">
        <v>749</v>
      </c>
      <c r="E778" t="s">
        <v>8</v>
      </c>
      <c r="F778" s="13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7.7269793234905829E-5</v>
      </c>
      <c r="G778" s="13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7.1118841220954812E-5</v>
      </c>
      <c r="H778" s="13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3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3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3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1:11">
      <c r="A779" t="s">
        <v>5</v>
      </c>
      <c r="B779" s="5" t="str">
        <f>B777</f>
        <v>SPS1</v>
      </c>
      <c r="C779" s="5" t="str">
        <f>C777</f>
        <v>CH</v>
      </c>
      <c r="D779" t="s">
        <v>478</v>
      </c>
      <c r="E779" t="s">
        <v>8</v>
      </c>
      <c r="F779" s="13">
        <f t="shared" ref="F779:K779" si="530">F776-F777</f>
        <v>0.43680105967120397</v>
      </c>
      <c r="G779" s="13">
        <f t="shared" si="530"/>
        <v>0.55213586909101409</v>
      </c>
      <c r="H779" s="13">
        <f t="shared" si="530"/>
        <v>1.8983995290829156</v>
      </c>
      <c r="I779" s="13">
        <f t="shared" si="530"/>
        <v>4.3164937204135185</v>
      </c>
      <c r="J779" s="13">
        <f t="shared" si="530"/>
        <v>4.3164942636794947</v>
      </c>
      <c r="K779" s="13">
        <f t="shared" si="530"/>
        <v>4.3164942936805852</v>
      </c>
    </row>
    <row r="780" spans="1:11">
      <c r="A780" t="s">
        <v>5</v>
      </c>
      <c r="B780" s="5" t="str">
        <f t="shared" ref="B780:B788" si="531">B779</f>
        <v>SPS1</v>
      </c>
      <c r="C780" s="5" t="str">
        <f t="shared" ref="C780:C788" si="532">C779</f>
        <v>CH</v>
      </c>
      <c r="D780" t="s">
        <v>976</v>
      </c>
      <c r="E780" t="s">
        <v>8</v>
      </c>
      <c r="F780" s="13">
        <f>[1]Industry!B$37</f>
        <v>35.236593897388644</v>
      </c>
      <c r="G780" s="13">
        <f>[1]Industry!C$37</f>
        <v>31.277295800769274</v>
      </c>
      <c r="H780" s="13">
        <f>[1]Industry!D$37</f>
        <v>31.455373940154459</v>
      </c>
      <c r="I780" s="13">
        <f>[1]Industry!E$37</f>
        <v>20.796473853188544</v>
      </c>
      <c r="J780" s="13">
        <f>[1]Industry!F$37</f>
        <v>9.3774540927325507</v>
      </c>
      <c r="K780" s="13">
        <f>[1]Industry!G$37</f>
        <v>2.1584740957801154</v>
      </c>
    </row>
    <row r="781" spans="1:11">
      <c r="A781" t="s">
        <v>5</v>
      </c>
      <c r="B781" s="5" t="str">
        <f t="shared" si="531"/>
        <v>SPS1</v>
      </c>
      <c r="C781" s="5" t="str">
        <f t="shared" si="532"/>
        <v>CH</v>
      </c>
      <c r="D781" t="s">
        <v>684</v>
      </c>
      <c r="E781" t="s">
        <v>8</v>
      </c>
      <c r="F781" s="13">
        <f>[1]Industry!B$37*F777/SUM(F777:F778)</f>
        <v>35.236517313884427</v>
      </c>
      <c r="G781" s="13">
        <f>[1]Industry!C$37*G777/SUM(G777:G778)</f>
        <v>31.277225402513533</v>
      </c>
      <c r="H781" s="13">
        <f>[1]Industry!D$37*H777/SUM(H777:H778)</f>
        <v>31.455373940154455</v>
      </c>
      <c r="I781" s="13">
        <f>[1]Industry!E$37*I777/SUM(I777:I778)</f>
        <v>20.796473853188541</v>
      </c>
      <c r="J781" s="13">
        <f>[1]Industry!F$37*J777/SUM(J777:J778)</f>
        <v>9.3774540927325507</v>
      </c>
      <c r="K781" s="13">
        <f>[1]Industry!G$37*K777/SUM(K777:K778)</f>
        <v>2.1584740957801154</v>
      </c>
    </row>
    <row r="782" spans="1:11">
      <c r="A782" t="s">
        <v>5</v>
      </c>
      <c r="B782" s="5" t="str">
        <f t="shared" ref="B782" si="533">B781</f>
        <v>SPS1</v>
      </c>
      <c r="C782" s="5" t="str">
        <f t="shared" ref="C782" si="534">C781</f>
        <v>CH</v>
      </c>
      <c r="D782" t="s">
        <v>750</v>
      </c>
      <c r="E782" t="s">
        <v>8</v>
      </c>
      <c r="F782" s="13">
        <f>F780-F781</f>
        <v>7.6583504217353493E-5</v>
      </c>
      <c r="G782" s="13">
        <f t="shared" ref="G782:K782" si="535">G780-G781</f>
        <v>7.0398255740400373E-5</v>
      </c>
      <c r="H782" s="13">
        <f t="shared" si="535"/>
        <v>0</v>
      </c>
      <c r="I782" s="13">
        <f t="shared" si="535"/>
        <v>0</v>
      </c>
      <c r="J782" s="13">
        <f t="shared" si="535"/>
        <v>0</v>
      </c>
      <c r="K782" s="13">
        <f t="shared" si="535"/>
        <v>0</v>
      </c>
    </row>
    <row r="783" spans="1:11">
      <c r="A783" t="s">
        <v>5</v>
      </c>
      <c r="B783" s="5" t="str">
        <f>B781</f>
        <v>SPS1</v>
      </c>
      <c r="C783" s="5" t="str">
        <f>C781</f>
        <v>CH</v>
      </c>
      <c r="D783" t="s">
        <v>977</v>
      </c>
      <c r="E783" t="s">
        <v>8</v>
      </c>
      <c r="F783" s="13">
        <f>SUM(F784:F786)</f>
        <v>0.75249005788143564</v>
      </c>
      <c r="G783" s="13">
        <f t="shared" ref="G783:K783" si="536">SUM(G784:G786)</f>
        <v>0.87221423234137685</v>
      </c>
      <c r="H783" s="13">
        <f t="shared" si="536"/>
        <v>5.9895233718292564</v>
      </c>
      <c r="I783" s="13">
        <f t="shared" si="536"/>
        <v>8.3738393192916352</v>
      </c>
      <c r="J783" s="13">
        <f t="shared" si="536"/>
        <v>8.4120114412364888</v>
      </c>
      <c r="K783" s="13">
        <f t="shared" si="536"/>
        <v>7.9606578262687915</v>
      </c>
    </row>
    <row r="784" spans="1:11">
      <c r="A784" t="s">
        <v>5</v>
      </c>
      <c r="B784" s="5" t="str">
        <f t="shared" si="531"/>
        <v>SPS1</v>
      </c>
      <c r="C784" s="5" t="str">
        <f t="shared" si="532"/>
        <v>CH</v>
      </c>
      <c r="D784" t="s">
        <v>685</v>
      </c>
      <c r="E784" t="s">
        <v>8</v>
      </c>
      <c r="F784" s="13">
        <f>[1]Industry!B$38*F777/SUM(F777:F778)</f>
        <v>0.31576558171445585</v>
      </c>
      <c r="G784" s="13">
        <f>[1]Industry!C$38*G777/SUM(G777:G778)</f>
        <v>0.32014876150610694</v>
      </c>
      <c r="H784" s="13">
        <f>[1]Industry!D$38*H777/SUM(H777:H778)</f>
        <v>4.0911238427463426</v>
      </c>
      <c r="I784" s="13">
        <f>[1]Industry!E$38*I777/SUM(I777:I778)</f>
        <v>4.0573455988781157</v>
      </c>
      <c r="J784" s="13">
        <f>[1]Industry!F$38*J777/SUM(J777:J778)</f>
        <v>4.095517177556995</v>
      </c>
      <c r="K784" s="13">
        <f>[1]Industry!G$38*K777/SUM(K777:K778)</f>
        <v>3.6441635325882058</v>
      </c>
    </row>
    <row r="785" spans="1:13">
      <c r="A785" t="s">
        <v>5</v>
      </c>
      <c r="B785" s="5" t="str">
        <f t="shared" ref="B785" si="537">B784</f>
        <v>SPS1</v>
      </c>
      <c r="C785" s="5" t="str">
        <f t="shared" ref="C785" si="538">C784</f>
        <v>CH</v>
      </c>
      <c r="D785" t="s">
        <v>751</v>
      </c>
      <c r="E785" t="s">
        <v>8</v>
      </c>
      <c r="F785" s="13">
        <f>[1]Industry!B$38-F784</f>
        <v>6.8628901506162521E-7</v>
      </c>
      <c r="G785" s="13">
        <f>[1]Industry!C$38-G784</f>
        <v>7.205854770653275E-7</v>
      </c>
      <c r="H785" s="13">
        <f>[1]Industry!D$38-H784</f>
        <v>0</v>
      </c>
      <c r="I785" s="13">
        <f>[1]Industry!E$38-I784</f>
        <v>0</v>
      </c>
      <c r="J785" s="13">
        <f>[1]Industry!F$38-J784</f>
        <v>0</v>
      </c>
      <c r="K785" s="13">
        <f>[1]Industry!G$38-K784</f>
        <v>0</v>
      </c>
    </row>
    <row r="786" spans="1:13">
      <c r="A786" t="s">
        <v>5</v>
      </c>
      <c r="B786" s="5" t="str">
        <f>B784</f>
        <v>SPS1</v>
      </c>
      <c r="C786" s="5" t="str">
        <f>C784</f>
        <v>CH</v>
      </c>
      <c r="D786" t="s">
        <v>677</v>
      </c>
      <c r="E786" t="s">
        <v>8</v>
      </c>
      <c r="F786" s="13">
        <f>[1]Industry!B$39</f>
        <v>0.43672378987796473</v>
      </c>
      <c r="G786" s="13">
        <f>[1]Industry!C$39</f>
        <v>0.55206475024979285</v>
      </c>
      <c r="H786" s="13">
        <f>[1]Industry!D$39</f>
        <v>1.8983995290829139</v>
      </c>
      <c r="I786" s="13">
        <f>[1]Industry!E$39</f>
        <v>4.3164937204135194</v>
      </c>
      <c r="J786" s="13">
        <f>[1]Industry!F$39</f>
        <v>4.3164942636794938</v>
      </c>
      <c r="K786" s="13">
        <f>[1]Industry!G$39</f>
        <v>4.3164942936805852</v>
      </c>
    </row>
    <row r="787" spans="1:13">
      <c r="A787" t="s">
        <v>5</v>
      </c>
      <c r="B787" s="5" t="str">
        <f t="shared" si="531"/>
        <v>SPS1</v>
      </c>
      <c r="C787" s="5" t="str">
        <f t="shared" si="532"/>
        <v>CH</v>
      </c>
      <c r="D787" t="s">
        <v>978</v>
      </c>
      <c r="E787" t="s">
        <v>8</v>
      </c>
      <c r="F787" s="13">
        <f>[1]Industry!B$18</f>
        <v>3.5600000800603699</v>
      </c>
      <c r="G787" s="13">
        <f>[1]Industry!C$18</f>
        <v>3.4647164345082166</v>
      </c>
      <c r="H787" s="13">
        <f>[1]Industry!D$18</f>
        <v>5.2137436667387303E-4</v>
      </c>
      <c r="I787" s="13">
        <f>[1]Industry!E$18</f>
        <v>8.5540723443283036E-6</v>
      </c>
      <c r="J787" s="13">
        <f>[1]Industry!F$18</f>
        <v>7.5632329675514995E-6</v>
      </c>
      <c r="K787" s="13">
        <f>[1]Industry!G$18</f>
        <v>1.9729677649208747E-6</v>
      </c>
    </row>
    <row r="788" spans="1:13">
      <c r="A788" t="s">
        <v>5</v>
      </c>
      <c r="B788" s="5" t="str">
        <f t="shared" si="531"/>
        <v>SPS1</v>
      </c>
      <c r="C788" s="5" t="str">
        <f t="shared" si="532"/>
        <v>CH</v>
      </c>
      <c r="D788" t="s">
        <v>979</v>
      </c>
      <c r="E788" t="s">
        <v>8</v>
      </c>
      <c r="F788" s="13">
        <f>F787</f>
        <v>3.5600000800603699</v>
      </c>
      <c r="G788" s="13">
        <f t="shared" ref="G788:K788" si="539">G787</f>
        <v>3.4647164345082166</v>
      </c>
      <c r="H788" s="13">
        <f t="shared" si="539"/>
        <v>5.2137436667387303E-4</v>
      </c>
      <c r="I788" s="13">
        <f t="shared" si="539"/>
        <v>8.5540723443283036E-6</v>
      </c>
      <c r="J788" s="13">
        <f t="shared" si="539"/>
        <v>7.5632329675514995E-6</v>
      </c>
      <c r="K788" s="13">
        <f t="shared" si="539"/>
        <v>1.9729677649208747E-6</v>
      </c>
    </row>
    <row r="789" spans="1:13">
      <c r="A789" t="s">
        <v>5</v>
      </c>
      <c r="B789" s="5" t="str">
        <f t="shared" ref="B789:B790" si="540">B788</f>
        <v>SPS1</v>
      </c>
      <c r="C789" s="5" t="str">
        <f t="shared" ref="C789:C790" si="541">C788</f>
        <v>CH</v>
      </c>
      <c r="D789" t="s">
        <v>980</v>
      </c>
      <c r="E789" t="s">
        <v>8</v>
      </c>
      <c r="F789" s="13">
        <f>[1]Industry!B$19</f>
        <v>12.728639516558868</v>
      </c>
      <c r="G789" s="13">
        <f>[1]Industry!C$19</f>
        <v>13.638425191873811</v>
      </c>
      <c r="H789" s="13">
        <f>[1]Industry!D$19</f>
        <v>13.37325582528841</v>
      </c>
      <c r="I789" s="13">
        <f>[1]Industry!E$19</f>
        <v>15.905728443078415</v>
      </c>
      <c r="J789" s="13">
        <f>[1]Industry!F$19</f>
        <v>20.570342721510652</v>
      </c>
      <c r="K789" s="13">
        <f>[1]Industry!G$19</f>
        <v>25.956198886964351</v>
      </c>
    </row>
    <row r="790" spans="1:13">
      <c r="A790" t="s">
        <v>5</v>
      </c>
      <c r="B790" s="5" t="str">
        <f t="shared" si="540"/>
        <v>SPS1</v>
      </c>
      <c r="C790" s="5" t="str">
        <f t="shared" si="541"/>
        <v>CH</v>
      </c>
      <c r="D790" t="s">
        <v>981</v>
      </c>
      <c r="E790" t="s">
        <v>8</v>
      </c>
      <c r="F790" s="13">
        <f>SUM(F791:F799)</f>
        <v>5.6086426203463162</v>
      </c>
      <c r="G790" s="13">
        <f t="shared" ref="G790:K790" si="542">SUM(G791:G799)</f>
        <v>6.0110223838328691</v>
      </c>
      <c r="H790" s="13">
        <f t="shared" si="542"/>
        <v>6.0864524542188434</v>
      </c>
      <c r="I790" s="13">
        <f t="shared" si="542"/>
        <v>7.6867188084405447</v>
      </c>
      <c r="J790" s="13">
        <f t="shared" si="542"/>
        <v>10.962075612006291</v>
      </c>
      <c r="K790" s="13">
        <f t="shared" si="542"/>
        <v>13.43114487223664</v>
      </c>
      <c r="M790" s="2"/>
    </row>
    <row r="791" spans="1:13">
      <c r="A791" t="s">
        <v>5</v>
      </c>
      <c r="B791" s="5" t="str">
        <f t="shared" ref="B791:B800" si="543">B790</f>
        <v>SPS1</v>
      </c>
      <c r="C791" s="5" t="str">
        <f t="shared" ref="C791:C808" si="544">C790</f>
        <v>CH</v>
      </c>
      <c r="D791" t="s">
        <v>486</v>
      </c>
      <c r="E791" t="s">
        <v>8</v>
      </c>
      <c r="F791" s="13">
        <f>F233</f>
        <v>0.92931890049443122</v>
      </c>
      <c r="G791" s="13">
        <f t="shared" ref="G791:K791" si="545">G233</f>
        <v>2.0729635468487739</v>
      </c>
      <c r="H791" s="13">
        <f t="shared" si="545"/>
        <v>3.0648687249485964E-2</v>
      </c>
      <c r="I791" s="13">
        <f t="shared" si="545"/>
        <v>1.3204719837478649</v>
      </c>
      <c r="J791" s="13">
        <f t="shared" si="545"/>
        <v>1.4688632820935419E-2</v>
      </c>
      <c r="K791" s="13">
        <f t="shared" si="545"/>
        <v>3.347383055513178E-3</v>
      </c>
    </row>
    <row r="792" spans="1:13">
      <c r="A792" t="s">
        <v>5</v>
      </c>
      <c r="B792" s="5" t="str">
        <f t="shared" si="543"/>
        <v>SPS1</v>
      </c>
      <c r="C792" s="5" t="str">
        <f t="shared" si="544"/>
        <v>CH</v>
      </c>
      <c r="D792" t="s">
        <v>487</v>
      </c>
      <c r="E792" t="s">
        <v>8</v>
      </c>
      <c r="F792" s="13">
        <f>F239</f>
        <v>2.085011001407342</v>
      </c>
      <c r="G792" s="13">
        <f t="shared" ref="G792:K792" si="546">G239</f>
        <v>0.22648253152292336</v>
      </c>
      <c r="H792" s="13">
        <f t="shared" si="546"/>
        <v>0.12937828424155898</v>
      </c>
      <c r="I792" s="13">
        <f t="shared" si="546"/>
        <v>0.23434845216027739</v>
      </c>
      <c r="J792" s="13">
        <f t="shared" si="546"/>
        <v>1.5476444079463383E-2</v>
      </c>
      <c r="K792" s="13">
        <f t="shared" si="546"/>
        <v>0.18147679116686852</v>
      </c>
    </row>
    <row r="793" spans="1:13">
      <c r="A793" t="s">
        <v>5</v>
      </c>
      <c r="B793" s="5" t="str">
        <f t="shared" si="543"/>
        <v>SPS1</v>
      </c>
      <c r="C793" s="5" t="str">
        <f t="shared" si="544"/>
        <v>CH</v>
      </c>
      <c r="D793" t="s">
        <v>488</v>
      </c>
      <c r="E793" t="s">
        <v>8</v>
      </c>
      <c r="F793" s="13">
        <f>F240</f>
        <v>0</v>
      </c>
      <c r="G793" s="13">
        <f t="shared" ref="G793:K793" si="547">G240</f>
        <v>0</v>
      </c>
      <c r="H793" s="13">
        <f t="shared" si="547"/>
        <v>0</v>
      </c>
      <c r="I793" s="13">
        <f t="shared" si="547"/>
        <v>0</v>
      </c>
      <c r="J793" s="13">
        <f t="shared" si="547"/>
        <v>2.5591472874397763E-5</v>
      </c>
      <c r="K793" s="13">
        <f t="shared" si="547"/>
        <v>0.10492900379799011</v>
      </c>
    </row>
    <row r="794" spans="1:13">
      <c r="A794" t="s">
        <v>5</v>
      </c>
      <c r="B794" s="5" t="str">
        <f t="shared" si="543"/>
        <v>SPS1</v>
      </c>
      <c r="C794" s="5" t="str">
        <f t="shared" si="544"/>
        <v>CH</v>
      </c>
      <c r="D794" t="s">
        <v>489</v>
      </c>
      <c r="E794" t="s">
        <v>8</v>
      </c>
      <c r="F794" s="13">
        <f>F241</f>
        <v>0</v>
      </c>
      <c r="G794" s="13">
        <f t="shared" ref="G794:K794" si="548">G241</f>
        <v>0</v>
      </c>
      <c r="H794" s="13">
        <f t="shared" si="548"/>
        <v>0</v>
      </c>
      <c r="I794" s="13">
        <f t="shared" si="548"/>
        <v>5.7240447712859715E-6</v>
      </c>
      <c r="J794" s="13">
        <f t="shared" si="548"/>
        <v>1.773331716665078E-5</v>
      </c>
      <c r="K794" s="13">
        <f t="shared" si="548"/>
        <v>6.4574781708892726E-6</v>
      </c>
    </row>
    <row r="795" spans="1:13">
      <c r="A795" t="s">
        <v>5</v>
      </c>
      <c r="B795" s="5" t="str">
        <f t="shared" si="543"/>
        <v>SPS1</v>
      </c>
      <c r="C795" s="5" t="str">
        <f t="shared" si="544"/>
        <v>CH</v>
      </c>
      <c r="D795" t="s">
        <v>490</v>
      </c>
      <c r="E795" t="s">
        <v>8</v>
      </c>
      <c r="F795" s="13">
        <f>F272</f>
        <v>1.9347802049834564</v>
      </c>
      <c r="G795" s="13">
        <f t="shared" ref="G795:K795" si="549">G272</f>
        <v>1.6761030665119234</v>
      </c>
      <c r="H795" s="13">
        <f t="shared" si="549"/>
        <v>2.5502835006504729</v>
      </c>
      <c r="I795" s="13">
        <f t="shared" si="549"/>
        <v>2.2433281282237751</v>
      </c>
      <c r="J795" s="13">
        <f t="shared" si="549"/>
        <v>0.96223160997336332</v>
      </c>
      <c r="K795" s="13">
        <f t="shared" si="549"/>
        <v>3.6013633604170536E-6</v>
      </c>
    </row>
    <row r="796" spans="1:13">
      <c r="A796" t="s">
        <v>5</v>
      </c>
      <c r="B796" s="5" t="str">
        <f t="shared" si="543"/>
        <v>SPS1</v>
      </c>
      <c r="C796" s="5" t="str">
        <f t="shared" si="544"/>
        <v>CH</v>
      </c>
      <c r="D796" t="s">
        <v>491</v>
      </c>
      <c r="E796" t="s">
        <v>8</v>
      </c>
      <c r="F796" s="13">
        <f>F273</f>
        <v>0</v>
      </c>
      <c r="G796" s="13">
        <f t="shared" ref="G796:K796" si="550">G273</f>
        <v>0</v>
      </c>
      <c r="H796" s="13">
        <f t="shared" si="550"/>
        <v>0</v>
      </c>
      <c r="I796" s="13">
        <f t="shared" si="550"/>
        <v>0</v>
      </c>
      <c r="J796" s="13">
        <f t="shared" si="550"/>
        <v>0.62701949393383194</v>
      </c>
      <c r="K796" s="13">
        <f t="shared" si="550"/>
        <v>2.0114799759287001</v>
      </c>
    </row>
    <row r="797" spans="1:13">
      <c r="A797" t="s">
        <v>5</v>
      </c>
      <c r="B797" s="5" t="str">
        <f t="shared" si="543"/>
        <v>SPS1</v>
      </c>
      <c r="C797" s="5" t="str">
        <f t="shared" si="544"/>
        <v>CH</v>
      </c>
      <c r="D797" t="s">
        <v>492</v>
      </c>
      <c r="E797" t="s">
        <v>8</v>
      </c>
      <c r="F797" s="13">
        <f>F281</f>
        <v>0.65953251346108632</v>
      </c>
      <c r="G797" s="13">
        <f t="shared" ref="G797:K797" si="551">G281</f>
        <v>2.0354732389492485</v>
      </c>
      <c r="H797" s="13">
        <f t="shared" si="551"/>
        <v>3.3761419820773262</v>
      </c>
      <c r="I797" s="13">
        <f t="shared" si="551"/>
        <v>3.8884884195398186</v>
      </c>
      <c r="J797" s="13">
        <f t="shared" si="551"/>
        <v>3.6229443529834864</v>
      </c>
      <c r="K797" s="13">
        <f t="shared" si="551"/>
        <v>1.9430430290155378</v>
      </c>
    </row>
    <row r="798" spans="1:13">
      <c r="A798" t="s">
        <v>5</v>
      </c>
      <c r="B798" s="5" t="str">
        <f t="shared" si="543"/>
        <v>SPS1</v>
      </c>
      <c r="C798" s="5" t="str">
        <f t="shared" si="544"/>
        <v>CH</v>
      </c>
      <c r="D798" t="s">
        <v>493</v>
      </c>
      <c r="E798" t="s">
        <v>8</v>
      </c>
      <c r="F798" s="13">
        <f>F282</f>
        <v>0</v>
      </c>
      <c r="G798" s="13">
        <f t="shared" ref="G798:K798" si="552">G282</f>
        <v>0</v>
      </c>
      <c r="H798" s="13">
        <f t="shared" si="552"/>
        <v>0</v>
      </c>
      <c r="I798" s="13">
        <f t="shared" si="552"/>
        <v>0</v>
      </c>
      <c r="J798" s="13">
        <f t="shared" si="552"/>
        <v>5.7193817537396203</v>
      </c>
      <c r="K798" s="13">
        <f t="shared" si="552"/>
        <v>8.9526424954996298</v>
      </c>
    </row>
    <row r="799" spans="1:13">
      <c r="A799" t="s">
        <v>5</v>
      </c>
      <c r="B799" s="5" t="str">
        <f t="shared" si="543"/>
        <v>SPS1</v>
      </c>
      <c r="C799" s="5" t="str">
        <f t="shared" si="544"/>
        <v>CH</v>
      </c>
      <c r="D799" t="s">
        <v>494</v>
      </c>
      <c r="E799" t="s">
        <v>8</v>
      </c>
      <c r="F799" s="13">
        <f>F287</f>
        <v>0</v>
      </c>
      <c r="G799" s="13">
        <f t="shared" ref="G799:K799" si="553">G287</f>
        <v>0</v>
      </c>
      <c r="H799" s="13">
        <f t="shared" si="553"/>
        <v>0</v>
      </c>
      <c r="I799" s="13">
        <f t="shared" si="553"/>
        <v>7.6100724037394838E-5</v>
      </c>
      <c r="J799" s="13">
        <f t="shared" si="553"/>
        <v>2.8999968554888311E-4</v>
      </c>
      <c r="K799" s="13">
        <f t="shared" si="553"/>
        <v>0.23421613493086862</v>
      </c>
      <c r="M799" s="2"/>
    </row>
    <row r="800" spans="1:13">
      <c r="A800" t="s">
        <v>5</v>
      </c>
      <c r="B800" s="5" t="str">
        <f t="shared" si="543"/>
        <v>SPS1</v>
      </c>
      <c r="C800" s="5" t="str">
        <f t="shared" si="544"/>
        <v>CH</v>
      </c>
      <c r="D800" t="s">
        <v>982</v>
      </c>
      <c r="E800" t="s">
        <v>8</v>
      </c>
      <c r="F800" s="13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7.120000426938879</v>
      </c>
      <c r="G800" s="13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7.6289058815658795</v>
      </c>
      <c r="H800" s="13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7.3111242850993632</v>
      </c>
      <c r="I800" s="13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8.2190659196386076</v>
      </c>
      <c r="J800" s="13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9.6153488546815424</v>
      </c>
      <c r="K800" s="13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11.170567418767176</v>
      </c>
    </row>
    <row r="801" spans="1:11">
      <c r="A801" t="s">
        <v>5</v>
      </c>
      <c r="B801" s="5" t="str">
        <f>B800</f>
        <v>SPS1</v>
      </c>
      <c r="C801" s="5" t="str">
        <f t="shared" si="544"/>
        <v>CH</v>
      </c>
      <c r="D801" t="s">
        <v>983</v>
      </c>
      <c r="E801" t="s">
        <v>8</v>
      </c>
      <c r="F801" s="13">
        <f>F802</f>
        <v>9.0018939162115004</v>
      </c>
      <c r="G801" s="13">
        <f t="shared" ref="G801:K801" si="554">G802</f>
        <v>10.609940429592042</v>
      </c>
      <c r="H801" s="13">
        <f t="shared" si="554"/>
        <v>10.406896360549995</v>
      </c>
      <c r="I801" s="13">
        <f t="shared" si="554"/>
        <v>11.936124707601756</v>
      </c>
      <c r="J801" s="13">
        <f t="shared" si="554"/>
        <v>9.2402392753719518</v>
      </c>
      <c r="K801" s="13">
        <f t="shared" si="554"/>
        <v>9.0225709563123608</v>
      </c>
    </row>
    <row r="802" spans="1:11">
      <c r="A802" t="s">
        <v>5</v>
      </c>
      <c r="B802" s="5" t="str">
        <f t="shared" ref="B802:B804" si="555">B801</f>
        <v>SPS1</v>
      </c>
      <c r="C802" s="5" t="str">
        <f t="shared" si="544"/>
        <v>CH</v>
      </c>
      <c r="D802" t="s">
        <v>984</v>
      </c>
      <c r="E802" t="s">
        <v>8</v>
      </c>
      <c r="F802" s="13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9.0018939162115004</v>
      </c>
      <c r="G802" s="13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10.609940429592042</v>
      </c>
      <c r="H802" s="13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10.406896360549995</v>
      </c>
      <c r="I802" s="13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11.936124707601756</v>
      </c>
      <c r="J802" s="13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9.2402392753719518</v>
      </c>
      <c r="K802" s="13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9.0225709563123608</v>
      </c>
    </row>
    <row r="803" spans="1:11">
      <c r="A803" t="s">
        <v>5</v>
      </c>
      <c r="B803" s="5" t="str">
        <f t="shared" si="555"/>
        <v>SPS1</v>
      </c>
      <c r="C803" s="5" t="str">
        <f t="shared" si="544"/>
        <v>CH</v>
      </c>
      <c r="D803" t="s">
        <v>985</v>
      </c>
      <c r="E803" t="s">
        <v>8</v>
      </c>
      <c r="F803" s="13">
        <f>F804</f>
        <v>0.62578625640064789</v>
      </c>
      <c r="G803" s="13">
        <f t="shared" ref="G803:K803" si="556">G804</f>
        <v>0.73757307582702647</v>
      </c>
      <c r="H803" s="13">
        <f t="shared" si="556"/>
        <v>0.7363266963517191</v>
      </c>
      <c r="I803" s="13">
        <f t="shared" si="556"/>
        <v>0.73425844350664682</v>
      </c>
      <c r="J803" s="13">
        <f t="shared" si="556"/>
        <v>0.73015667817294327</v>
      </c>
      <c r="K803" s="13">
        <f t="shared" si="556"/>
        <v>0.7261004531553894</v>
      </c>
    </row>
    <row r="804" spans="1:11">
      <c r="A804" t="s">
        <v>5</v>
      </c>
      <c r="B804" s="5" t="str">
        <f t="shared" si="555"/>
        <v>SPS1</v>
      </c>
      <c r="C804" s="5" t="str">
        <f t="shared" si="544"/>
        <v>CH</v>
      </c>
      <c r="D804" t="s">
        <v>986</v>
      </c>
      <c r="E804" t="s">
        <v>8</v>
      </c>
      <c r="F804" s="13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0.62578625640064789</v>
      </c>
      <c r="G804" s="13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0.73757307582702647</v>
      </c>
      <c r="H804" s="13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0.7363266963517191</v>
      </c>
      <c r="I804" s="13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0.73425844350664682</v>
      </c>
      <c r="J804" s="13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0.73015667817294327</v>
      </c>
      <c r="K804" s="13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0.7261004531553894</v>
      </c>
    </row>
    <row r="805" spans="1:11">
      <c r="A805" t="s">
        <v>5</v>
      </c>
      <c r="B805" s="5" t="str">
        <f>B804</f>
        <v>SPS1</v>
      </c>
      <c r="C805" s="5" t="str">
        <f t="shared" si="544"/>
        <v>CH</v>
      </c>
      <c r="D805" t="s">
        <v>497</v>
      </c>
      <c r="E805" t="s">
        <v>8</v>
      </c>
      <c r="F805" s="13">
        <f>[1]Industry!B$21</f>
        <v>7.7980400509333849</v>
      </c>
      <c r="G805" s="13">
        <f>[1]Industry!C$21</f>
        <v>8.080140037759449</v>
      </c>
      <c r="H805" s="13">
        <f>[1]Industry!D$21</f>
        <v>5.6082616784157748</v>
      </c>
      <c r="I805" s="13">
        <f>[1]Industry!E$21</f>
        <v>5.5456287909132955</v>
      </c>
      <c r="J805" s="13">
        <f>[1]Industry!F$21</f>
        <v>5.4553196445821177</v>
      </c>
      <c r="K805" s="13">
        <f>[1]Industry!G$21</f>
        <v>7.6040618853429301E-6</v>
      </c>
    </row>
    <row r="806" spans="1:11">
      <c r="A806" t="s">
        <v>5</v>
      </c>
      <c r="B806" s="5" t="str">
        <f t="shared" ref="B806:B808" si="557">B805</f>
        <v>SPS1</v>
      </c>
      <c r="C806" s="5" t="str">
        <f t="shared" si="544"/>
        <v>CH</v>
      </c>
      <c r="D806" t="s">
        <v>500</v>
      </c>
      <c r="E806" t="s">
        <v>8</v>
      </c>
      <c r="F806" s="13">
        <f>F805</f>
        <v>7.7980400509333849</v>
      </c>
      <c r="G806" s="13">
        <f t="shared" ref="G806:K806" si="558">G805</f>
        <v>8.080140037759449</v>
      </c>
      <c r="H806" s="13">
        <f t="shared" si="558"/>
        <v>5.6082616784157748</v>
      </c>
      <c r="I806" s="13">
        <f t="shared" si="558"/>
        <v>5.5456287909132955</v>
      </c>
      <c r="J806" s="13">
        <f t="shared" si="558"/>
        <v>5.4553196445821177</v>
      </c>
      <c r="K806" s="13">
        <f t="shared" si="558"/>
        <v>7.6040618853429301E-6</v>
      </c>
    </row>
    <row r="807" spans="1:11">
      <c r="A807" t="s">
        <v>5</v>
      </c>
      <c r="B807" s="5" t="str">
        <f t="shared" si="557"/>
        <v>SPS1</v>
      </c>
      <c r="C807" s="5" t="str">
        <f t="shared" si="544"/>
        <v>CH</v>
      </c>
      <c r="D807" t="s">
        <v>498</v>
      </c>
      <c r="E807" t="s">
        <v>8</v>
      </c>
      <c r="F807" s="13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0</v>
      </c>
    </row>
    <row r="808" spans="1:11">
      <c r="A808" t="s">
        <v>5</v>
      </c>
      <c r="B808" s="5" t="str">
        <f t="shared" si="557"/>
        <v>SPS1</v>
      </c>
      <c r="C808" s="5" t="str">
        <f t="shared" si="544"/>
        <v>CH</v>
      </c>
      <c r="D808" t="s">
        <v>499</v>
      </c>
      <c r="E808" t="s">
        <v>8</v>
      </c>
      <c r="F808" s="13">
        <f>F806</f>
        <v>7.7980400509333849</v>
      </c>
      <c r="G808" s="13">
        <f t="shared" ref="G808:K808" si="559">G806</f>
        <v>8.080140037759449</v>
      </c>
      <c r="H808" s="13">
        <f t="shared" si="559"/>
        <v>5.6082616784157748</v>
      </c>
      <c r="I808" s="13">
        <f t="shared" si="559"/>
        <v>5.5456287909132955</v>
      </c>
      <c r="J808" s="13">
        <f t="shared" si="559"/>
        <v>5.4553196445821177</v>
      </c>
      <c r="K808" s="13">
        <f t="shared" si="559"/>
        <v>7.6040618853429301E-6</v>
      </c>
    </row>
    <row r="809" spans="1:11">
      <c r="A809" t="s">
        <v>5</v>
      </c>
      <c r="B809" s="5" t="str">
        <f>B808</f>
        <v>SPS1</v>
      </c>
      <c r="C809" s="5" t="str">
        <f t="shared" ref="C809:C810" si="560">C808</f>
        <v>CH</v>
      </c>
      <c r="D809" t="s">
        <v>987</v>
      </c>
      <c r="E809" t="s">
        <v>8</v>
      </c>
      <c r="F809" s="13">
        <f>[1]Industry!B$22</f>
        <v>6.762755789151853E-2</v>
      </c>
      <c r="G809" s="13">
        <f>[1]Industry!C$22</f>
        <v>8.5488346665263865E-2</v>
      </c>
      <c r="H809" s="13">
        <f>[1]Industry!D$22</f>
        <v>8.5488401018779234E-2</v>
      </c>
      <c r="I809" s="13">
        <f>[1]Industry!E$22</f>
        <v>8.5488320240544202E-2</v>
      </c>
      <c r="J809" s="13">
        <f>[1]Industry!F$22</f>
        <v>9.269225881338794E-2</v>
      </c>
      <c r="K809" s="13">
        <f>[1]Industry!G$22</f>
        <v>9.2692212379879721E-2</v>
      </c>
    </row>
    <row r="810" spans="1:11">
      <c r="A810" t="s">
        <v>5</v>
      </c>
      <c r="B810" s="5" t="str">
        <f t="shared" ref="B810" si="561">B809</f>
        <v>SPS1</v>
      </c>
      <c r="C810" s="5" t="str">
        <f t="shared" si="560"/>
        <v>CH</v>
      </c>
      <c r="D810" t="s">
        <v>988</v>
      </c>
      <c r="E810" t="s">
        <v>8</v>
      </c>
      <c r="F810" s="13">
        <f>F809</f>
        <v>6.762755789151853E-2</v>
      </c>
      <c r="G810" s="13">
        <f t="shared" ref="G810:K810" si="562">G809</f>
        <v>8.5488346665263865E-2</v>
      </c>
      <c r="H810" s="13">
        <f t="shared" si="562"/>
        <v>8.5488401018779234E-2</v>
      </c>
      <c r="I810" s="13">
        <f t="shared" si="562"/>
        <v>8.5488320240544202E-2</v>
      </c>
      <c r="J810" s="13">
        <f t="shared" si="562"/>
        <v>9.269225881338794E-2</v>
      </c>
      <c r="K810" s="13">
        <f t="shared" si="562"/>
        <v>9.2692212379879721E-2</v>
      </c>
    </row>
    <row r="811" spans="1:11">
      <c r="A811" t="s">
        <v>5</v>
      </c>
      <c r="B811" s="5" t="str">
        <f>B810</f>
        <v>SPS1</v>
      </c>
      <c r="C811" s="5" t="str">
        <f t="shared" ref="C811:C812" si="563">C810</f>
        <v>CH</v>
      </c>
      <c r="D811" t="s">
        <v>989</v>
      </c>
      <c r="E811" t="s">
        <v>8</v>
      </c>
      <c r="F811" s="13">
        <f>[1]Industry!B$23</f>
        <v>0</v>
      </c>
      <c r="G811" s="13">
        <f>[1]Industry!C$23</f>
        <v>0</v>
      </c>
      <c r="H811" s="13">
        <f>[1]Industry!D$23</f>
        <v>1.4130256121940972E-2</v>
      </c>
      <c r="I811" s="13">
        <f>[1]Industry!E$23</f>
        <v>2.7751345357326387</v>
      </c>
      <c r="J811" s="13">
        <f>[1]Industry!F$23</f>
        <v>8.6684624797331242</v>
      </c>
      <c r="K811" s="13">
        <f>[1]Industry!G$23</f>
        <v>15.079342104947687</v>
      </c>
    </row>
    <row r="812" spans="1:11">
      <c r="A812" t="s">
        <v>5</v>
      </c>
      <c r="B812" s="5" t="str">
        <f t="shared" ref="B812" si="564">B811</f>
        <v>SPS1</v>
      </c>
      <c r="C812" s="5" t="str">
        <f t="shared" si="563"/>
        <v>CH</v>
      </c>
      <c r="D812" t="s">
        <v>990</v>
      </c>
      <c r="E812" t="s">
        <v>8</v>
      </c>
      <c r="F812" s="13">
        <f>F811</f>
        <v>0</v>
      </c>
      <c r="G812" s="13">
        <f t="shared" ref="G812:K812" si="565">G811</f>
        <v>0</v>
      </c>
      <c r="H812" s="13">
        <f t="shared" si="565"/>
        <v>1.4130256121940972E-2</v>
      </c>
      <c r="I812" s="13">
        <f t="shared" si="565"/>
        <v>2.7751345357326387</v>
      </c>
      <c r="J812" s="13">
        <f t="shared" si="565"/>
        <v>8.6684624797331242</v>
      </c>
      <c r="K812" s="13">
        <f t="shared" si="565"/>
        <v>15.079342104947687</v>
      </c>
    </row>
    <row r="813" spans="1:11">
      <c r="A813" t="s">
        <v>5</v>
      </c>
      <c r="B813" s="5" t="str">
        <f>B812</f>
        <v>SPS1</v>
      </c>
      <c r="C813" s="5" t="str">
        <f t="shared" ref="C813:C814" si="566">C812</f>
        <v>CH</v>
      </c>
      <c r="D813" t="s">
        <v>991</v>
      </c>
      <c r="E813" t="s">
        <v>8</v>
      </c>
      <c r="F813" s="13">
        <f>[1]Industry!B$24</f>
        <v>0.74846128865781891</v>
      </c>
      <c r="G813" s="13">
        <f>[1]Industry!C$24</f>
        <v>0.949728034649163</v>
      </c>
      <c r="H813" s="13">
        <f>[1]Industry!D$24</f>
        <v>1.7199609111494465</v>
      </c>
      <c r="I813" s="13">
        <f>[1]Industry!E$24</f>
        <v>3.4506179840916249</v>
      </c>
      <c r="J813" s="13">
        <f>[1]Industry!F$24</f>
        <v>4.3116440778624945</v>
      </c>
      <c r="K813" s="13">
        <f>[1]Industry!G$24</f>
        <v>5.147400200920127</v>
      </c>
    </row>
    <row r="814" spans="1:11">
      <c r="A814" t="s">
        <v>5</v>
      </c>
      <c r="B814" s="5" t="str">
        <f t="shared" ref="B814" si="567">B813</f>
        <v>SPS1</v>
      </c>
      <c r="C814" s="5" t="str">
        <f t="shared" si="566"/>
        <v>CH</v>
      </c>
      <c r="D814" t="s">
        <v>992</v>
      </c>
      <c r="E814" t="s">
        <v>8</v>
      </c>
      <c r="F814" s="13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0.74846128865781891</v>
      </c>
      <c r="G814" s="13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0.949728034649163</v>
      </c>
      <c r="H814" s="13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1.7198384159072042</v>
      </c>
      <c r="I814" s="13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3.4505069569532769</v>
      </c>
      <c r="J814" s="13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4.3115671224120291</v>
      </c>
      <c r="K814" s="13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5.1473241319397403</v>
      </c>
    </row>
    <row r="815" spans="1:11">
      <c r="A815" t="s">
        <v>5</v>
      </c>
      <c r="B815" s="5" t="str">
        <f t="shared" ref="B815:B816" si="568">B814</f>
        <v>SPS1</v>
      </c>
      <c r="C815" s="5" t="str">
        <f t="shared" ref="C815:C823" si="569">C814</f>
        <v>CH</v>
      </c>
      <c r="D815" t="s">
        <v>993</v>
      </c>
      <c r="E815" t="s">
        <v>8</v>
      </c>
      <c r="F815" s="13">
        <f>F813-F814</f>
        <v>0</v>
      </c>
      <c r="G815" s="13">
        <f t="shared" ref="G815:K815" si="570">G813-G814</f>
        <v>0</v>
      </c>
      <c r="H815" s="13">
        <f t="shared" si="570"/>
        <v>1.2249524224228203E-4</v>
      </c>
      <c r="I815" s="13">
        <f t="shared" si="570"/>
        <v>1.110271383479855E-4</v>
      </c>
      <c r="J815" s="13">
        <f t="shared" si="570"/>
        <v>7.6955450465376884E-5</v>
      </c>
      <c r="K815" s="13">
        <f t="shared" si="570"/>
        <v>7.6068980386700957E-5</v>
      </c>
    </row>
    <row r="816" spans="1:11">
      <c r="A816" t="s">
        <v>5</v>
      </c>
      <c r="B816" s="8" t="str">
        <f t="shared" si="568"/>
        <v>SPS1</v>
      </c>
      <c r="C816" s="8" t="str">
        <f t="shared" si="569"/>
        <v>CH</v>
      </c>
      <c r="D816" s="1" t="s">
        <v>701</v>
      </c>
      <c r="E816" s="8" t="s">
        <v>8</v>
      </c>
      <c r="F816" s="22">
        <f>[1]Industry!B$71</f>
        <v>72.708172198861917</v>
      </c>
      <c r="G816" s="22">
        <f>[1]Industry!C$71</f>
        <v>74.034536510969474</v>
      </c>
      <c r="H816" s="22">
        <f>[1]Industry!D$71</f>
        <v>75.229258497511609</v>
      </c>
      <c r="I816" s="22">
        <f>[1]Industry!E$71</f>
        <v>76.741087603615895</v>
      </c>
      <c r="J816" s="22">
        <f>[1]Industry!F$71</f>
        <v>79.643574488474385</v>
      </c>
      <c r="K816" s="22">
        <f>[1]Industry!G$71</f>
        <v>83.518811219282853</v>
      </c>
    </row>
    <row r="817" spans="1:13">
      <c r="A817" t="s">
        <v>5</v>
      </c>
      <c r="B817" s="5" t="str">
        <f>B816</f>
        <v>SPS1</v>
      </c>
      <c r="C817" s="5" t="str">
        <f t="shared" si="569"/>
        <v>CH</v>
      </c>
      <c r="D817" t="s">
        <v>994</v>
      </c>
      <c r="E817" t="s">
        <v>8</v>
      </c>
      <c r="F817" s="23">
        <f>SUM(F818:F820)</f>
        <v>58.985414287392778</v>
      </c>
      <c r="G817" s="23">
        <f t="shared" ref="G817:K817" si="571">SUM(G818:G820)</f>
        <v>61.365779687341664</v>
      </c>
      <c r="H817" s="23">
        <f t="shared" si="571"/>
        <v>63.427871633958489</v>
      </c>
      <c r="I817" s="23">
        <f t="shared" si="571"/>
        <v>67.46987967974249</v>
      </c>
      <c r="J817" s="23">
        <f t="shared" si="571"/>
        <v>70.337539486716238</v>
      </c>
      <c r="K817" s="23">
        <f t="shared" si="571"/>
        <v>70.381818751274835</v>
      </c>
    </row>
    <row r="818" spans="1:13">
      <c r="A818" t="s">
        <v>5</v>
      </c>
      <c r="B818" s="5" t="str">
        <f t="shared" ref="B818:B823" si="572">B817</f>
        <v>SPS1</v>
      </c>
      <c r="C818" s="5" t="str">
        <f t="shared" si="569"/>
        <v>CH</v>
      </c>
      <c r="D818" t="s">
        <v>788</v>
      </c>
      <c r="E818" t="s">
        <v>8</v>
      </c>
      <c r="F818" s="13">
        <f>[1]Industry!B$55</f>
        <v>9.8138876788747442</v>
      </c>
      <c r="G818" s="13">
        <f>[1]Industry!C$55</f>
        <v>10.335082579953133</v>
      </c>
      <c r="H818" s="13">
        <f>[1]Industry!D$55</f>
        <v>10.33508296736697</v>
      </c>
      <c r="I818" s="13">
        <f>[1]Industry!E$55</f>
        <v>10.335915664988079</v>
      </c>
      <c r="J818" s="13">
        <f>[1]Industry!F$55</f>
        <v>10.335915700640054</v>
      </c>
      <c r="K818" s="13">
        <f>[1]Industry!G$55</f>
        <v>10.537506971195956</v>
      </c>
      <c r="L818" s="2"/>
      <c r="M818" s="2"/>
    </row>
    <row r="819" spans="1:13">
      <c r="A819" t="s">
        <v>5</v>
      </c>
      <c r="B819" s="5" t="str">
        <f t="shared" si="572"/>
        <v>SPS1</v>
      </c>
      <c r="C819" s="5" t="str">
        <f t="shared" si="569"/>
        <v>CH</v>
      </c>
      <c r="D819" t="s">
        <v>752</v>
      </c>
      <c r="E819" t="s">
        <v>8</v>
      </c>
      <c r="F819" s="13">
        <f>[1]Industry!B$56</f>
        <v>1.1081289563470369</v>
      </c>
      <c r="G819" s="13">
        <f>[1]Industry!C$56</f>
        <v>1.400790076925801</v>
      </c>
      <c r="H819" s="13">
        <f>[1]Industry!D$56</f>
        <v>2.5226108923294435</v>
      </c>
      <c r="I819" s="13">
        <f>[1]Industry!E$56</f>
        <v>5.0162384940838649</v>
      </c>
      <c r="J819" s="13">
        <f>[1]Industry!F$56</f>
        <v>6.1647666301991491</v>
      </c>
      <c r="K819" s="13">
        <f>[1]Industry!G$56</f>
        <v>7.2488392145344669</v>
      </c>
    </row>
    <row r="820" spans="1:13">
      <c r="A820" t="s">
        <v>5</v>
      </c>
      <c r="B820" s="5" t="str">
        <f t="shared" si="572"/>
        <v>SPS1</v>
      </c>
      <c r="C820" s="5" t="str">
        <f t="shared" si="569"/>
        <v>CH</v>
      </c>
      <c r="D820" t="s">
        <v>689</v>
      </c>
      <c r="E820" t="s">
        <v>8</v>
      </c>
      <c r="F820" s="13">
        <f>[1]Industry!B$3-([1]Industry!B$6-[1]Industry!B$70)</f>
        <v>48.063397652170998</v>
      </c>
      <c r="G820" s="13">
        <f>[1]Industry!C$3-([1]Industry!C$6-[1]Industry!C$70)</f>
        <v>49.629907030462732</v>
      </c>
      <c r="H820" s="13">
        <f>[1]Industry!D$3-([1]Industry!D$6-[1]Industry!D$70)</f>
        <v>50.570177774262078</v>
      </c>
      <c r="I820" s="13">
        <f>[1]Industry!E$3-([1]Industry!E$6-[1]Industry!E$70)</f>
        <v>52.11772552067054</v>
      </c>
      <c r="J820" s="13">
        <f>[1]Industry!F$3-([1]Industry!F$6-[1]Industry!F$70)</f>
        <v>53.836857155877034</v>
      </c>
      <c r="K820" s="13">
        <f>[1]Industry!G$3-([1]Industry!G$6-[1]Industry!G$70)</f>
        <v>52.595472565544419</v>
      </c>
    </row>
    <row r="821" spans="1:13">
      <c r="A821" t="s">
        <v>5</v>
      </c>
      <c r="B821" s="5" t="str">
        <f t="shared" si="572"/>
        <v>SPS1</v>
      </c>
      <c r="C821" s="5" t="str">
        <f t="shared" si="569"/>
        <v>CH</v>
      </c>
      <c r="D821" t="s">
        <v>995</v>
      </c>
      <c r="E821" t="s">
        <v>8</v>
      </c>
      <c r="F821" s="13">
        <f>SUM(F822:F823)</f>
        <v>8.7635239696635985</v>
      </c>
      <c r="G821" s="13">
        <f t="shared" ref="G821:K821" si="573">SUM(G822:G823)</f>
        <v>6.3642873143556349</v>
      </c>
      <c r="H821" s="13">
        <f t="shared" si="573"/>
        <v>6.1768195067037537</v>
      </c>
      <c r="I821" s="13">
        <f t="shared" si="573"/>
        <v>4.9793174457663394</v>
      </c>
      <c r="J821" s="13">
        <f t="shared" si="573"/>
        <v>2.4857211214357338</v>
      </c>
      <c r="K821" s="13">
        <f t="shared" si="573"/>
        <v>0.18562407337658771</v>
      </c>
    </row>
    <row r="822" spans="1:13">
      <c r="A822" t="s">
        <v>5</v>
      </c>
      <c r="B822" s="5" t="str">
        <f t="shared" si="572"/>
        <v>SPS1</v>
      </c>
      <c r="C822" s="5" t="str">
        <f t="shared" si="569"/>
        <v>CH</v>
      </c>
      <c r="D822" t="s">
        <v>996</v>
      </c>
      <c r="E822" t="s">
        <v>8</v>
      </c>
      <c r="F822" s="13">
        <f>[1]Industry!B$57</f>
        <v>6.9177026649268329</v>
      </c>
      <c r="G822" s="13">
        <f>[1]Industry!C$57</f>
        <v>6.3642872070642609</v>
      </c>
      <c r="H822" s="13">
        <f>[1]Industry!D$57</f>
        <v>6.1767540656085247</v>
      </c>
      <c r="I822" s="13">
        <f>[1]Industry!E$57</f>
        <v>4.9793093382490801</v>
      </c>
      <c r="J822" s="13">
        <f>[1]Industry!F$57</f>
        <v>2.485713688078671</v>
      </c>
      <c r="K822" s="13">
        <f>[1]Industry!G$57</f>
        <v>0.18562407337658771</v>
      </c>
    </row>
    <row r="823" spans="1:13">
      <c r="A823" t="s">
        <v>5</v>
      </c>
      <c r="B823" s="5" t="str">
        <f t="shared" si="572"/>
        <v>SPS1</v>
      </c>
      <c r="C823" s="5" t="str">
        <f t="shared" si="569"/>
        <v>CH</v>
      </c>
      <c r="D823" t="s">
        <v>997</v>
      </c>
      <c r="E823" t="s">
        <v>8</v>
      </c>
      <c r="F823" s="13">
        <f>[1]Industry!B$58</f>
        <v>1.8458213047367653</v>
      </c>
      <c r="G823" s="13">
        <f>[1]Industry!C$58</f>
        <v>1.072913743404882E-7</v>
      </c>
      <c r="H823" s="13">
        <f>[1]Industry!D$58</f>
        <v>6.5441095229265607E-5</v>
      </c>
      <c r="I823" s="13">
        <f>[1]Industry!E$58</f>
        <v>8.1075172589103601E-6</v>
      </c>
      <c r="J823" s="13">
        <f>[1]Industry!F$58</f>
        <v>7.4333570629762548E-6</v>
      </c>
      <c r="K823" s="13">
        <f>[1]Industry!G$58</f>
        <v>0</v>
      </c>
    </row>
    <row r="824" spans="1:13">
      <c r="A824" t="s">
        <v>5</v>
      </c>
      <c r="B824" s="5" t="str">
        <f>B823</f>
        <v>SPS1</v>
      </c>
      <c r="C824" s="5" t="str">
        <f>C823</f>
        <v>CH</v>
      </c>
      <c r="D824" t="s">
        <v>998</v>
      </c>
      <c r="E824" t="s">
        <v>8</v>
      </c>
      <c r="F824" s="13">
        <f>SUM(F825:F827)</f>
        <v>28.930278976022453</v>
      </c>
      <c r="G824" s="13">
        <f t="shared" ref="G824:K824" si="574">SUM(G825:G827)</f>
        <v>25.850831055981331</v>
      </c>
      <c r="H824" s="13">
        <f t="shared" si="574"/>
        <v>30.038977482630539</v>
      </c>
      <c r="I824" s="13">
        <f t="shared" si="574"/>
        <v>23.215272772618398</v>
      </c>
      <c r="J824" s="13">
        <f t="shared" si="574"/>
        <v>14.009847295023379</v>
      </c>
      <c r="K824" s="13">
        <f t="shared" si="574"/>
        <v>7.925339794499779</v>
      </c>
    </row>
    <row r="825" spans="1:13">
      <c r="A825" t="s">
        <v>5</v>
      </c>
      <c r="B825" s="5" t="str">
        <f t="shared" ref="B825:B854" si="575">B824</f>
        <v>SPS1</v>
      </c>
      <c r="C825" s="5" t="str">
        <f t="shared" ref="C825:C854" si="576">C824</f>
        <v>CH</v>
      </c>
      <c r="D825" t="s">
        <v>999</v>
      </c>
      <c r="E825" t="s">
        <v>8</v>
      </c>
      <c r="F825" s="13">
        <f>[1]Industry!B$59</f>
        <v>28.619768361419222</v>
      </c>
      <c r="G825" s="13">
        <f>[1]Industry!C$59</f>
        <v>25.458313018553728</v>
      </c>
      <c r="H825" s="13">
        <f>[1]Industry!D$59</f>
        <v>28.688954575796608</v>
      </c>
      <c r="I825" s="13">
        <f>[1]Industry!E$59</f>
        <v>20.146014324323925</v>
      </c>
      <c r="J825" s="13">
        <f>[1]Industry!F$59</f>
        <v>10.940665648303554</v>
      </c>
      <c r="K825" s="13">
        <f>[1]Industry!G$59</f>
        <v>4.8173167152281531</v>
      </c>
    </row>
    <row r="826" spans="1:13">
      <c r="A826" t="s">
        <v>5</v>
      </c>
      <c r="B826" s="5" t="str">
        <f t="shared" si="575"/>
        <v>SPS1</v>
      </c>
      <c r="C826" s="5" t="str">
        <f t="shared" si="576"/>
        <v>CH</v>
      </c>
      <c r="D826" t="s">
        <v>1000</v>
      </c>
      <c r="E826" t="s">
        <v>8</v>
      </c>
      <c r="F826" s="13">
        <f>[1]Industry!B$60</f>
        <v>0</v>
      </c>
      <c r="G826" s="13">
        <f>[1]Industry!C$60</f>
        <v>0</v>
      </c>
      <c r="H826" s="13">
        <f>[1]Industry!D$60</f>
        <v>2.6084165597955409E-4</v>
      </c>
      <c r="I826" s="13">
        <f>[1]Industry!E$60</f>
        <v>2.3141308045877728E-4</v>
      </c>
      <c r="J826" s="13">
        <f>[1]Industry!F$60</f>
        <v>1.5422524370052473E-4</v>
      </c>
      <c r="K826" s="13">
        <f>[1]Industry!G$60</f>
        <v>1.471878216067389E-4</v>
      </c>
    </row>
    <row r="827" spans="1:13">
      <c r="A827" t="s">
        <v>5</v>
      </c>
      <c r="B827" s="5" t="str">
        <f t="shared" si="575"/>
        <v>SPS1</v>
      </c>
      <c r="C827" s="5" t="str">
        <f t="shared" si="576"/>
        <v>CH</v>
      </c>
      <c r="D827" t="s">
        <v>1001</v>
      </c>
      <c r="E827" t="s">
        <v>8</v>
      </c>
      <c r="F827" s="13">
        <f>[1]Industry!B$68</f>
        <v>0.31051061460323287</v>
      </c>
      <c r="G827" s="13">
        <f>[1]Industry!C$68</f>
        <v>0.39251803742760294</v>
      </c>
      <c r="H827" s="13">
        <f>[1]Industry!D$68</f>
        <v>1.3497620651779529</v>
      </c>
      <c r="I827" s="13">
        <f>[1]Industry!E$68</f>
        <v>3.0690270352140141</v>
      </c>
      <c r="J827" s="13">
        <f>[1]Industry!F$68</f>
        <v>3.069027421476124</v>
      </c>
      <c r="K827" s="13">
        <f>[1]Industry!G$68</f>
        <v>3.1078758914500195</v>
      </c>
    </row>
    <row r="828" spans="1:13">
      <c r="A828" t="s">
        <v>5</v>
      </c>
      <c r="B828" s="5" t="str">
        <f t="shared" si="575"/>
        <v>SPS1</v>
      </c>
      <c r="C828" s="5" t="str">
        <f t="shared" si="576"/>
        <v>CH</v>
      </c>
      <c r="D828" t="s">
        <v>1002</v>
      </c>
      <c r="E828" t="s">
        <v>8</v>
      </c>
      <c r="F828" s="13">
        <f>F829</f>
        <v>2.3674000532401456</v>
      </c>
      <c r="G828" s="13">
        <f t="shared" ref="G828:K828" si="577">G829</f>
        <v>2.3075011453824734</v>
      </c>
      <c r="H828" s="13">
        <f t="shared" si="577"/>
        <v>3.4801738975481024E-4</v>
      </c>
      <c r="I828" s="13">
        <f t="shared" si="577"/>
        <v>5.7312284706999588E-6</v>
      </c>
      <c r="J828" s="13">
        <f t="shared" si="577"/>
        <v>5.1051822530972645E-6</v>
      </c>
      <c r="K828" s="13">
        <f t="shared" si="577"/>
        <v>1.341618080146194E-6</v>
      </c>
    </row>
    <row r="829" spans="1:13">
      <c r="A829" t="s">
        <v>5</v>
      </c>
      <c r="B829" s="5" t="str">
        <f t="shared" si="575"/>
        <v>SPS1</v>
      </c>
      <c r="C829" s="5" t="str">
        <f t="shared" si="576"/>
        <v>CH</v>
      </c>
      <c r="D829" t="s">
        <v>1003</v>
      </c>
      <c r="E829" t="s">
        <v>8</v>
      </c>
      <c r="F829" s="13">
        <f>[1]Industry!B$61</f>
        <v>2.3674000532401456</v>
      </c>
      <c r="G829" s="13">
        <f>[1]Industry!C$61</f>
        <v>2.3075011453824734</v>
      </c>
      <c r="H829" s="13">
        <f>[1]Industry!D$61</f>
        <v>3.4801738975481024E-4</v>
      </c>
      <c r="I829" s="13">
        <f>[1]Industry!E$61</f>
        <v>5.7312284706999588E-6</v>
      </c>
      <c r="J829" s="13">
        <f>[1]Industry!F$61</f>
        <v>5.1051822530972645E-6</v>
      </c>
      <c r="K829" s="13">
        <f>[1]Industry!G$61</f>
        <v>1.341618080146194E-6</v>
      </c>
    </row>
    <row r="830" spans="1:13">
      <c r="A830" t="s">
        <v>5</v>
      </c>
      <c r="B830" s="5" t="str">
        <f t="shared" si="575"/>
        <v>SPS1</v>
      </c>
      <c r="C830" s="5" t="str">
        <f t="shared" si="576"/>
        <v>CH</v>
      </c>
      <c r="D830" t="s">
        <v>1004</v>
      </c>
      <c r="E830" t="s">
        <v>8</v>
      </c>
      <c r="F830" s="13">
        <f>F831+F841</f>
        <v>11.767325085269347</v>
      </c>
      <c r="G830" s="13">
        <f t="shared" ref="G830:K830" si="578">G831+G841</f>
        <v>12.635405815698856</v>
      </c>
      <c r="H830" s="13">
        <f t="shared" si="578"/>
        <v>12.429458579599395</v>
      </c>
      <c r="I830" s="13">
        <f t="shared" si="578"/>
        <v>14.861943185883376</v>
      </c>
      <c r="J830" s="13">
        <f t="shared" si="578"/>
        <v>19.424120632870618</v>
      </c>
      <c r="K830" s="13">
        <f t="shared" si="578"/>
        <v>23.370285638811559</v>
      </c>
    </row>
    <row r="831" spans="1:13">
      <c r="A831" t="s">
        <v>5</v>
      </c>
      <c r="B831" s="5" t="str">
        <f t="shared" si="575"/>
        <v>SPS1</v>
      </c>
      <c r="C831" s="5" t="str">
        <f t="shared" si="576"/>
        <v>CH</v>
      </c>
      <c r="D831" t="s">
        <v>1005</v>
      </c>
      <c r="E831" t="s">
        <v>8</v>
      </c>
      <c r="F831" s="13">
        <f>[1]Industry!B$62</f>
        <v>5.1850537025303405</v>
      </c>
      <c r="G831" s="13">
        <f>[1]Industry!C$62</f>
        <v>5.5675574103865353</v>
      </c>
      <c r="H831" s="13">
        <f>[1]Industry!D$62</f>
        <v>5.6343058016119141</v>
      </c>
      <c r="I831" s="13">
        <f>[1]Industry!E$62</f>
        <v>7.1822389097893709</v>
      </c>
      <c r="J831" s="13">
        <f>[1]Industry!F$62</f>
        <v>10.344565170207691</v>
      </c>
      <c r="K831" s="13">
        <f>[1]Industry!G$62</f>
        <v>12.758246590982733</v>
      </c>
      <c r="M831" s="2"/>
    </row>
    <row r="832" spans="1:13">
      <c r="A832" t="s">
        <v>5</v>
      </c>
      <c r="B832" s="5" t="str">
        <f t="shared" si="575"/>
        <v>SPS1</v>
      </c>
      <c r="C832" s="5" t="str">
        <f t="shared" si="576"/>
        <v>CH</v>
      </c>
      <c r="D832" t="s">
        <v>690</v>
      </c>
      <c r="E832" t="s">
        <v>8</v>
      </c>
      <c r="F832" s="13">
        <f>IFERROR(F791/F$790,0)*F$831</f>
        <v>0.85913272283740982</v>
      </c>
      <c r="G832" s="13">
        <f t="shared" ref="G832:K832" si="579">IFERROR(G791/G$790,0)*G$831</f>
        <v>1.920030041438612</v>
      </c>
      <c r="H832" s="13">
        <f t="shared" si="579"/>
        <v>2.8371876340194092E-2</v>
      </c>
      <c r="I832" s="13">
        <f t="shared" si="579"/>
        <v>1.2338093141311024</v>
      </c>
      <c r="J832" s="13">
        <f t="shared" si="579"/>
        <v>1.3861199726719316E-2</v>
      </c>
      <c r="K832" s="13">
        <f t="shared" si="579"/>
        <v>3.1796796820346236E-3</v>
      </c>
    </row>
    <row r="833" spans="1:13">
      <c r="A833" t="s">
        <v>5</v>
      </c>
      <c r="B833" s="5" t="str">
        <f t="shared" si="575"/>
        <v>SPS1</v>
      </c>
      <c r="C833" s="5" t="str">
        <f t="shared" si="576"/>
        <v>CH</v>
      </c>
      <c r="D833" t="s">
        <v>691</v>
      </c>
      <c r="E833" t="s">
        <v>8</v>
      </c>
      <c r="F833" s="13">
        <f t="shared" ref="F833:K840" si="580">IFERROR(F792/F$790,0)*F$831</f>
        <v>1.9275419641546161</v>
      </c>
      <c r="G833" s="13">
        <f t="shared" si="580"/>
        <v>0.20977371504970491</v>
      </c>
      <c r="H833" s="13">
        <f t="shared" si="580"/>
        <v>0.11976710949241579</v>
      </c>
      <c r="I833" s="13">
        <f t="shared" si="580"/>
        <v>0.21896814668259321</v>
      </c>
      <c r="J833" s="13">
        <f t="shared" si="580"/>
        <v>1.4604632375253501E-2</v>
      </c>
      <c r="K833" s="13">
        <f t="shared" si="580"/>
        <v>0.17238483199099189</v>
      </c>
    </row>
    <row r="834" spans="1:13">
      <c r="A834" t="s">
        <v>5</v>
      </c>
      <c r="B834" s="5" t="str">
        <f t="shared" si="575"/>
        <v>SPS1</v>
      </c>
      <c r="C834" s="5" t="str">
        <f t="shared" si="576"/>
        <v>CH</v>
      </c>
      <c r="D834" t="s">
        <v>692</v>
      </c>
      <c r="E834" t="s">
        <v>8</v>
      </c>
      <c r="F834" s="13">
        <f t="shared" si="580"/>
        <v>0</v>
      </c>
      <c r="G834" s="13">
        <f t="shared" si="580"/>
        <v>0</v>
      </c>
      <c r="H834" s="13">
        <f t="shared" si="580"/>
        <v>0</v>
      </c>
      <c r="I834" s="13">
        <f t="shared" si="580"/>
        <v>0</v>
      </c>
      <c r="J834" s="13">
        <f t="shared" si="580"/>
        <v>2.4149866167759294E-5</v>
      </c>
      <c r="K834" s="13">
        <f t="shared" si="580"/>
        <v>9.9672076932782794E-2</v>
      </c>
    </row>
    <row r="835" spans="1:13">
      <c r="A835" t="s">
        <v>5</v>
      </c>
      <c r="B835" s="5" t="str">
        <f t="shared" si="575"/>
        <v>SPS1</v>
      </c>
      <c r="C835" s="5" t="str">
        <f t="shared" si="576"/>
        <v>CH</v>
      </c>
      <c r="D835" t="s">
        <v>693</v>
      </c>
      <c r="E835" t="s">
        <v>8</v>
      </c>
      <c r="F835" s="13">
        <f t="shared" si="580"/>
        <v>0</v>
      </c>
      <c r="G835" s="13">
        <f t="shared" si="580"/>
        <v>0</v>
      </c>
      <c r="H835" s="13">
        <f t="shared" si="580"/>
        <v>0</v>
      </c>
      <c r="I835" s="13">
        <f t="shared" si="580"/>
        <v>5.3483753084038019E-6</v>
      </c>
      <c r="J835" s="13">
        <f t="shared" si="580"/>
        <v>1.6734372358594577E-5</v>
      </c>
      <c r="K835" s="13">
        <f t="shared" si="580"/>
        <v>6.1339595130414233E-6</v>
      </c>
    </row>
    <row r="836" spans="1:13">
      <c r="A836" t="s">
        <v>5</v>
      </c>
      <c r="B836" s="5" t="str">
        <f t="shared" si="575"/>
        <v>SPS1</v>
      </c>
      <c r="C836" s="5" t="str">
        <f t="shared" si="576"/>
        <v>CH</v>
      </c>
      <c r="D836" t="s">
        <v>694</v>
      </c>
      <c r="E836" t="s">
        <v>8</v>
      </c>
      <c r="F836" s="13">
        <f t="shared" si="580"/>
        <v>1.7886572464145416</v>
      </c>
      <c r="G836" s="13">
        <f t="shared" si="580"/>
        <v>1.5524480616855938</v>
      </c>
      <c r="H836" s="13">
        <f t="shared" si="580"/>
        <v>2.3608296017346082</v>
      </c>
      <c r="I836" s="13">
        <f t="shared" si="580"/>
        <v>2.0960983446228765</v>
      </c>
      <c r="J836" s="13">
        <f t="shared" si="580"/>
        <v>0.90802763550556809</v>
      </c>
      <c r="K836" s="13">
        <f t="shared" si="580"/>
        <v>3.420935612935548E-6</v>
      </c>
    </row>
    <row r="837" spans="1:13">
      <c r="A837" t="s">
        <v>5</v>
      </c>
      <c r="B837" s="5" t="str">
        <f t="shared" si="575"/>
        <v>SPS1</v>
      </c>
      <c r="C837" s="5" t="str">
        <f t="shared" si="576"/>
        <v>CH</v>
      </c>
      <c r="D837" t="s">
        <v>695</v>
      </c>
      <c r="E837" t="s">
        <v>8</v>
      </c>
      <c r="F837" s="13">
        <f t="shared" si="580"/>
        <v>0</v>
      </c>
      <c r="G837" s="13">
        <f t="shared" si="580"/>
        <v>0</v>
      </c>
      <c r="H837" s="13">
        <f t="shared" si="580"/>
        <v>0</v>
      </c>
      <c r="I837" s="13">
        <f t="shared" si="580"/>
        <v>0</v>
      </c>
      <c r="J837" s="13">
        <f t="shared" si="580"/>
        <v>0.59169852932642297</v>
      </c>
      <c r="K837" s="13">
        <f t="shared" si="580"/>
        <v>1.9107051401679065</v>
      </c>
    </row>
    <row r="838" spans="1:13">
      <c r="A838" t="s">
        <v>5</v>
      </c>
      <c r="B838" s="5" t="str">
        <f t="shared" si="575"/>
        <v>SPS1</v>
      </c>
      <c r="C838" s="5" t="str">
        <f t="shared" si="576"/>
        <v>CH</v>
      </c>
      <c r="D838" t="s">
        <v>696</v>
      </c>
      <c r="E838" t="s">
        <v>8</v>
      </c>
      <c r="F838" s="13">
        <f t="shared" si="580"/>
        <v>0.60972176912377252</v>
      </c>
      <c r="G838" s="13">
        <f t="shared" si="580"/>
        <v>1.8853055922126247</v>
      </c>
      <c r="H838" s="13">
        <f t="shared" si="580"/>
        <v>3.1253372140446967</v>
      </c>
      <c r="I838" s="13">
        <f t="shared" si="580"/>
        <v>3.6332866497493499</v>
      </c>
      <c r="J838" s="13">
        <f t="shared" si="580"/>
        <v>3.4188583708021318</v>
      </c>
      <c r="K838" s="13">
        <f t="shared" si="580"/>
        <v>1.8456968737127535</v>
      </c>
    </row>
    <row r="839" spans="1:13">
      <c r="A839" t="s">
        <v>5</v>
      </c>
      <c r="B839" s="5" t="str">
        <f t="shared" si="575"/>
        <v>SPS1</v>
      </c>
      <c r="C839" s="5" t="str">
        <f t="shared" si="576"/>
        <v>CH</v>
      </c>
      <c r="D839" t="s">
        <v>697</v>
      </c>
      <c r="E839" t="s">
        <v>8</v>
      </c>
      <c r="F839" s="13">
        <f t="shared" si="580"/>
        <v>0</v>
      </c>
      <c r="G839" s="13">
        <f t="shared" si="580"/>
        <v>0</v>
      </c>
      <c r="H839" s="13">
        <f t="shared" si="580"/>
        <v>0</v>
      </c>
      <c r="I839" s="13">
        <f t="shared" si="580"/>
        <v>0</v>
      </c>
      <c r="J839" s="13">
        <f t="shared" si="580"/>
        <v>5.3972002546721987</v>
      </c>
      <c r="K839" s="13">
        <f t="shared" si="580"/>
        <v>8.5041164908136864</v>
      </c>
    </row>
    <row r="840" spans="1:13">
      <c r="A840" t="s">
        <v>5</v>
      </c>
      <c r="B840" s="5" t="str">
        <f t="shared" si="575"/>
        <v>SPS1</v>
      </c>
      <c r="C840" s="5" t="str">
        <f t="shared" si="576"/>
        <v>CH</v>
      </c>
      <c r="D840" t="s">
        <v>698</v>
      </c>
      <c r="E840" t="s">
        <v>8</v>
      </c>
      <c r="F840" s="13">
        <f t="shared" si="580"/>
        <v>0</v>
      </c>
      <c r="G840" s="13">
        <f t="shared" si="580"/>
        <v>0</v>
      </c>
      <c r="H840" s="13">
        <f t="shared" si="580"/>
        <v>0</v>
      </c>
      <c r="I840" s="13">
        <f t="shared" si="580"/>
        <v>7.110622814045769E-5</v>
      </c>
      <c r="J840" s="13">
        <f t="shared" si="580"/>
        <v>2.7366356086930055E-4</v>
      </c>
      <c r="K840" s="13">
        <f t="shared" si="580"/>
        <v>0.22248194278745012</v>
      </c>
      <c r="M840" s="2"/>
    </row>
    <row r="841" spans="1:13">
      <c r="A841" t="s">
        <v>5</v>
      </c>
      <c r="B841" s="5" t="str">
        <f t="shared" si="575"/>
        <v>SPS1</v>
      </c>
      <c r="C841" s="5" t="str">
        <f t="shared" si="576"/>
        <v>CH</v>
      </c>
      <c r="D841" t="s">
        <v>1006</v>
      </c>
      <c r="E841" t="s">
        <v>8</v>
      </c>
      <c r="F841" s="13">
        <f>[1]Industry!B$63</f>
        <v>6.5822713827390062</v>
      </c>
      <c r="G841" s="13">
        <f>[1]Industry!C$63</f>
        <v>7.0678484053123212</v>
      </c>
      <c r="H841" s="13">
        <f>[1]Industry!D$63</f>
        <v>6.7951527779874814</v>
      </c>
      <c r="I841" s="13">
        <f>[1]Industry!E$63</f>
        <v>7.6797042760940055</v>
      </c>
      <c r="J841" s="13">
        <f>[1]Industry!F$63</f>
        <v>9.0795554626629276</v>
      </c>
      <c r="K841" s="13">
        <f>[1]Industry!G$63</f>
        <v>10.612039047828828</v>
      </c>
    </row>
    <row r="842" spans="1:13">
      <c r="A842" t="s">
        <v>5</v>
      </c>
      <c r="B842" s="5" t="str">
        <f t="shared" si="575"/>
        <v>SPS1</v>
      </c>
      <c r="C842" s="5" t="str">
        <f t="shared" si="576"/>
        <v>CH</v>
      </c>
      <c r="D842" t="s">
        <v>1007</v>
      </c>
      <c r="E842" t="s">
        <v>8</v>
      </c>
      <c r="F842" s="13">
        <f>F843</f>
        <v>5.3111174105647763</v>
      </c>
      <c r="G842" s="13">
        <f t="shared" ref="G842:K842" si="581">G843</f>
        <v>6.2669381470790286</v>
      </c>
      <c r="H842" s="13">
        <f t="shared" si="581"/>
        <v>6.1574136799920796</v>
      </c>
      <c r="I842" s="13">
        <f t="shared" si="581"/>
        <v>7.082100659843702</v>
      </c>
      <c r="J842" s="13">
        <f t="shared" si="581"/>
        <v>5.5133427676385969</v>
      </c>
      <c r="K842" s="13">
        <f t="shared" si="581"/>
        <v>5.4135425737874119</v>
      </c>
    </row>
    <row r="843" spans="1:13">
      <c r="A843" t="s">
        <v>5</v>
      </c>
      <c r="B843" s="5" t="str">
        <f t="shared" si="575"/>
        <v>SPS1</v>
      </c>
      <c r="C843" s="5" t="str">
        <f t="shared" si="576"/>
        <v>CH</v>
      </c>
      <c r="D843" t="s">
        <v>1008</v>
      </c>
      <c r="E843" t="s">
        <v>8</v>
      </c>
      <c r="F843" s="13">
        <f>[1]Industry!B$64</f>
        <v>5.3111174105647763</v>
      </c>
      <c r="G843" s="13">
        <f>[1]Industry!C$64</f>
        <v>6.2669381470790286</v>
      </c>
      <c r="H843" s="13">
        <f>[1]Industry!D$64</f>
        <v>6.1574136799920796</v>
      </c>
      <c r="I843" s="13">
        <f>[1]Industry!E$64</f>
        <v>7.082100659843702</v>
      </c>
      <c r="J843" s="13">
        <f>[1]Industry!F$64</f>
        <v>5.5133427676385969</v>
      </c>
      <c r="K843" s="13">
        <f>[1]Industry!G$64</f>
        <v>5.4135425737874119</v>
      </c>
    </row>
    <row r="844" spans="1:13">
      <c r="A844" t="s">
        <v>5</v>
      </c>
      <c r="B844" s="5" t="str">
        <f t="shared" si="575"/>
        <v>SPS1</v>
      </c>
      <c r="C844" s="5" t="str">
        <f t="shared" si="576"/>
        <v>CH</v>
      </c>
      <c r="D844" t="s">
        <v>1009</v>
      </c>
      <c r="E844" t="s">
        <v>8</v>
      </c>
      <c r="F844" s="13">
        <f>F845</f>
        <v>0.46151736409547767</v>
      </c>
      <c r="G844" s="13">
        <f t="shared" ref="G844:K844" si="582">G845</f>
        <v>0.5445747876522874</v>
      </c>
      <c r="H844" s="13">
        <f t="shared" si="582"/>
        <v>0.54457495251012589</v>
      </c>
      <c r="I844" s="13">
        <f t="shared" si="582"/>
        <v>0.54457501226742933</v>
      </c>
      <c r="J844" s="13">
        <f t="shared" si="582"/>
        <v>0.54457518913732006</v>
      </c>
      <c r="K844" s="13">
        <f t="shared" si="582"/>
        <v>0.5445753398665415</v>
      </c>
    </row>
    <row r="845" spans="1:13">
      <c r="A845" t="s">
        <v>5</v>
      </c>
      <c r="B845" s="5" t="str">
        <f t="shared" si="575"/>
        <v>SPS1</v>
      </c>
      <c r="C845" s="5" t="str">
        <f t="shared" si="576"/>
        <v>CH</v>
      </c>
      <c r="D845" t="s">
        <v>1010</v>
      </c>
      <c r="E845" t="s">
        <v>8</v>
      </c>
      <c r="F845" s="13">
        <f>[1]Industry!B$65</f>
        <v>0.46151736409547767</v>
      </c>
      <c r="G845" s="13">
        <f>[1]Industry!C$65</f>
        <v>0.5445747876522874</v>
      </c>
      <c r="H845" s="13">
        <f>[1]Industry!D$65</f>
        <v>0.54457495251012589</v>
      </c>
      <c r="I845" s="13">
        <f>[1]Industry!E$65</f>
        <v>0.54457501226742933</v>
      </c>
      <c r="J845" s="13">
        <f>[1]Industry!F$65</f>
        <v>0.54457518913732006</v>
      </c>
      <c r="K845" s="13">
        <f>[1]Industry!G$65</f>
        <v>0.5445753398665415</v>
      </c>
    </row>
    <row r="846" spans="1:13">
      <c r="A846" t="s">
        <v>5</v>
      </c>
      <c r="B846" s="5" t="str">
        <f t="shared" si="575"/>
        <v>SPS1</v>
      </c>
      <c r="C846" s="5" t="str">
        <f t="shared" si="576"/>
        <v>CH</v>
      </c>
      <c r="D846" t="s">
        <v>1011</v>
      </c>
      <c r="E846" t="s">
        <v>8</v>
      </c>
      <c r="F846" s="13">
        <f>F847</f>
        <v>4.1173651468928307</v>
      </c>
      <c r="G846" s="13">
        <f t="shared" ref="G846:K846" si="583">G847</f>
        <v>4.266313939936988</v>
      </c>
      <c r="H846" s="13">
        <f t="shared" si="583"/>
        <v>2.961162166203529</v>
      </c>
      <c r="I846" s="13">
        <f t="shared" si="583"/>
        <v>2.9280920016022227</v>
      </c>
      <c r="J846" s="13">
        <f t="shared" si="583"/>
        <v>2.8804087723393592</v>
      </c>
      <c r="K846" s="13">
        <f t="shared" si="583"/>
        <v>4.1366096656265546E-6</v>
      </c>
    </row>
    <row r="847" spans="1:13">
      <c r="A847" t="s">
        <v>5</v>
      </c>
      <c r="B847" s="5" t="str">
        <f t="shared" si="575"/>
        <v>SPS1</v>
      </c>
      <c r="C847" s="5" t="str">
        <f t="shared" si="576"/>
        <v>CH</v>
      </c>
      <c r="D847" t="s">
        <v>1012</v>
      </c>
      <c r="E847" t="s">
        <v>8</v>
      </c>
      <c r="F847" s="13">
        <f>[1]Industry!B$66</f>
        <v>4.1173651468928307</v>
      </c>
      <c r="G847" s="13">
        <f>[1]Industry!C$66</f>
        <v>4.266313939936988</v>
      </c>
      <c r="H847" s="13">
        <f>[1]Industry!D$66</f>
        <v>2.961162166203529</v>
      </c>
      <c r="I847" s="13">
        <f>[1]Industry!E$66</f>
        <v>2.9280920016022227</v>
      </c>
      <c r="J847" s="13">
        <f>[1]Industry!F$66</f>
        <v>2.8804087723393592</v>
      </c>
      <c r="K847" s="13">
        <f>[1]Industry!G$66</f>
        <v>4.1366096656265546E-6</v>
      </c>
    </row>
    <row r="848" spans="1:13">
      <c r="A848" t="s">
        <v>5</v>
      </c>
      <c r="B848" s="5" t="str">
        <f t="shared" si="575"/>
        <v>SPS1</v>
      </c>
      <c r="C848" s="5" t="str">
        <f t="shared" si="576"/>
        <v>CH</v>
      </c>
      <c r="D848" t="s">
        <v>1013</v>
      </c>
      <c r="E848" t="s">
        <v>8</v>
      </c>
      <c r="F848" s="13">
        <f>F849</f>
        <v>6.762755789151853E-2</v>
      </c>
      <c r="G848" s="13">
        <f t="shared" ref="G848:K848" si="584">G849</f>
        <v>8.5488346665263865E-2</v>
      </c>
      <c r="H848" s="13">
        <f t="shared" si="584"/>
        <v>8.5488401018779234E-2</v>
      </c>
      <c r="I848" s="13">
        <f t="shared" si="584"/>
        <v>8.5488320240544202E-2</v>
      </c>
      <c r="J848" s="13">
        <f t="shared" si="584"/>
        <v>9.269225881338794E-2</v>
      </c>
      <c r="K848" s="13">
        <f t="shared" si="584"/>
        <v>9.2692212379879721E-2</v>
      </c>
    </row>
    <row r="849" spans="1:11">
      <c r="A849" t="s">
        <v>5</v>
      </c>
      <c r="B849" s="5" t="str">
        <f t="shared" si="575"/>
        <v>SPS1</v>
      </c>
      <c r="C849" s="5" t="str">
        <f t="shared" si="576"/>
        <v>CH</v>
      </c>
      <c r="D849" t="s">
        <v>1014</v>
      </c>
      <c r="E849" t="s">
        <v>8</v>
      </c>
      <c r="F849" s="13">
        <f>[1]Industry!B$67</f>
        <v>6.762755789151853E-2</v>
      </c>
      <c r="G849" s="13">
        <f>[1]Industry!C$67</f>
        <v>8.5488346665263865E-2</v>
      </c>
      <c r="H849" s="13">
        <f>[1]Industry!D$67</f>
        <v>8.5488401018779234E-2</v>
      </c>
      <c r="I849" s="13">
        <f>[1]Industry!E$67</f>
        <v>8.5488320240544202E-2</v>
      </c>
      <c r="J849" s="13">
        <f>[1]Industry!F$67</f>
        <v>9.269225881338794E-2</v>
      </c>
      <c r="K849" s="13">
        <f>[1]Industry!G$67</f>
        <v>9.2692212379879721E-2</v>
      </c>
    </row>
    <row r="850" spans="1:11">
      <c r="A850" t="s">
        <v>5</v>
      </c>
      <c r="B850" s="5" t="str">
        <f t="shared" si="575"/>
        <v>SPS1</v>
      </c>
      <c r="C850" s="5" t="str">
        <f t="shared" si="576"/>
        <v>CH</v>
      </c>
      <c r="D850" t="s">
        <v>1015</v>
      </c>
      <c r="E850" t="s">
        <v>8</v>
      </c>
      <c r="F850" s="13">
        <f>F851</f>
        <v>0</v>
      </c>
      <c r="G850" s="13">
        <f t="shared" ref="G850:K850" si="585">G851</f>
        <v>0</v>
      </c>
      <c r="H850" s="13">
        <f t="shared" si="585"/>
        <v>0</v>
      </c>
      <c r="I850" s="13">
        <f t="shared" si="585"/>
        <v>2.1830741438260803</v>
      </c>
      <c r="J850" s="13">
        <f t="shared" si="585"/>
        <v>7.0086733488585677</v>
      </c>
      <c r="K850" s="13">
        <f t="shared" si="585"/>
        <v>12.160638068147236</v>
      </c>
    </row>
    <row r="851" spans="1:11">
      <c r="A851" t="s">
        <v>5</v>
      </c>
      <c r="B851" s="5" t="str">
        <f t="shared" si="575"/>
        <v>SPS1</v>
      </c>
      <c r="C851" s="5" t="str">
        <f t="shared" si="576"/>
        <v>CH</v>
      </c>
      <c r="D851" t="s">
        <v>1016</v>
      </c>
      <c r="E851" t="s">
        <v>8</v>
      </c>
      <c r="F851" s="13">
        <f>[1]Industry!B$69</f>
        <v>0</v>
      </c>
      <c r="G851" s="13">
        <f>[1]Industry!C$69</f>
        <v>0</v>
      </c>
      <c r="H851" s="13">
        <f>[1]Industry!D$69</f>
        <v>0</v>
      </c>
      <c r="I851" s="13">
        <f>[1]Industry!E$69</f>
        <v>2.1830741438260803</v>
      </c>
      <c r="J851" s="13">
        <f>[1]Industry!F$69</f>
        <v>7.0086733488585677</v>
      </c>
      <c r="K851" s="13">
        <f>[1]Industry!G$69</f>
        <v>12.160638068147236</v>
      </c>
    </row>
    <row r="852" spans="1:11">
      <c r="A852" t="s">
        <v>5</v>
      </c>
      <c r="B852" s="5" t="str">
        <f t="shared" si="575"/>
        <v>SPS1</v>
      </c>
      <c r="C852" s="5" t="str">
        <f t="shared" si="576"/>
        <v>CH</v>
      </c>
      <c r="D852" t="s">
        <v>1017</v>
      </c>
      <c r="E852" t="s">
        <v>8</v>
      </c>
      <c r="F852" s="13">
        <f>SUM(F853:F854)</f>
        <v>0</v>
      </c>
      <c r="G852" s="13">
        <f t="shared" ref="G852:K852" si="586">SUM(G853:G854)</f>
        <v>4.8941883265269972</v>
      </c>
      <c r="H852" s="13">
        <f t="shared" si="586"/>
        <v>4.8941868605738845</v>
      </c>
      <c r="I852" s="13">
        <f t="shared" si="586"/>
        <v>6.4317657790447811</v>
      </c>
      <c r="J852" s="13">
        <f t="shared" si="586"/>
        <v>12.42186192370972</v>
      </c>
      <c r="K852" s="13">
        <f t="shared" si="586"/>
        <v>20.873264778103366</v>
      </c>
    </row>
    <row r="853" spans="1:11">
      <c r="A853" t="s">
        <v>5</v>
      </c>
      <c r="B853" s="5" t="str">
        <f t="shared" si="575"/>
        <v>SPS1</v>
      </c>
      <c r="C853" s="5" t="str">
        <f t="shared" si="576"/>
        <v>CH</v>
      </c>
      <c r="D853" t="s">
        <v>699</v>
      </c>
      <c r="E853" t="s">
        <v>8</v>
      </c>
      <c r="F853" s="13">
        <f>[1]Industry!B$6-F854</f>
        <v>0</v>
      </c>
      <c r="G853" s="13">
        <f>[1]Industry!C$6-G854</f>
        <v>0.91686502518832391</v>
      </c>
      <c r="H853" s="13">
        <f>[1]Industry!D$6-H854</f>
        <v>0.91686500880665633</v>
      </c>
      <c r="I853" s="13">
        <f>[1]Industry!E$6-I854</f>
        <v>0.92270160777740262</v>
      </c>
      <c r="J853" s="13">
        <f>[1]Industry!F$6-J854</f>
        <v>1.2383562573737397</v>
      </c>
      <c r="K853" s="13">
        <f>[1]Industry!G$6-K854</f>
        <v>4.8335029236476927</v>
      </c>
    </row>
    <row r="854" spans="1:11">
      <c r="A854" t="s">
        <v>5</v>
      </c>
      <c r="B854" s="5" t="str">
        <f t="shared" si="575"/>
        <v>SPS1</v>
      </c>
      <c r="C854" s="5" t="str">
        <f t="shared" si="576"/>
        <v>CH</v>
      </c>
      <c r="D854" t="s">
        <v>700</v>
      </c>
      <c r="E854" t="s">
        <v>8</v>
      </c>
      <c r="F854" s="13">
        <f>[1]Industry!B$70</f>
        <v>0</v>
      </c>
      <c r="G854" s="13">
        <f>[1]Industry!C$70</f>
        <v>3.9773233013386733</v>
      </c>
      <c r="H854" s="13">
        <f>[1]Industry!D$70</f>
        <v>3.9773218517672282</v>
      </c>
      <c r="I854" s="13">
        <f>[1]Industry!E$70</f>
        <v>5.5090641712673785</v>
      </c>
      <c r="J854" s="13">
        <f>[1]Industry!F$70</f>
        <v>11.18350566633598</v>
      </c>
      <c r="K854" s="13">
        <f>[1]Industry!G$70</f>
        <v>16.039761854455673</v>
      </c>
    </row>
    <row r="855" spans="1:11">
      <c r="A855" t="s">
        <v>5</v>
      </c>
      <c r="B855" s="8" t="str">
        <f>B854</f>
        <v>SPS1</v>
      </c>
      <c r="C855" s="8" t="str">
        <f>C854</f>
        <v>CH</v>
      </c>
      <c r="D855" s="1" t="s">
        <v>714</v>
      </c>
      <c r="E855" s="1" t="s">
        <v>242</v>
      </c>
      <c r="F855" s="13" t="s">
        <v>295</v>
      </c>
      <c r="G855" s="13" t="s">
        <v>295</v>
      </c>
      <c r="H855" s="13" t="s">
        <v>295</v>
      </c>
      <c r="I855" s="13" t="s">
        <v>295</v>
      </c>
      <c r="J855" s="13" t="s">
        <v>295</v>
      </c>
      <c r="K855" s="13" t="s">
        <v>295</v>
      </c>
    </row>
    <row r="856" spans="1:11">
      <c r="A856" t="s">
        <v>5</v>
      </c>
      <c r="B856" s="5" t="str">
        <f>B855</f>
        <v>SPS1</v>
      </c>
      <c r="C856" s="5" t="str">
        <f>C855</f>
        <v>CH</v>
      </c>
      <c r="D856" t="s">
        <v>789</v>
      </c>
      <c r="E856" t="s">
        <v>242</v>
      </c>
      <c r="F856" s="21">
        <f>IFERROR(F818/F763,"-")</f>
        <v>0.84261542941328393</v>
      </c>
      <c r="G856" s="21">
        <f t="shared" ref="G856:K856" si="587">IFERROR(G818/G763,"-")</f>
        <v>0.84306236513985311</v>
      </c>
      <c r="H856" s="21">
        <f t="shared" si="587"/>
        <v>0.84373276872970682</v>
      </c>
      <c r="I856" s="21">
        <f t="shared" si="587"/>
        <v>0.84485010804612926</v>
      </c>
      <c r="J856" s="21">
        <f t="shared" si="587"/>
        <v>0.84708478667897635</v>
      </c>
      <c r="K856" s="21">
        <f t="shared" si="587"/>
        <v>0.84931946531182478</v>
      </c>
    </row>
    <row r="857" spans="1:11">
      <c r="A857" t="s">
        <v>5</v>
      </c>
      <c r="B857" s="5" t="str">
        <f t="shared" ref="B857:B879" si="588">B856</f>
        <v>SPS1</v>
      </c>
      <c r="C857" s="5" t="str">
        <f t="shared" ref="C857:C879" si="589">C856</f>
        <v>CH</v>
      </c>
      <c r="D857" t="s">
        <v>753</v>
      </c>
      <c r="E857" t="s">
        <v>242</v>
      </c>
      <c r="F857" s="21">
        <f t="shared" ref="F857:K857" si="590">IFERROR(F819/F764,"-")</f>
        <v>3.0809801822513281</v>
      </c>
      <c r="G857" s="21">
        <f t="shared" si="590"/>
        <v>3.105537477406914</v>
      </c>
      <c r="H857" s="21">
        <f t="shared" si="590"/>
        <v>3.1423734201402915</v>
      </c>
      <c r="I857" s="21">
        <f t="shared" si="590"/>
        <v>3.2037666580292501</v>
      </c>
      <c r="J857" s="21">
        <f t="shared" si="590"/>
        <v>3.3265531338071703</v>
      </c>
      <c r="K857" s="21">
        <f t="shared" si="590"/>
        <v>3.4493396095850879</v>
      </c>
    </row>
    <row r="858" spans="1:11">
      <c r="A858" t="s">
        <v>5</v>
      </c>
      <c r="B858" s="5" t="str">
        <f t="shared" si="588"/>
        <v>SPS1</v>
      </c>
      <c r="C858" s="5" t="str">
        <f t="shared" si="589"/>
        <v>CH</v>
      </c>
      <c r="D858" t="s">
        <v>703</v>
      </c>
      <c r="E858" t="s">
        <v>242</v>
      </c>
      <c r="F858" s="21">
        <f t="shared" ref="F858:K858" si="591">IFERROR(F820/F765,"-")</f>
        <v>1</v>
      </c>
      <c r="G858" s="21">
        <f t="shared" si="591"/>
        <v>0.99999999892469371</v>
      </c>
      <c r="H858" s="21">
        <f t="shared" si="591"/>
        <v>0.99999999887506585</v>
      </c>
      <c r="I858" s="21">
        <f t="shared" si="591"/>
        <v>1.0000000316536892</v>
      </c>
      <c r="J858" s="21">
        <f t="shared" si="591"/>
        <v>1.0000000571883387</v>
      </c>
      <c r="K858" s="21">
        <f t="shared" si="591"/>
        <v>0.93983760870847977</v>
      </c>
    </row>
    <row r="859" spans="1:11">
      <c r="A859" t="s">
        <v>5</v>
      </c>
      <c r="B859" s="5" t="str">
        <f t="shared" si="588"/>
        <v>SPS1</v>
      </c>
      <c r="C859" s="5" t="str">
        <f t="shared" si="589"/>
        <v>CH</v>
      </c>
      <c r="D859" t="s">
        <v>1018</v>
      </c>
      <c r="E859" t="s">
        <v>242</v>
      </c>
      <c r="F859" s="21">
        <f>IFERROR(F822/F767,"-")</f>
        <v>0.77746213224363492</v>
      </c>
      <c r="G859" s="21">
        <f t="shared" ref="G859:K860" si="592">IFERROR(G822/G767,"-")</f>
        <v>0.77871988564932382</v>
      </c>
      <c r="H859" s="21">
        <f t="shared" si="592"/>
        <v>0.78060651575785545</v>
      </c>
      <c r="I859" s="21">
        <f t="shared" si="592"/>
        <v>0.78375089927207719</v>
      </c>
      <c r="J859" s="21">
        <f t="shared" si="592"/>
        <v>0.79003966630051925</v>
      </c>
      <c r="K859" s="21">
        <f t="shared" si="592"/>
        <v>0.79632843332896042</v>
      </c>
    </row>
    <row r="860" spans="1:11">
      <c r="A860" t="s">
        <v>5</v>
      </c>
      <c r="B860" s="5" t="str">
        <f t="shared" si="588"/>
        <v>SPS1</v>
      </c>
      <c r="C860" s="5" t="str">
        <f t="shared" si="589"/>
        <v>CH</v>
      </c>
      <c r="D860" t="s">
        <v>1019</v>
      </c>
      <c r="E860" t="s">
        <v>242</v>
      </c>
      <c r="F860" s="21">
        <f>IFERROR(F823/F768,"-")</f>
        <v>0.67612499999999964</v>
      </c>
      <c r="G860" s="21">
        <f t="shared" si="592"/>
        <v>0.67905000000000004</v>
      </c>
      <c r="H860" s="21">
        <f t="shared" si="592"/>
        <v>0.6834375000000007</v>
      </c>
      <c r="I860" s="21">
        <f t="shared" si="592"/>
        <v>0.69074999999999998</v>
      </c>
      <c r="J860" s="21">
        <f t="shared" si="592"/>
        <v>0.70537499999999953</v>
      </c>
      <c r="K860" s="21" t="str">
        <f t="shared" si="592"/>
        <v>-</v>
      </c>
    </row>
    <row r="861" spans="1:11">
      <c r="A861" t="s">
        <v>5</v>
      </c>
      <c r="B861" s="5" t="str">
        <f t="shared" si="588"/>
        <v>SPS1</v>
      </c>
      <c r="C861" s="5" t="str">
        <f t="shared" si="589"/>
        <v>CH</v>
      </c>
      <c r="D861" t="s">
        <v>1020</v>
      </c>
      <c r="E861" t="s">
        <v>242</v>
      </c>
      <c r="F861" s="21">
        <f>IFERROR(F825/F777,"-")</f>
        <v>0.80500508069939292</v>
      </c>
      <c r="G861" s="21">
        <f t="shared" ref="G861:K863" si="593">IFERROR(G825/G777,"-")</f>
        <v>0.80570976836244379</v>
      </c>
      <c r="H861" s="21">
        <f t="shared" si="593"/>
        <v>0.80708245158253178</v>
      </c>
      <c r="I861" s="21">
        <f t="shared" si="593"/>
        <v>0.81058021537404912</v>
      </c>
      <c r="J861" s="21">
        <f t="shared" si="593"/>
        <v>0.81204549678138149</v>
      </c>
      <c r="K861" s="21">
        <f t="shared" si="593"/>
        <v>0.8301943053753581</v>
      </c>
    </row>
    <row r="862" spans="1:11">
      <c r="A862" t="s">
        <v>5</v>
      </c>
      <c r="B862" s="5" t="str">
        <f t="shared" si="588"/>
        <v>SPS1</v>
      </c>
      <c r="C862" s="5" t="str">
        <f t="shared" si="589"/>
        <v>CH</v>
      </c>
      <c r="D862" t="s">
        <v>1021</v>
      </c>
      <c r="E862" t="s">
        <v>242</v>
      </c>
      <c r="F862" s="21">
        <f>IFERROR(F826/F778,"-")</f>
        <v>0</v>
      </c>
      <c r="G862" s="21">
        <f t="shared" si="593"/>
        <v>0</v>
      </c>
      <c r="H862" s="21" t="str">
        <f t="shared" si="593"/>
        <v>-</v>
      </c>
      <c r="I862" s="21" t="str">
        <f t="shared" si="593"/>
        <v>-</v>
      </c>
      <c r="J862" s="21" t="str">
        <f t="shared" si="593"/>
        <v>-</v>
      </c>
      <c r="K862" s="21" t="str">
        <f t="shared" si="593"/>
        <v>-</v>
      </c>
    </row>
    <row r="863" spans="1:11">
      <c r="A863" t="s">
        <v>5</v>
      </c>
      <c r="B863" s="5" t="str">
        <f t="shared" si="588"/>
        <v>SPS1</v>
      </c>
      <c r="C863" s="5" t="str">
        <f t="shared" si="589"/>
        <v>CH</v>
      </c>
      <c r="D863" t="s">
        <v>1022</v>
      </c>
      <c r="E863" t="s">
        <v>242</v>
      </c>
      <c r="F863" s="21">
        <f>IFERROR(F827/F779,"-")</f>
        <v>0.71087422461146388</v>
      </c>
      <c r="G863" s="21">
        <f t="shared" si="593"/>
        <v>0.71090841838225194</v>
      </c>
      <c r="H863" s="21">
        <f t="shared" si="593"/>
        <v>0.71099999999999997</v>
      </c>
      <c r="I863" s="21">
        <f t="shared" si="593"/>
        <v>0.71100000000000052</v>
      </c>
      <c r="J863" s="21">
        <f t="shared" si="593"/>
        <v>0.71100000000000074</v>
      </c>
      <c r="K863" s="21">
        <f t="shared" si="593"/>
        <v>0.71999999999999953</v>
      </c>
    </row>
    <row r="864" spans="1:11">
      <c r="A864" t="s">
        <v>5</v>
      </c>
      <c r="B864" s="5" t="str">
        <f t="shared" si="588"/>
        <v>SPS1</v>
      </c>
      <c r="C864" s="5" t="str">
        <f t="shared" si="589"/>
        <v>CH</v>
      </c>
      <c r="D864" t="s">
        <v>1023</v>
      </c>
      <c r="E864" t="s">
        <v>242</v>
      </c>
      <c r="F864" s="21">
        <f>IFERROR(F829/F788,"-")</f>
        <v>0.66499999999999992</v>
      </c>
      <c r="G864" s="21">
        <f t="shared" ref="G864:K864" si="594">IFERROR(G829/G788,"-")</f>
        <v>0.66600000000000037</v>
      </c>
      <c r="H864" s="21">
        <f t="shared" si="594"/>
        <v>0.66749999999999998</v>
      </c>
      <c r="I864" s="21">
        <f t="shared" si="594"/>
        <v>0.66999999999999948</v>
      </c>
      <c r="J864" s="21">
        <f t="shared" si="594"/>
        <v>0.67500000000000027</v>
      </c>
      <c r="K864" s="21">
        <f t="shared" si="594"/>
        <v>0.6799999999999996</v>
      </c>
    </row>
    <row r="865" spans="1:12">
      <c r="A865" t="s">
        <v>5</v>
      </c>
      <c r="B865" s="5" t="str">
        <f t="shared" si="588"/>
        <v>SPS1</v>
      </c>
      <c r="C865" s="5" t="str">
        <f t="shared" si="589"/>
        <v>CH</v>
      </c>
      <c r="D865" t="s">
        <v>704</v>
      </c>
      <c r="E865" t="s">
        <v>242</v>
      </c>
      <c r="F865" s="21">
        <f>IFERROR(F832/F791,"-")</f>
        <v>0.92447568039380257</v>
      </c>
      <c r="G865" s="21">
        <f t="shared" ref="G865:K865" si="595">IFERROR(G832/G791,"-")</f>
        <v>0.92622470103603871</v>
      </c>
      <c r="H865" s="21">
        <f t="shared" si="595"/>
        <v>0.92571261239484059</v>
      </c>
      <c r="I865" s="21">
        <f t="shared" si="595"/>
        <v>0.9343699293257326</v>
      </c>
      <c r="J865" s="21">
        <f t="shared" si="595"/>
        <v>0.94366847450657365</v>
      </c>
      <c r="K865" s="21">
        <f t="shared" si="595"/>
        <v>0.9499001546290482</v>
      </c>
    </row>
    <row r="866" spans="1:12">
      <c r="A866" t="s">
        <v>5</v>
      </c>
      <c r="B866" s="5" t="str">
        <f t="shared" si="588"/>
        <v>SPS1</v>
      </c>
      <c r="C866" s="5" t="str">
        <f t="shared" si="589"/>
        <v>CH</v>
      </c>
      <c r="D866" t="s">
        <v>705</v>
      </c>
      <c r="E866" t="s">
        <v>242</v>
      </c>
      <c r="F866" s="21">
        <f t="shared" ref="F866:K874" si="596">IFERROR(F833/F792,"-")</f>
        <v>0.92447568039380257</v>
      </c>
      <c r="G866" s="21">
        <f t="shared" si="596"/>
        <v>0.92622470103603871</v>
      </c>
      <c r="H866" s="21">
        <f t="shared" si="596"/>
        <v>0.92571261239484048</v>
      </c>
      <c r="I866" s="21">
        <f t="shared" si="596"/>
        <v>0.9343699293257326</v>
      </c>
      <c r="J866" s="21">
        <f t="shared" si="596"/>
        <v>0.94366847450657343</v>
      </c>
      <c r="K866" s="21">
        <f t="shared" si="596"/>
        <v>0.9499001546290482</v>
      </c>
    </row>
    <row r="867" spans="1:12">
      <c r="A867" t="s">
        <v>5</v>
      </c>
      <c r="B867" s="5" t="str">
        <f t="shared" si="588"/>
        <v>SPS1</v>
      </c>
      <c r="C867" s="5" t="str">
        <f t="shared" si="589"/>
        <v>CH</v>
      </c>
      <c r="D867" t="s">
        <v>706</v>
      </c>
      <c r="E867" t="s">
        <v>242</v>
      </c>
      <c r="F867" s="21" t="str">
        <f t="shared" si="596"/>
        <v>-</v>
      </c>
      <c r="G867" s="21" t="str">
        <f t="shared" si="596"/>
        <v>-</v>
      </c>
      <c r="H867" s="21" t="str">
        <f t="shared" si="596"/>
        <v>-</v>
      </c>
      <c r="I867" s="21" t="str">
        <f t="shared" si="596"/>
        <v>-</v>
      </c>
      <c r="J867" s="21">
        <f t="shared" si="596"/>
        <v>0.94366847450657354</v>
      </c>
      <c r="K867" s="21">
        <f t="shared" si="596"/>
        <v>0.9499001546290482</v>
      </c>
    </row>
    <row r="868" spans="1:12">
      <c r="A868" t="s">
        <v>5</v>
      </c>
      <c r="B868" s="5" t="str">
        <f t="shared" si="588"/>
        <v>SPS1</v>
      </c>
      <c r="C868" s="5" t="str">
        <f t="shared" si="589"/>
        <v>CH</v>
      </c>
      <c r="D868" t="s">
        <v>707</v>
      </c>
      <c r="E868" t="s">
        <v>242</v>
      </c>
      <c r="F868" s="21" t="str">
        <f t="shared" si="596"/>
        <v>-</v>
      </c>
      <c r="G868" s="21" t="str">
        <f t="shared" si="596"/>
        <v>-</v>
      </c>
      <c r="H868" s="21" t="str">
        <f t="shared" si="596"/>
        <v>-</v>
      </c>
      <c r="I868" s="21">
        <f t="shared" si="596"/>
        <v>0.93436992932573248</v>
      </c>
      <c r="J868" s="21">
        <f t="shared" si="596"/>
        <v>0.94366847450657365</v>
      </c>
      <c r="K868" s="21">
        <f t="shared" si="596"/>
        <v>0.9499001546290482</v>
      </c>
    </row>
    <row r="869" spans="1:12">
      <c r="A869" t="s">
        <v>5</v>
      </c>
      <c r="B869" s="5" t="str">
        <f t="shared" si="588"/>
        <v>SPS1</v>
      </c>
      <c r="C869" s="5" t="str">
        <f t="shared" si="589"/>
        <v>CH</v>
      </c>
      <c r="D869" t="s">
        <v>708</v>
      </c>
      <c r="E869" t="s">
        <v>242</v>
      </c>
      <c r="F869" s="21">
        <f t="shared" si="596"/>
        <v>0.92447568039380257</v>
      </c>
      <c r="G869" s="21">
        <f t="shared" si="596"/>
        <v>0.9262247010360386</v>
      </c>
      <c r="H869" s="21">
        <f t="shared" si="596"/>
        <v>0.92571261239484048</v>
      </c>
      <c r="I869" s="21">
        <f t="shared" si="596"/>
        <v>0.93436992932573248</v>
      </c>
      <c r="J869" s="21">
        <f t="shared" si="596"/>
        <v>0.94366847450657365</v>
      </c>
      <c r="K869" s="21">
        <f t="shared" si="596"/>
        <v>0.9499001546290482</v>
      </c>
    </row>
    <row r="870" spans="1:12">
      <c r="A870" t="s">
        <v>5</v>
      </c>
      <c r="B870" s="5" t="str">
        <f t="shared" si="588"/>
        <v>SPS1</v>
      </c>
      <c r="C870" s="5" t="str">
        <f t="shared" si="589"/>
        <v>CH</v>
      </c>
      <c r="D870" t="s">
        <v>709</v>
      </c>
      <c r="E870" t="s">
        <v>242</v>
      </c>
      <c r="F870" s="21" t="str">
        <f t="shared" si="596"/>
        <v>-</v>
      </c>
      <c r="G870" s="21" t="str">
        <f t="shared" si="596"/>
        <v>-</v>
      </c>
      <c r="H870" s="21" t="str">
        <f t="shared" si="596"/>
        <v>-</v>
      </c>
      <c r="I870" s="21" t="str">
        <f t="shared" si="596"/>
        <v>-</v>
      </c>
      <c r="J870" s="21">
        <f t="shared" si="596"/>
        <v>0.94366847450657365</v>
      </c>
      <c r="K870" s="21">
        <f t="shared" si="596"/>
        <v>0.94990015462904831</v>
      </c>
    </row>
    <row r="871" spans="1:12">
      <c r="A871" t="s">
        <v>5</v>
      </c>
      <c r="B871" s="5" t="str">
        <f t="shared" si="588"/>
        <v>SPS1</v>
      </c>
      <c r="C871" s="5" t="str">
        <f t="shared" si="589"/>
        <v>CH</v>
      </c>
      <c r="D871" t="s">
        <v>710</v>
      </c>
      <c r="E871" t="s">
        <v>242</v>
      </c>
      <c r="F871" s="21">
        <f t="shared" si="596"/>
        <v>0.92447568039380257</v>
      </c>
      <c r="G871" s="21">
        <f t="shared" si="596"/>
        <v>0.9262247010360386</v>
      </c>
      <c r="H871" s="21">
        <f t="shared" si="596"/>
        <v>0.92571261239484059</v>
      </c>
      <c r="I871" s="21">
        <f t="shared" si="596"/>
        <v>0.9343699293257326</v>
      </c>
      <c r="J871" s="21">
        <f t="shared" si="596"/>
        <v>0.94366847450657354</v>
      </c>
      <c r="K871" s="21">
        <f t="shared" si="596"/>
        <v>0.9499001546290482</v>
      </c>
    </row>
    <row r="872" spans="1:12">
      <c r="A872" t="s">
        <v>5</v>
      </c>
      <c r="B872" s="5" t="str">
        <f t="shared" si="588"/>
        <v>SPS1</v>
      </c>
      <c r="C872" s="5" t="str">
        <f t="shared" si="589"/>
        <v>CH</v>
      </c>
      <c r="D872" t="s">
        <v>711</v>
      </c>
      <c r="E872" t="s">
        <v>242</v>
      </c>
      <c r="F872" s="21" t="str">
        <f t="shared" si="596"/>
        <v>-</v>
      </c>
      <c r="G872" s="21" t="str">
        <f t="shared" si="596"/>
        <v>-</v>
      </c>
      <c r="H872" s="21" t="str">
        <f t="shared" si="596"/>
        <v>-</v>
      </c>
      <c r="I872" s="21" t="str">
        <f t="shared" si="596"/>
        <v>-</v>
      </c>
      <c r="J872" s="21">
        <f t="shared" si="596"/>
        <v>0.94366847450657354</v>
      </c>
      <c r="K872" s="21">
        <f t="shared" si="596"/>
        <v>0.9499001546290482</v>
      </c>
    </row>
    <row r="873" spans="1:12">
      <c r="A873" t="s">
        <v>5</v>
      </c>
      <c r="B873" s="5" t="str">
        <f t="shared" si="588"/>
        <v>SPS1</v>
      </c>
      <c r="C873" s="5" t="str">
        <f t="shared" si="589"/>
        <v>CH</v>
      </c>
      <c r="D873" t="s">
        <v>712</v>
      </c>
      <c r="E873" t="s">
        <v>242</v>
      </c>
      <c r="F873" s="21" t="str">
        <f t="shared" si="596"/>
        <v>-</v>
      </c>
      <c r="G873" s="21" t="str">
        <f t="shared" si="596"/>
        <v>-</v>
      </c>
      <c r="H873" s="21" t="str">
        <f t="shared" si="596"/>
        <v>-</v>
      </c>
      <c r="I873" s="21">
        <f t="shared" si="596"/>
        <v>0.9343699293257326</v>
      </c>
      <c r="J873" s="21">
        <f t="shared" si="596"/>
        <v>0.94366847450657354</v>
      </c>
      <c r="K873" s="21">
        <f t="shared" si="596"/>
        <v>0.9499001546290482</v>
      </c>
    </row>
    <row r="874" spans="1:12">
      <c r="A874" t="s">
        <v>5</v>
      </c>
      <c r="B874" s="5" t="str">
        <f t="shared" si="588"/>
        <v>SPS1</v>
      </c>
      <c r="C874" s="5" t="str">
        <f t="shared" si="589"/>
        <v>CH</v>
      </c>
      <c r="D874" t="s">
        <v>1024</v>
      </c>
      <c r="E874" t="s">
        <v>242</v>
      </c>
      <c r="F874" s="21">
        <f t="shared" si="596"/>
        <v>0.92447626236575098</v>
      </c>
      <c r="G874" s="21">
        <f t="shared" si="596"/>
        <v>0.92645636412827292</v>
      </c>
      <c r="H874" s="21">
        <f t="shared" si="596"/>
        <v>0.9294265167720549</v>
      </c>
      <c r="I874" s="21">
        <f t="shared" si="596"/>
        <v>0.93437677117835827</v>
      </c>
      <c r="J874" s="21">
        <f t="shared" si="596"/>
        <v>0.944277279990965</v>
      </c>
      <c r="K874" s="21">
        <f>IFERROR(K841/K800,"-")</f>
        <v>0.95000000000000095</v>
      </c>
    </row>
    <row r="875" spans="1:12">
      <c r="A875" t="s">
        <v>5</v>
      </c>
      <c r="B875" s="5" t="str">
        <f t="shared" si="588"/>
        <v>SPS1</v>
      </c>
      <c r="C875" s="5" t="str">
        <f t="shared" si="589"/>
        <v>CH</v>
      </c>
      <c r="D875" t="s">
        <v>1025</v>
      </c>
      <c r="E875" t="s">
        <v>242</v>
      </c>
      <c r="F875" s="21">
        <f>IFERROR(F843/F802,"-")</f>
        <v>0.58999999999999897</v>
      </c>
      <c r="G875" s="21">
        <f t="shared" ref="G875:K875" si="597">IFERROR(G843/G802,"-")</f>
        <v>0.59066666666666623</v>
      </c>
      <c r="H875" s="21">
        <f t="shared" si="597"/>
        <v>0.59166666666666656</v>
      </c>
      <c r="I875" s="21">
        <f t="shared" si="597"/>
        <v>0.59333333333333271</v>
      </c>
      <c r="J875" s="21">
        <f t="shared" si="597"/>
        <v>0.59666666666666657</v>
      </c>
      <c r="K875" s="21">
        <f t="shared" si="597"/>
        <v>0.59999999999999953</v>
      </c>
    </row>
    <row r="876" spans="1:12">
      <c r="A876" t="s">
        <v>5</v>
      </c>
      <c r="B876" s="5" t="str">
        <f t="shared" si="588"/>
        <v>SPS1</v>
      </c>
      <c r="C876" s="5" t="str">
        <f t="shared" si="589"/>
        <v>CH</v>
      </c>
      <c r="D876" t="s">
        <v>1026</v>
      </c>
      <c r="E876" t="s">
        <v>242</v>
      </c>
      <c r="F876" s="21">
        <f>IFERROR(F845/F804,"-")</f>
        <v>0.73749999999999971</v>
      </c>
      <c r="G876" s="21">
        <f t="shared" ref="G876:K876" si="598">IFERROR(G845/G804,"-")</f>
        <v>0.73833333333333273</v>
      </c>
      <c r="H876" s="21">
        <f t="shared" si="598"/>
        <v>0.7395833333333337</v>
      </c>
      <c r="I876" s="21">
        <f t="shared" si="598"/>
        <v>0.74166666666666614</v>
      </c>
      <c r="J876" s="21">
        <f t="shared" si="598"/>
        <v>0.74583333333333313</v>
      </c>
      <c r="K876" s="21">
        <f t="shared" si="598"/>
        <v>0.74999999999999922</v>
      </c>
    </row>
    <row r="877" spans="1:12">
      <c r="A877" t="s">
        <v>5</v>
      </c>
      <c r="B877" s="5" t="str">
        <f t="shared" si="588"/>
        <v>SPS1</v>
      </c>
      <c r="C877" s="5" t="str">
        <f t="shared" si="589"/>
        <v>CH</v>
      </c>
      <c r="D877" t="s">
        <v>1027</v>
      </c>
      <c r="E877" t="s">
        <v>242</v>
      </c>
      <c r="F877" s="21">
        <f>IFERROR(F847/F806,"-")</f>
        <v>0.52800000000000047</v>
      </c>
      <c r="G877" s="21">
        <f t="shared" ref="G877:K877" si="599">IFERROR(G847/G806,"-")</f>
        <v>0.52799999999999991</v>
      </c>
      <c r="H877" s="21">
        <f t="shared" si="599"/>
        <v>0.52800000000000002</v>
      </c>
      <c r="I877" s="21">
        <f t="shared" si="599"/>
        <v>0.52800000000000047</v>
      </c>
      <c r="J877" s="21">
        <f t="shared" si="599"/>
        <v>0.52800000000000025</v>
      </c>
      <c r="K877" s="21">
        <f t="shared" si="599"/>
        <v>0.54400000000000004</v>
      </c>
    </row>
    <row r="878" spans="1:12">
      <c r="A878" t="s">
        <v>5</v>
      </c>
      <c r="B878" s="5" t="str">
        <f t="shared" si="588"/>
        <v>SPS1</v>
      </c>
      <c r="C878" s="5" t="str">
        <f t="shared" si="589"/>
        <v>CH</v>
      </c>
      <c r="D878" t="s">
        <v>1028</v>
      </c>
      <c r="E878" t="s">
        <v>242</v>
      </c>
      <c r="F878" s="21">
        <f>IFERROR(F849/F810,"-")</f>
        <v>1</v>
      </c>
      <c r="G878" s="21">
        <f t="shared" ref="G878:K878" si="600">IFERROR(G849/G810,"-")</f>
        <v>1</v>
      </c>
      <c r="H878" s="21">
        <f t="shared" si="600"/>
        <v>1</v>
      </c>
      <c r="I878" s="21">
        <f t="shared" si="600"/>
        <v>1</v>
      </c>
      <c r="J878" s="21">
        <f t="shared" si="600"/>
        <v>1</v>
      </c>
      <c r="K878" s="21">
        <f t="shared" si="600"/>
        <v>1</v>
      </c>
    </row>
    <row r="879" spans="1:12">
      <c r="A879" t="s">
        <v>5</v>
      </c>
      <c r="B879" s="5" t="str">
        <f t="shared" si="588"/>
        <v>SPS1</v>
      </c>
      <c r="C879" s="5" t="str">
        <f t="shared" si="589"/>
        <v>CH</v>
      </c>
      <c r="D879" t="s">
        <v>1029</v>
      </c>
      <c r="E879" t="s">
        <v>242</v>
      </c>
      <c r="F879" s="21" t="str">
        <f>IFERROR(F851/F812,"-")</f>
        <v>-</v>
      </c>
      <c r="G879" s="21" t="str">
        <f t="shared" ref="G879:K879" si="601">IFERROR(G851/G812,"-")</f>
        <v>-</v>
      </c>
      <c r="H879" s="21">
        <f t="shared" si="601"/>
        <v>0</v>
      </c>
      <c r="I879" s="21">
        <f t="shared" si="601"/>
        <v>0.78665524705804801</v>
      </c>
      <c r="J879" s="21">
        <f t="shared" si="601"/>
        <v>0.80852554478315553</v>
      </c>
      <c r="K879" s="21">
        <f t="shared" si="601"/>
        <v>0.80644354266339024</v>
      </c>
    </row>
    <row r="880" spans="1:12">
      <c r="A880" t="s">
        <v>5</v>
      </c>
      <c r="B880" s="8" t="str">
        <f>B814</f>
        <v>SPS1</v>
      </c>
      <c r="C880" s="8" t="str">
        <f>C814</f>
        <v>CH</v>
      </c>
      <c r="D880" s="1" t="s">
        <v>679</v>
      </c>
      <c r="E880" s="8" t="s">
        <v>8</v>
      </c>
      <c r="F880" s="22">
        <f t="shared" ref="F880:K880" si="602">F881+F885+F892+F903+F911+F913+F915+F917+F921</f>
        <v>140.1010513843045</v>
      </c>
      <c r="G880" s="22">
        <f t="shared" si="602"/>
        <v>139.60307540182194</v>
      </c>
      <c r="H880" s="22">
        <f t="shared" si="602"/>
        <v>140.92370903225111</v>
      </c>
      <c r="I880" s="22">
        <f t="shared" si="602"/>
        <v>136.27512596484317</v>
      </c>
      <c r="J880" s="22">
        <f t="shared" si="602"/>
        <v>122.77791775697838</v>
      </c>
      <c r="K880" s="22">
        <f t="shared" si="602"/>
        <v>114.15392899049229</v>
      </c>
      <c r="L880" s="11"/>
    </row>
    <row r="881" spans="1:12">
      <c r="A881" t="s">
        <v>5</v>
      </c>
      <c r="B881" s="5" t="str">
        <f>B880</f>
        <v>SPS1</v>
      </c>
      <c r="C881" s="5" t="str">
        <f>C880</f>
        <v>CH</v>
      </c>
      <c r="D881" t="s">
        <v>1030</v>
      </c>
      <c r="E881" t="s">
        <v>8</v>
      </c>
      <c r="F881" s="13">
        <f>[1]Services!B$11</f>
        <v>60.95000046172283</v>
      </c>
      <c r="G881" s="13">
        <f>[1]Services!C$11</f>
        <v>62.445348871242622</v>
      </c>
      <c r="H881" s="13">
        <f>[1]Services!D$11</f>
        <v>63.613230991750903</v>
      </c>
      <c r="I881" s="13">
        <f>[1]Services!E$11</f>
        <v>64.153051528368493</v>
      </c>
      <c r="J881" s="13">
        <f>[1]Services!F$11</f>
        <v>63.779687135432987</v>
      </c>
      <c r="K881" s="13">
        <f>[1]Services!G$11</f>
        <v>66.752338089107411</v>
      </c>
    </row>
    <row r="882" spans="1:12">
      <c r="A882" t="s">
        <v>5</v>
      </c>
      <c r="B882" s="5" t="str">
        <f>B881</f>
        <v>SPS1</v>
      </c>
      <c r="C882" s="5" t="str">
        <f>C881</f>
        <v>CH</v>
      </c>
      <c r="D882" t="s">
        <v>790</v>
      </c>
      <c r="E882" t="s">
        <v>8</v>
      </c>
      <c r="F882" s="13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2.6235993028213422</v>
      </c>
      <c r="G882" s="13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2.3182542511799307</v>
      </c>
      <c r="H882" s="13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2.4867666516614522</v>
      </c>
      <c r="I882" s="13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2.0706881210669659</v>
      </c>
      <c r="J882" s="13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1.2643296859313489</v>
      </c>
      <c r="K882" s="13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0.71438033069260976</v>
      </c>
    </row>
    <row r="883" spans="1:12">
      <c r="A883" t="s">
        <v>5</v>
      </c>
      <c r="B883" s="5" t="str">
        <f t="shared" ref="B883:B922" si="603">B882</f>
        <v>SPS1</v>
      </c>
      <c r="C883" s="5" t="str">
        <f t="shared" ref="C883:C922" si="604">C882</f>
        <v>CH</v>
      </c>
      <c r="D883" t="s">
        <v>754</v>
      </c>
      <c r="E883" t="s">
        <v>8</v>
      </c>
      <c r="F883" s="13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1.3316265839890495</v>
      </c>
      <c r="G883" s="13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1.425200018570445</v>
      </c>
      <c r="H883" s="13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1.4631902528761191</v>
      </c>
      <c r="I883" s="13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1.5299161882369603</v>
      </c>
      <c r="J883" s="13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1.6767114070942855</v>
      </c>
      <c r="K883" s="13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4.0160994318012948</v>
      </c>
    </row>
    <row r="884" spans="1:12">
      <c r="A884" t="s">
        <v>5</v>
      </c>
      <c r="B884" s="5" t="str">
        <f t="shared" si="603"/>
        <v>SPS1</v>
      </c>
      <c r="C884" s="5" t="str">
        <f t="shared" si="604"/>
        <v>CH</v>
      </c>
      <c r="D884" t="s">
        <v>513</v>
      </c>
      <c r="E884" t="s">
        <v>8</v>
      </c>
      <c r="F884" s="13">
        <f>[1]Services!B$11-[1]Services!B$28</f>
        <v>56.994774574912441</v>
      </c>
      <c r="G884" s="13">
        <f>[1]Services!C$11-[1]Services!C$28</f>
        <v>58.701894601492249</v>
      </c>
      <c r="H884" s="13">
        <f>[1]Services!D$11-[1]Services!D$28</f>
        <v>59.663274087213331</v>
      </c>
      <c r="I884" s="13">
        <f>[1]Services!E$11-[1]Services!E$28</f>
        <v>60.552447219064568</v>
      </c>
      <c r="J884" s="13">
        <f>[1]Services!F$11-[1]Services!F$28</f>
        <v>60.838646042407355</v>
      </c>
      <c r="K884" s="13">
        <f>[1]Services!G$11-[1]Services!G$28</f>
        <v>62.021858326613504</v>
      </c>
    </row>
    <row r="885" spans="1:12">
      <c r="A885" t="s">
        <v>5</v>
      </c>
      <c r="B885" s="5" t="str">
        <f t="shared" si="603"/>
        <v>SPS1</v>
      </c>
      <c r="C885" s="5" t="str">
        <f t="shared" si="604"/>
        <v>CH</v>
      </c>
      <c r="D885" t="s">
        <v>504</v>
      </c>
      <c r="E885" t="s">
        <v>8</v>
      </c>
      <c r="F885" s="13">
        <f>F886</f>
        <v>30.256633757919012</v>
      </c>
      <c r="G885" s="13">
        <f t="shared" ref="G885:K885" si="605">G886</f>
        <v>24.239416036299403</v>
      </c>
      <c r="H885" s="13">
        <f t="shared" si="605"/>
        <v>26.70623769544142</v>
      </c>
      <c r="I885" s="13">
        <f t="shared" si="605"/>
        <v>19.517195990937967</v>
      </c>
      <c r="J885" s="13">
        <f t="shared" si="605"/>
        <v>8.4970603886646945</v>
      </c>
      <c r="K885" s="13">
        <f t="shared" si="605"/>
        <v>0.87202123578615987</v>
      </c>
      <c r="L885" s="2"/>
    </row>
    <row r="886" spans="1:12">
      <c r="A886" t="s">
        <v>5</v>
      </c>
      <c r="B886" s="5" t="str">
        <f t="shared" si="603"/>
        <v>SPS1</v>
      </c>
      <c r="C886" s="5" t="str">
        <f t="shared" si="604"/>
        <v>CH</v>
      </c>
      <c r="D886" t="s">
        <v>505</v>
      </c>
      <c r="E886" t="s">
        <v>8</v>
      </c>
      <c r="F886" s="13">
        <f>SUM(F889,F891)</f>
        <v>30.256633757919012</v>
      </c>
      <c r="G886" s="13">
        <f t="shared" ref="G886:K886" si="606">SUM(G889,G891)</f>
        <v>24.239416036299403</v>
      </c>
      <c r="H886" s="13">
        <f t="shared" si="606"/>
        <v>26.70623769544142</v>
      </c>
      <c r="I886" s="13">
        <f t="shared" si="606"/>
        <v>19.517195990937967</v>
      </c>
      <c r="J886" s="13">
        <f t="shared" si="606"/>
        <v>8.4970603886646945</v>
      </c>
      <c r="K886" s="13">
        <f t="shared" si="606"/>
        <v>0.87202123578615987</v>
      </c>
    </row>
    <row r="887" spans="1:12">
      <c r="A887" t="s">
        <v>5</v>
      </c>
      <c r="B887" s="5" t="str">
        <f>B886</f>
        <v>SPS1</v>
      </c>
      <c r="C887" s="5" t="str">
        <f>C886</f>
        <v>CH</v>
      </c>
      <c r="D887" t="s">
        <v>1031</v>
      </c>
      <c r="E887" t="s">
        <v>8</v>
      </c>
      <c r="F887" s="13">
        <f>F888</f>
        <v>30.256633757919012</v>
      </c>
      <c r="G887" s="13">
        <f t="shared" ref="G887:K887" si="607">G888</f>
        <v>24.239416036299403</v>
      </c>
      <c r="H887" s="13">
        <f t="shared" si="607"/>
        <v>26.706233598992924</v>
      </c>
      <c r="I887" s="13">
        <f t="shared" si="607"/>
        <v>19.517184216137196</v>
      </c>
      <c r="J887" s="13">
        <f t="shared" si="607"/>
        <v>8.4970509931170515</v>
      </c>
      <c r="K887" s="13">
        <f t="shared" si="607"/>
        <v>5.1742429982563681E-5</v>
      </c>
    </row>
    <row r="888" spans="1:12">
      <c r="A888" t="s">
        <v>5</v>
      </c>
      <c r="B888" s="5" t="str">
        <f t="shared" si="603"/>
        <v>SPS1</v>
      </c>
      <c r="C888" s="5" t="str">
        <f t="shared" si="604"/>
        <v>CH</v>
      </c>
      <c r="D888" t="s">
        <v>533</v>
      </c>
      <c r="E888" t="s">
        <v>8</v>
      </c>
      <c r="F888" s="13">
        <f>[1]Services!B$12</f>
        <v>30.256633757919012</v>
      </c>
      <c r="G888" s="13">
        <f>[1]Services!C$12</f>
        <v>24.239416036299403</v>
      </c>
      <c r="H888" s="13">
        <f>[1]Services!D$12</f>
        <v>26.706233598992924</v>
      </c>
      <c r="I888" s="13">
        <f>[1]Services!E$12</f>
        <v>19.517184216137196</v>
      </c>
      <c r="J888" s="13">
        <f>[1]Services!F$12</f>
        <v>8.4970509931170515</v>
      </c>
      <c r="K888" s="13">
        <f>[1]Services!G$12</f>
        <v>5.1742429982563681E-5</v>
      </c>
    </row>
    <row r="889" spans="1:12">
      <c r="A889" t="s">
        <v>5</v>
      </c>
      <c r="B889" s="5" t="str">
        <f>B888</f>
        <v>SPS1</v>
      </c>
      <c r="C889" s="5" t="str">
        <f t="shared" si="604"/>
        <v>CH</v>
      </c>
      <c r="D889" t="s">
        <v>534</v>
      </c>
      <c r="E889" t="s">
        <v>8</v>
      </c>
      <c r="F889" s="13">
        <f>F888</f>
        <v>30.256633757919012</v>
      </c>
      <c r="G889" s="13">
        <f t="shared" ref="G889:K889" si="608">G888</f>
        <v>24.239416036299403</v>
      </c>
      <c r="H889" s="13">
        <f t="shared" si="608"/>
        <v>26.706233598992924</v>
      </c>
      <c r="I889" s="13">
        <f t="shared" si="608"/>
        <v>19.517184216137196</v>
      </c>
      <c r="J889" s="13">
        <f t="shared" si="608"/>
        <v>8.4970509931170515</v>
      </c>
      <c r="K889" s="13">
        <f t="shared" si="608"/>
        <v>5.1742429982563681E-5</v>
      </c>
    </row>
    <row r="890" spans="1:12">
      <c r="A890" t="s">
        <v>5</v>
      </c>
      <c r="B890" s="5" t="str">
        <f>B889</f>
        <v>SPS1</v>
      </c>
      <c r="C890" s="5" t="str">
        <f>C889</f>
        <v>CH</v>
      </c>
      <c r="D890" t="s">
        <v>1032</v>
      </c>
      <c r="E890" t="s">
        <v>8</v>
      </c>
      <c r="F890" s="13">
        <f>F891</f>
        <v>0</v>
      </c>
      <c r="G890" s="13">
        <f t="shared" ref="G890:K890" si="609">G891</f>
        <v>0</v>
      </c>
      <c r="H890" s="13">
        <f t="shared" si="609"/>
        <v>4.0964484944146661E-6</v>
      </c>
      <c r="I890" s="13">
        <f t="shared" si="609"/>
        <v>1.1774800772644455E-5</v>
      </c>
      <c r="J890" s="13">
        <f t="shared" si="609"/>
        <v>9.3955476424228116E-6</v>
      </c>
      <c r="K890" s="13">
        <f t="shared" si="609"/>
        <v>0.87196949335617735</v>
      </c>
    </row>
    <row r="891" spans="1:12">
      <c r="A891" t="s">
        <v>5</v>
      </c>
      <c r="B891" s="5" t="str">
        <f t="shared" si="603"/>
        <v>SPS1</v>
      </c>
      <c r="C891" s="5" t="str">
        <f t="shared" si="604"/>
        <v>CH</v>
      </c>
      <c r="D891" t="s">
        <v>1033</v>
      </c>
      <c r="E891" t="s">
        <v>8</v>
      </c>
      <c r="F891" s="13">
        <f>[1]Services!B$13</f>
        <v>0</v>
      </c>
      <c r="G891" s="13">
        <f>[1]Services!C$13</f>
        <v>0</v>
      </c>
      <c r="H891" s="13">
        <f>[1]Services!D$13</f>
        <v>4.0964484944146661E-6</v>
      </c>
      <c r="I891" s="13">
        <f>[1]Services!E$13</f>
        <v>1.1774800772644455E-5</v>
      </c>
      <c r="J891" s="13">
        <f>[1]Services!F$13</f>
        <v>9.3955476424228116E-6</v>
      </c>
      <c r="K891" s="13">
        <f>[1]Services!G$13</f>
        <v>0.87196949335617735</v>
      </c>
    </row>
    <row r="892" spans="1:12">
      <c r="A892" t="s">
        <v>5</v>
      </c>
      <c r="B892" s="5" t="str">
        <f t="shared" si="603"/>
        <v>SPS1</v>
      </c>
      <c r="C892" s="5" t="str">
        <f t="shared" si="604"/>
        <v>CH</v>
      </c>
      <c r="D892" t="s">
        <v>506</v>
      </c>
      <c r="E892" t="s">
        <v>8</v>
      </c>
      <c r="F892" s="13">
        <f>SUM(F893:F895)</f>
        <v>26.950963153985292</v>
      </c>
      <c r="G892" s="13">
        <f t="shared" ref="G892:K892" si="610">SUM(G893:G895)</f>
        <v>28.28700298377235</v>
      </c>
      <c r="H892" s="13">
        <f t="shared" si="610"/>
        <v>27.383750765769147</v>
      </c>
      <c r="I892" s="13">
        <f t="shared" si="610"/>
        <v>27.40708797659201</v>
      </c>
      <c r="J892" s="13">
        <f t="shared" si="610"/>
        <v>25.35211681492861</v>
      </c>
      <c r="K892" s="13">
        <f t="shared" si="610"/>
        <v>16.896738156983453</v>
      </c>
    </row>
    <row r="893" spans="1:12">
      <c r="A893" t="s">
        <v>5</v>
      </c>
      <c r="B893" s="5" t="str">
        <f t="shared" si="603"/>
        <v>SPS1</v>
      </c>
      <c r="C893" s="5" t="str">
        <f t="shared" si="604"/>
        <v>CH</v>
      </c>
      <c r="D893" t="s">
        <v>686</v>
      </c>
      <c r="E893" t="s">
        <v>8</v>
      </c>
      <c r="F893" s="13">
        <f>SUM([1]Services!B$14:B$15)-F894</f>
        <v>25.548686736174627</v>
      </c>
      <c r="G893" s="13">
        <f>SUM([1]Services!C$14:C$15)</f>
        <v>26.749780341716011</v>
      </c>
      <c r="H893" s="13">
        <f>SUM([1]Services!D$14:D$15)</f>
        <v>25.942505111888458</v>
      </c>
      <c r="I893" s="13">
        <f>SUM([1]Services!E$14:E$15)</f>
        <v>25.826204741049064</v>
      </c>
      <c r="J893" s="13">
        <f>SUM([1]Services!F$14:F$15)</f>
        <v>20.455943158613163</v>
      </c>
      <c r="K893" s="13">
        <f>SUM([1]Services!G$14:G$15)</f>
        <v>10.125302094839276</v>
      </c>
    </row>
    <row r="894" spans="1:12">
      <c r="A894" t="s">
        <v>5</v>
      </c>
      <c r="B894" s="5" t="str">
        <f t="shared" ref="B894" si="611">B893</f>
        <v>SPS1</v>
      </c>
      <c r="C894" s="5" t="str">
        <f t="shared" ref="C894" si="612">C893</f>
        <v>CH</v>
      </c>
      <c r="D894" t="s">
        <v>755</v>
      </c>
      <c r="E894" t="s">
        <v>8</v>
      </c>
      <c r="F894" s="13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3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3" cm="1">
        <f t="array" ref="H894">SUMPRODUCT(([1]OUT_FinalEnergyCons!$B$4:$B$10000="Var_Fin")*1, ([1]OUT_FinalEnergyCons!$C$4:$C$10000="SNGA")*1,(ISNUMBER(SEARCH("SCOM-SHngahp",[1]OUT_FinalEnergyCons!$A$4:$A$10000)))*1,[1]OUT_FinalEnergyCons!F$4:F$10000)</f>
        <v>2.3887416572886334E-5</v>
      </c>
      <c r="I894" s="13" cm="1">
        <f t="array" ref="I894">SUMPRODUCT(([1]OUT_FinalEnergyCons!$B$4:$B$10000="Var_Fin")*1, ([1]OUT_FinalEnergyCons!$C$4:$C$10000="SNGA")*1,(ISNUMBER(SEARCH("SCOM-SHngahp",[1]OUT_FinalEnergyCons!$A$4:$A$10000)))*1,[1]OUT_FinalEnergyCons!G$4:G$10000)</f>
        <v>1.5442394744893957E-5</v>
      </c>
      <c r="J894" s="13" cm="1">
        <f t="array" ref="J894">SUMPRODUCT(([1]OUT_FinalEnergyCons!$B$4:$B$10000="Var_Fin")*1, ([1]OUT_FinalEnergyCons!$C$4:$C$10000="SNGA")*1,(ISNUMBER(SEARCH("SCOM-SHngahp",[1]OUT_FinalEnergyCons!$A$4:$A$10000)))*1,[1]OUT_FinalEnergyCons!H$4:H$10000)</f>
        <v>3.1392974576778689E-4</v>
      </c>
      <c r="K894" s="13" cm="1">
        <f t="array" ref="K894">SUMPRODUCT(([1]OUT_FinalEnergyCons!$B$4:$B$10000="Var_Fin")*1, ([1]OUT_FinalEnergyCons!$C$4:$C$10000="SNGA")*1,(ISNUMBER(SEARCH("SCOM-SHngahp",[1]OUT_FinalEnergyCons!$A$4:$A$10000)))*1,[1]OUT_FinalEnergyCons!I$4:I$10000)</f>
        <v>1.1947800785139293E-4</v>
      </c>
    </row>
    <row r="895" spans="1:12">
      <c r="A895" t="s">
        <v>5</v>
      </c>
      <c r="B895" s="5" t="str">
        <f>B893</f>
        <v>SPS1</v>
      </c>
      <c r="C895" s="5" t="str">
        <f>C893</f>
        <v>CH</v>
      </c>
      <c r="D895" t="s">
        <v>507</v>
      </c>
      <c r="E895" t="s">
        <v>8</v>
      </c>
      <c r="F895" s="13">
        <f>[1]Services!B$16</f>
        <v>1.4022764178106648</v>
      </c>
      <c r="G895" s="13">
        <f>[1]Services!C$16</f>
        <v>1.5372226420563371</v>
      </c>
      <c r="H895" s="13">
        <f>[1]Services!D$16</f>
        <v>1.4412217664641154</v>
      </c>
      <c r="I895" s="13">
        <f>[1]Services!E$16</f>
        <v>1.5808677931482</v>
      </c>
      <c r="J895" s="13">
        <f>[1]Services!F$16</f>
        <v>4.8958597265696797</v>
      </c>
      <c r="K895" s="13">
        <f>[1]Services!G$16</f>
        <v>6.7713165841363256</v>
      </c>
    </row>
    <row r="896" spans="1:12">
      <c r="A896" t="s">
        <v>5</v>
      </c>
      <c r="B896" s="5" t="str">
        <f t="shared" si="603"/>
        <v>SPS1</v>
      </c>
      <c r="C896" s="5" t="str">
        <f t="shared" si="604"/>
        <v>CH</v>
      </c>
      <c r="D896" t="s">
        <v>1034</v>
      </c>
      <c r="E896" t="s">
        <v>8</v>
      </c>
      <c r="F896" s="13">
        <f>[1]Services!B$14</f>
        <v>25.256150542753684</v>
      </c>
      <c r="G896" s="13">
        <f>[1]Services!C$14</f>
        <v>22.275842819919148</v>
      </c>
      <c r="H896" s="13">
        <f>[1]Services!D$14</f>
        <v>25.510559379783761</v>
      </c>
      <c r="I896" s="13">
        <f>[1]Services!E$14</f>
        <v>25.826196219190095</v>
      </c>
      <c r="J896" s="13">
        <f>[1]Services!F$14</f>
        <v>20.455930276103526</v>
      </c>
      <c r="K896" s="13">
        <f>[1]Services!G$14</f>
        <v>10.125283952122702</v>
      </c>
    </row>
    <row r="897" spans="1:11">
      <c r="A897" t="s">
        <v>5</v>
      </c>
      <c r="B897" s="5" t="str">
        <f t="shared" si="603"/>
        <v>SPS1</v>
      </c>
      <c r="C897" s="5" t="str">
        <f t="shared" si="604"/>
        <v>CH</v>
      </c>
      <c r="D897" t="s">
        <v>687</v>
      </c>
      <c r="E897" t="s">
        <v>8</v>
      </c>
      <c r="F897" s="13">
        <f>[1]Services!B$14*IFERROR(F893/SUM(F893:F894),0)</f>
        <v>25.256150542753684</v>
      </c>
      <c r="G897" s="13">
        <f>[1]Services!C$14*IFERROR(G893/SUM(G893:G894),0)</f>
        <v>22.275842819919148</v>
      </c>
      <c r="H897" s="13">
        <f>[1]Services!D$14*IFERROR(H893/SUM(H893:H894),0)</f>
        <v>25.510535890117083</v>
      </c>
      <c r="I897" s="13">
        <f>[1]Services!E$14*IFERROR(I893/SUM(I893:I894),0)</f>
        <v>25.826180776809679</v>
      </c>
      <c r="J897" s="13">
        <f>[1]Services!F$14*IFERROR(J893/SUM(J893:J894),0)</f>
        <v>20.455616351373145</v>
      </c>
      <c r="K897" s="13">
        <f>[1]Services!G$14*IFERROR(K893/SUM(K893:K894),0)</f>
        <v>10.125164475738748</v>
      </c>
    </row>
    <row r="898" spans="1:11">
      <c r="A898" t="s">
        <v>5</v>
      </c>
      <c r="B898" s="5" t="str">
        <f>B897</f>
        <v>SPS1</v>
      </c>
      <c r="C898" s="5" t="str">
        <f t="shared" ref="C898" si="613">C897</f>
        <v>CH</v>
      </c>
      <c r="D898" t="s">
        <v>756</v>
      </c>
      <c r="E898" t="s">
        <v>8</v>
      </c>
      <c r="F898" s="13">
        <f>F896-F897</f>
        <v>0</v>
      </c>
      <c r="G898" s="13">
        <f t="shared" ref="G898:K898" si="614">G896-G897</f>
        <v>0</v>
      </c>
      <c r="H898" s="13">
        <f t="shared" si="614"/>
        <v>2.348966667753416E-5</v>
      </c>
      <c r="I898" s="13">
        <f t="shared" si="614"/>
        <v>1.5442380416175183E-5</v>
      </c>
      <c r="J898" s="13">
        <f t="shared" si="614"/>
        <v>3.1392473038138746E-4</v>
      </c>
      <c r="K898" s="13">
        <f t="shared" si="614"/>
        <v>1.1947638395426452E-4</v>
      </c>
    </row>
    <row r="899" spans="1:11">
      <c r="A899" t="s">
        <v>5</v>
      </c>
      <c r="B899" s="5" t="str">
        <f>B897</f>
        <v>SPS1</v>
      </c>
      <c r="C899" s="5" t="str">
        <f>C897</f>
        <v>CH</v>
      </c>
      <c r="D899" t="s">
        <v>1035</v>
      </c>
      <c r="E899" t="s">
        <v>8</v>
      </c>
      <c r="F899" s="13">
        <f>[1]Services!B$15+F902</f>
        <v>1.6948126112316073</v>
      </c>
      <c r="G899" s="13">
        <f>[1]Services!C$15+G902</f>
        <v>6.0111601638532006</v>
      </c>
      <c r="H899" s="13">
        <f>[1]Services!D$15+H902</f>
        <v>1.8731674985688134</v>
      </c>
      <c r="I899" s="13">
        <f>[1]Services!E$15+I902</f>
        <v>1.5808763150071707</v>
      </c>
      <c r="J899" s="13">
        <f>[1]Services!F$15+J902</f>
        <v>4.8958726090793148</v>
      </c>
      <c r="K899" s="13">
        <f>[1]Services!G$15+K902</f>
        <v>6.7713347268528992</v>
      </c>
    </row>
    <row r="900" spans="1:11">
      <c r="A900" t="s">
        <v>5</v>
      </c>
      <c r="B900" s="5" t="str">
        <f t="shared" si="603"/>
        <v>SPS1</v>
      </c>
      <c r="C900" s="5" t="str">
        <f t="shared" si="604"/>
        <v>CH</v>
      </c>
      <c r="D900" t="s">
        <v>688</v>
      </c>
      <c r="E900" t="s">
        <v>8</v>
      </c>
      <c r="F900" s="13">
        <f>[1]Services!B$15*F893/SUM(F893:F894)</f>
        <v>0.29253619342094245</v>
      </c>
      <c r="G900" s="13">
        <f>[1]Services!C$15*G893/SUM(G893:G894)</f>
        <v>4.4739375217968638</v>
      </c>
      <c r="H900" s="13">
        <f>[1]Services!D$15*H893/SUM(H893:H894)</f>
        <v>0.4319453343767955</v>
      </c>
      <c r="I900" s="13">
        <f>[1]Services!E$15*I893/SUM(I893:I894)</f>
        <v>8.5218538751818751E-6</v>
      </c>
      <c r="J900" s="13">
        <f>[1]Services!F$15*J893/SUM(J893:J894)</f>
        <v>1.288231193544386E-5</v>
      </c>
      <c r="K900" s="13">
        <f>[1]Services!G$15*K893/SUM(K893:K894)</f>
        <v>1.8142502493065671E-5</v>
      </c>
    </row>
    <row r="901" spans="1:11">
      <c r="A901" t="s">
        <v>5</v>
      </c>
      <c r="B901" s="5" t="str">
        <f>B900</f>
        <v>SPS1</v>
      </c>
      <c r="C901" s="5" t="str">
        <f t="shared" ref="C901" si="615">C900</f>
        <v>CH</v>
      </c>
      <c r="D901" t="s">
        <v>757</v>
      </c>
      <c r="E901" t="s">
        <v>8</v>
      </c>
      <c r="F901" s="13">
        <f>[1]Services!B$15*F894/SUM(F893:F894)</f>
        <v>0</v>
      </c>
      <c r="G901" s="13">
        <f>[1]Services!C$15*G894/SUM(G893:G894)</f>
        <v>0</v>
      </c>
      <c r="H901" s="13">
        <f>[1]Services!D$15*H894/SUM(H893:H894)</f>
        <v>3.9772790231598809E-7</v>
      </c>
      <c r="I901" s="13">
        <f>[1]Services!E$15*I894/SUM(I893:I894)</f>
        <v>5.0955156910723568E-12</v>
      </c>
      <c r="J901" s="13">
        <f>[1]Services!F$15*J894/SUM(J893:J894)</f>
        <v>1.9770004635999367E-10</v>
      </c>
      <c r="K901" s="13">
        <f>[1]Services!G$15*K894/SUM(K893:K894)</f>
        <v>2.1408053162337016E-10</v>
      </c>
    </row>
    <row r="902" spans="1:11">
      <c r="A902" t="s">
        <v>5</v>
      </c>
      <c r="B902" s="5" t="str">
        <f>B900</f>
        <v>SPS1</v>
      </c>
      <c r="C902" s="5" t="str">
        <f>C900</f>
        <v>CH</v>
      </c>
      <c r="D902" t="s">
        <v>678</v>
      </c>
      <c r="E902" t="s">
        <v>8</v>
      </c>
      <c r="F902" s="13">
        <f>[1]Services!B$16</f>
        <v>1.4022764178106648</v>
      </c>
      <c r="G902" s="13">
        <f>[1]Services!C$16</f>
        <v>1.5372226420563371</v>
      </c>
      <c r="H902" s="13">
        <f>[1]Services!D$16</f>
        <v>1.4412217664641154</v>
      </c>
      <c r="I902" s="13">
        <f>[1]Services!E$16</f>
        <v>1.5808677931482</v>
      </c>
      <c r="J902" s="13">
        <f>[1]Services!F$16</f>
        <v>4.8958597265696797</v>
      </c>
      <c r="K902" s="13">
        <f>[1]Services!G$16</f>
        <v>6.7713165841363256</v>
      </c>
    </row>
    <row r="903" spans="1:11">
      <c r="A903" t="s">
        <v>5</v>
      </c>
      <c r="B903" s="5" t="str">
        <f>B902</f>
        <v>SPS1</v>
      </c>
      <c r="C903" s="5" t="str">
        <f>C902</f>
        <v>CH</v>
      </c>
      <c r="D903" t="s">
        <v>1036</v>
      </c>
      <c r="E903" t="s">
        <v>8</v>
      </c>
      <c r="F903" s="13">
        <f>[1]Services!B$17</f>
        <v>7.7268819670037203</v>
      </c>
      <c r="G903" s="13">
        <f>[1]Services!C$17</f>
        <v>8.3696900456343926</v>
      </c>
      <c r="H903" s="13">
        <f>[1]Services!D$17</f>
        <v>8.2047887378155977</v>
      </c>
      <c r="I903" s="13">
        <f>[1]Services!E$17</f>
        <v>10.258352460381266</v>
      </c>
      <c r="J903" s="13">
        <f>[1]Services!F$17</f>
        <v>9.8277528526407743</v>
      </c>
      <c r="K903" s="13">
        <f>[1]Services!G$17</f>
        <v>9.7800208526390779</v>
      </c>
    </row>
    <row r="904" spans="1:11">
      <c r="A904" t="s">
        <v>5</v>
      </c>
      <c r="B904" s="5" t="str">
        <f t="shared" si="603"/>
        <v>SPS1</v>
      </c>
      <c r="C904" s="5" t="str">
        <f t="shared" si="604"/>
        <v>CH</v>
      </c>
      <c r="D904" t="s">
        <v>1037</v>
      </c>
      <c r="E904" t="s">
        <v>8</v>
      </c>
      <c r="F904" s="13">
        <f>[1]Services!B$51/0.99</f>
        <v>2.1168818414079276</v>
      </c>
      <c r="G904" s="13">
        <f>[1]Services!C$51/0.99</f>
        <v>2.2929876185370728</v>
      </c>
      <c r="H904" s="13">
        <f>[1]Services!D$51/0.99</f>
        <v>2.1280858826257361</v>
      </c>
      <c r="I904" s="13">
        <f>[1]Services!E$51/0.99</f>
        <v>1.9110002598319189</v>
      </c>
      <c r="J904" s="13">
        <f>[1]Services!F$51/0.99</f>
        <v>1.3370960761941961</v>
      </c>
      <c r="K904" s="13">
        <f>[1]Services!G$51/0.99</f>
        <v>1.2893640711912364</v>
      </c>
    </row>
    <row r="905" spans="1:11">
      <c r="A905" t="s">
        <v>5</v>
      </c>
      <c r="B905" s="5" t="str">
        <f t="shared" si="603"/>
        <v>SPS1</v>
      </c>
      <c r="C905" s="5" t="str">
        <f t="shared" si="604"/>
        <v>CH</v>
      </c>
      <c r="D905" t="s">
        <v>512</v>
      </c>
      <c r="E905" t="s">
        <v>8</v>
      </c>
      <c r="F905" s="13">
        <f>F904-SUM(F906:F909)</f>
        <v>1.4243074566284184</v>
      </c>
      <c r="G905" s="13">
        <f t="shared" ref="G905:K905" si="616">G904-SUM(G906:G909)</f>
        <v>1.542797267061415</v>
      </c>
      <c r="H905" s="13">
        <f t="shared" si="616"/>
        <v>1.4739236249420298</v>
      </c>
      <c r="I905" s="13">
        <f t="shared" si="616"/>
        <v>1.244006111366164</v>
      </c>
      <c r="J905" s="13">
        <f t="shared" si="616"/>
        <v>1.0596198820142317</v>
      </c>
      <c r="K905" s="13">
        <f t="shared" si="616"/>
        <v>1.2891594617868949</v>
      </c>
    </row>
    <row r="906" spans="1:11">
      <c r="A906" t="s">
        <v>5</v>
      </c>
      <c r="B906" s="5" t="str">
        <f t="shared" si="603"/>
        <v>SPS1</v>
      </c>
      <c r="C906" s="5" t="str">
        <f t="shared" si="604"/>
        <v>CH</v>
      </c>
      <c r="D906" t="s">
        <v>508</v>
      </c>
      <c r="E906" t="s">
        <v>8</v>
      </c>
      <c r="F906" s="13">
        <f t="shared" ref="F906:K907" si="617">F247</f>
        <v>0.69257438477950906</v>
      </c>
      <c r="G906" s="13">
        <f t="shared" si="617"/>
        <v>0.75019035147565793</v>
      </c>
      <c r="H906" s="13">
        <f t="shared" si="617"/>
        <v>0.65416225768370639</v>
      </c>
      <c r="I906" s="13">
        <f t="shared" si="617"/>
        <v>0.66690564620455528</v>
      </c>
      <c r="J906" s="13">
        <f t="shared" si="617"/>
        <v>0.27730166713569726</v>
      </c>
      <c r="K906" s="13">
        <f t="shared" si="617"/>
        <v>1.0565115297247381E-4</v>
      </c>
    </row>
    <row r="907" spans="1:11">
      <c r="A907" t="s">
        <v>5</v>
      </c>
      <c r="B907" s="5" t="str">
        <f t="shared" si="603"/>
        <v>SPS1</v>
      </c>
      <c r="C907" s="5" t="str">
        <f t="shared" si="604"/>
        <v>CH</v>
      </c>
      <c r="D907" t="s">
        <v>509</v>
      </c>
      <c r="E907" t="s">
        <v>8</v>
      </c>
      <c r="F907" s="13">
        <f t="shared" si="617"/>
        <v>0</v>
      </c>
      <c r="G907" s="13">
        <f t="shared" si="617"/>
        <v>0</v>
      </c>
      <c r="H907" s="13">
        <f t="shared" si="617"/>
        <v>0</v>
      </c>
      <c r="I907" s="13">
        <f t="shared" si="617"/>
        <v>2.7088105804188176E-6</v>
      </c>
      <c r="J907" s="13">
        <f t="shared" si="617"/>
        <v>9.4760682080786678E-6</v>
      </c>
      <c r="K907" s="13">
        <f t="shared" si="617"/>
        <v>3.7239254504994968E-6</v>
      </c>
    </row>
    <row r="908" spans="1:11">
      <c r="A908" t="s">
        <v>5</v>
      </c>
      <c r="B908" s="5" t="str">
        <f t="shared" si="603"/>
        <v>SPS1</v>
      </c>
      <c r="C908" s="5" t="str">
        <f t="shared" si="604"/>
        <v>CH</v>
      </c>
      <c r="D908" t="s">
        <v>510</v>
      </c>
      <c r="E908" t="s">
        <v>8</v>
      </c>
      <c r="F908" s="13">
        <f t="shared" ref="F908:K908" si="618">F285</f>
        <v>0</v>
      </c>
      <c r="G908" s="13">
        <f t="shared" si="618"/>
        <v>0</v>
      </c>
      <c r="H908" s="13">
        <f t="shared" si="618"/>
        <v>0</v>
      </c>
      <c r="I908" s="13">
        <f t="shared" si="618"/>
        <v>6.4951390602704934E-5</v>
      </c>
      <c r="J908" s="13">
        <f t="shared" si="618"/>
        <v>1.3724510342452738E-4</v>
      </c>
      <c r="K908" s="13">
        <f t="shared" si="618"/>
        <v>6.1719133181408999E-5</v>
      </c>
    </row>
    <row r="909" spans="1:11">
      <c r="A909" t="s">
        <v>5</v>
      </c>
      <c r="B909" s="5" t="str">
        <f t="shared" si="603"/>
        <v>SPS1</v>
      </c>
      <c r="C909" s="5" t="str">
        <f t="shared" si="604"/>
        <v>CH</v>
      </c>
      <c r="D909" t="s">
        <v>511</v>
      </c>
      <c r="E909" t="s">
        <v>8</v>
      </c>
      <c r="F909" s="13">
        <f t="shared" ref="F909:K909" si="619">F288</f>
        <v>0</v>
      </c>
      <c r="G909" s="13">
        <f t="shared" si="619"/>
        <v>0</v>
      </c>
      <c r="H909" s="13">
        <f t="shared" si="619"/>
        <v>0</v>
      </c>
      <c r="I909" s="13">
        <f t="shared" si="619"/>
        <v>2.0842060016400681E-5</v>
      </c>
      <c r="J909" s="13">
        <f t="shared" si="619"/>
        <v>2.7805872634593368E-5</v>
      </c>
      <c r="K909" s="13">
        <f t="shared" si="619"/>
        <v>3.351519273724679E-5</v>
      </c>
    </row>
    <row r="910" spans="1:11">
      <c r="A910" t="s">
        <v>5</v>
      </c>
      <c r="B910" s="5" t="str">
        <f t="shared" si="603"/>
        <v>SPS1</v>
      </c>
      <c r="C910" s="5" t="str">
        <f t="shared" si="604"/>
        <v>CH</v>
      </c>
      <c r="D910" t="s">
        <v>1038</v>
      </c>
      <c r="E910" t="s">
        <v>8</v>
      </c>
      <c r="F910" s="13">
        <f>F903-F904</f>
        <v>5.6100001255957928</v>
      </c>
      <c r="G910" s="13">
        <f t="shared" ref="G910:K910" si="620">G903-G904</f>
        <v>6.0767024270973202</v>
      </c>
      <c r="H910" s="13">
        <f t="shared" si="620"/>
        <v>6.0767028551898612</v>
      </c>
      <c r="I910" s="13">
        <f t="shared" si="620"/>
        <v>8.3473522005493468</v>
      </c>
      <c r="J910" s="13">
        <f t="shared" si="620"/>
        <v>8.4906567764465777</v>
      </c>
      <c r="K910" s="13">
        <f t="shared" si="620"/>
        <v>8.4906567814478411</v>
      </c>
    </row>
    <row r="911" spans="1:11">
      <c r="A911" t="s">
        <v>5</v>
      </c>
      <c r="B911" s="5" t="str">
        <f t="shared" si="603"/>
        <v>SPS1</v>
      </c>
      <c r="C911" s="5" t="str">
        <f t="shared" si="604"/>
        <v>CH</v>
      </c>
      <c r="D911" t="s">
        <v>1039</v>
      </c>
      <c r="E911" t="s">
        <v>8</v>
      </c>
      <c r="F911" s="13">
        <f>F912</f>
        <v>8.5743671085762596</v>
      </c>
      <c r="G911" s="13">
        <f t="shared" ref="G911:K911" si="621">G912</f>
        <v>9.9817474089615832</v>
      </c>
      <c r="H911" s="13">
        <f t="shared" si="621"/>
        <v>8.562172450234975</v>
      </c>
      <c r="I911" s="13">
        <f t="shared" si="621"/>
        <v>8.0970416277048631</v>
      </c>
      <c r="J911" s="13">
        <f t="shared" si="621"/>
        <v>2.47350768546469</v>
      </c>
      <c r="K911" s="13">
        <f t="shared" si="621"/>
        <v>0.53416532522275662</v>
      </c>
    </row>
    <row r="912" spans="1:11">
      <c r="A912" t="s">
        <v>5</v>
      </c>
      <c r="B912" s="5" t="str">
        <f t="shared" si="603"/>
        <v>SPS1</v>
      </c>
      <c r="C912" s="5" t="str">
        <f t="shared" si="604"/>
        <v>CH</v>
      </c>
      <c r="D912" t="s">
        <v>1040</v>
      </c>
      <c r="E912" t="s">
        <v>8</v>
      </c>
      <c r="F912" s="13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8.5743671085762596</v>
      </c>
      <c r="G912" s="13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9.9817474089615832</v>
      </c>
      <c r="H912" s="13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8.562172450234975</v>
      </c>
      <c r="I912" s="13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8.0970416277048631</v>
      </c>
      <c r="J912" s="13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2.47350768546469</v>
      </c>
      <c r="K912" s="13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0.53416532522275662</v>
      </c>
    </row>
    <row r="913" spans="1:12">
      <c r="A913" t="s">
        <v>5</v>
      </c>
      <c r="B913" s="5" t="str">
        <f t="shared" si="603"/>
        <v>SPS1</v>
      </c>
      <c r="C913" s="5" t="str">
        <f t="shared" si="604"/>
        <v>CH</v>
      </c>
      <c r="D913" t="s">
        <v>1041</v>
      </c>
      <c r="E913" t="s">
        <v>8</v>
      </c>
      <c r="F913" s="13">
        <f>F914</f>
        <v>2.0856330961482024</v>
      </c>
      <c r="G913" s="13">
        <f t="shared" ref="G913:K913" si="622">G914</f>
        <v>2.4000907406811502</v>
      </c>
      <c r="H913" s="13">
        <f t="shared" si="622"/>
        <v>2.4003230459138751</v>
      </c>
      <c r="I913" s="13">
        <f t="shared" si="622"/>
        <v>2.4733969228876256</v>
      </c>
      <c r="J913" s="13">
        <f t="shared" si="622"/>
        <v>3.0725575313369591</v>
      </c>
      <c r="K913" s="13">
        <f t="shared" si="622"/>
        <v>2.4744286717084605</v>
      </c>
    </row>
    <row r="914" spans="1:12">
      <c r="A914" t="s">
        <v>5</v>
      </c>
      <c r="B914" s="5" t="str">
        <f t="shared" si="603"/>
        <v>SPS1</v>
      </c>
      <c r="C914" s="5" t="str">
        <f t="shared" si="604"/>
        <v>CH</v>
      </c>
      <c r="D914" t="s">
        <v>1042</v>
      </c>
      <c r="E914" t="s">
        <v>8</v>
      </c>
      <c r="F914" s="13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2.0856330961482024</v>
      </c>
      <c r="G914" s="13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2.4000907406811502</v>
      </c>
      <c r="H914" s="13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2.4003230459138751</v>
      </c>
      <c r="I914" s="13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2.4733969228876256</v>
      </c>
      <c r="J914" s="13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3.0725575313369591</v>
      </c>
      <c r="K914" s="13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2.4744286717084605</v>
      </c>
    </row>
    <row r="915" spans="1:12">
      <c r="A915" t="s">
        <v>5</v>
      </c>
      <c r="B915" s="5" t="str">
        <f t="shared" si="603"/>
        <v>SPS1</v>
      </c>
      <c r="C915" s="5" t="str">
        <f t="shared" si="604"/>
        <v>CH</v>
      </c>
      <c r="D915" t="s">
        <v>1043</v>
      </c>
      <c r="E915" t="s">
        <v>8</v>
      </c>
      <c r="F915" s="13">
        <f>F916</f>
        <v>0.62699335417326996</v>
      </c>
      <c r="G915" s="13">
        <f t="shared" ref="G915:K915" si="623">G916</f>
        <v>0.68733127363266378</v>
      </c>
      <c r="H915" s="13">
        <f t="shared" si="623"/>
        <v>0.68733135029652181</v>
      </c>
      <c r="I915" s="13">
        <f t="shared" si="623"/>
        <v>0.69717538560414949</v>
      </c>
      <c r="J915" s="13">
        <f t="shared" si="623"/>
        <v>5.4157566707081859</v>
      </c>
      <c r="K915" s="13">
        <f t="shared" si="623"/>
        <v>5.4157566082081008</v>
      </c>
    </row>
    <row r="916" spans="1:12">
      <c r="A916" t="s">
        <v>5</v>
      </c>
      <c r="B916" s="5" t="str">
        <f t="shared" si="603"/>
        <v>SPS1</v>
      </c>
      <c r="C916" s="5" t="str">
        <f t="shared" si="604"/>
        <v>CH</v>
      </c>
      <c r="D916" t="s">
        <v>1044</v>
      </c>
      <c r="E916" t="s">
        <v>8</v>
      </c>
      <c r="F916" s="13">
        <f>[1]Services!B$19</f>
        <v>0.62699335417326996</v>
      </c>
      <c r="G916" s="13">
        <f>[1]Services!C$19</f>
        <v>0.68733127363266378</v>
      </c>
      <c r="H916" s="13">
        <f>[1]Services!D$19</f>
        <v>0.68733135029652181</v>
      </c>
      <c r="I916" s="13">
        <f>[1]Services!E$19</f>
        <v>0.69717538560414949</v>
      </c>
      <c r="J916" s="13">
        <f>[1]Services!F$19</f>
        <v>5.4157566707081859</v>
      </c>
      <c r="K916" s="13">
        <f>[1]Services!G$19</f>
        <v>5.4157566082081008</v>
      </c>
    </row>
    <row r="917" spans="1:12">
      <c r="A917" t="s">
        <v>5</v>
      </c>
      <c r="B917" s="5" t="str">
        <f t="shared" si="603"/>
        <v>SPS1</v>
      </c>
      <c r="C917" s="5" t="str">
        <f t="shared" si="604"/>
        <v>CH</v>
      </c>
      <c r="D917" t="s">
        <v>1045</v>
      </c>
      <c r="E917" t="s">
        <v>8</v>
      </c>
      <c r="F917" s="13">
        <f>[1]Services!B$20</f>
        <v>0</v>
      </c>
      <c r="G917" s="13">
        <f>[1]Services!C$20</f>
        <v>0</v>
      </c>
      <c r="H917" s="13">
        <f>[1]Services!D$20</f>
        <v>5.3641341358688708E-4</v>
      </c>
      <c r="I917" s="13">
        <f>[1]Services!E$20</f>
        <v>2.5220598130694997E-5</v>
      </c>
      <c r="J917" s="13">
        <f>[1]Services!F$20</f>
        <v>2.901935631480431E-5</v>
      </c>
      <c r="K917" s="13">
        <f>[1]Services!G$20</f>
        <v>0.18338164179323269</v>
      </c>
    </row>
    <row r="918" spans="1:12">
      <c r="A918" t="s">
        <v>5</v>
      </c>
      <c r="B918" s="5" t="str">
        <f t="shared" si="603"/>
        <v>SPS1</v>
      </c>
      <c r="C918" s="5" t="str">
        <f t="shared" si="604"/>
        <v>CH</v>
      </c>
      <c r="D918" t="s">
        <v>775</v>
      </c>
      <c r="E918" t="s">
        <v>8</v>
      </c>
      <c r="F918" s="13">
        <f>F917-F919</f>
        <v>0</v>
      </c>
      <c r="G918" s="13">
        <f t="shared" ref="G918:K918" si="624">G917-G919</f>
        <v>0</v>
      </c>
      <c r="H918" s="13">
        <f t="shared" si="624"/>
        <v>0</v>
      </c>
      <c r="I918" s="13">
        <f t="shared" si="624"/>
        <v>0</v>
      </c>
      <c r="J918" s="13">
        <f t="shared" si="624"/>
        <v>0</v>
      </c>
      <c r="K918" s="13">
        <f t="shared" si="624"/>
        <v>0</v>
      </c>
    </row>
    <row r="919" spans="1:12">
      <c r="A919" t="s">
        <v>5</v>
      </c>
      <c r="B919" s="5" t="str">
        <f t="shared" si="603"/>
        <v>SPS1</v>
      </c>
      <c r="C919" s="5" t="str">
        <f t="shared" si="604"/>
        <v>CH</v>
      </c>
      <c r="D919" t="s">
        <v>776</v>
      </c>
      <c r="E919" t="s">
        <v>8</v>
      </c>
      <c r="F919" s="13">
        <f>F920</f>
        <v>0</v>
      </c>
      <c r="G919" s="13">
        <f t="shared" ref="G919:K919" si="625">G920</f>
        <v>0</v>
      </c>
      <c r="H919" s="13">
        <f t="shared" si="625"/>
        <v>5.3641341358688708E-4</v>
      </c>
      <c r="I919" s="13">
        <f t="shared" si="625"/>
        <v>2.5220598130694997E-5</v>
      </c>
      <c r="J919" s="13">
        <f t="shared" si="625"/>
        <v>2.901935631480431E-5</v>
      </c>
      <c r="K919" s="13">
        <f t="shared" si="625"/>
        <v>0.18338164179323269</v>
      </c>
    </row>
    <row r="920" spans="1:12">
      <c r="A920" t="s">
        <v>5</v>
      </c>
      <c r="B920" s="5" t="str">
        <f>B917</f>
        <v>SPS1</v>
      </c>
      <c r="C920" s="5" t="str">
        <f>C917</f>
        <v>CH</v>
      </c>
      <c r="D920" t="s">
        <v>1046</v>
      </c>
      <c r="E920" t="s">
        <v>8</v>
      </c>
      <c r="F920" s="13">
        <f>[1]Services!B$20</f>
        <v>0</v>
      </c>
      <c r="G920" s="13">
        <f>[1]Services!C$20</f>
        <v>0</v>
      </c>
      <c r="H920" s="13">
        <f>[1]Services!D$20</f>
        <v>5.3641341358688708E-4</v>
      </c>
      <c r="I920" s="13">
        <f>[1]Services!E$20</f>
        <v>2.5220598130694997E-5</v>
      </c>
      <c r="J920" s="13">
        <f>[1]Services!F$20</f>
        <v>2.901935631480431E-5</v>
      </c>
      <c r="K920" s="13">
        <f>[1]Services!G$20</f>
        <v>0.18338164179323269</v>
      </c>
    </row>
    <row r="921" spans="1:12">
      <c r="A921" t="s">
        <v>5</v>
      </c>
      <c r="B921" s="5" t="str">
        <f t="shared" si="603"/>
        <v>SPS1</v>
      </c>
      <c r="C921" s="5" t="str">
        <f t="shared" si="604"/>
        <v>CH</v>
      </c>
      <c r="D921" t="s">
        <v>1047</v>
      </c>
      <c r="E921" t="s">
        <v>8</v>
      </c>
      <c r="F921" s="13">
        <f>F922</f>
        <v>2.9295784847759081</v>
      </c>
      <c r="G921" s="13">
        <f t="shared" ref="G921:K921" si="626">G922</f>
        <v>3.1924480415977934</v>
      </c>
      <c r="H921" s="13">
        <f t="shared" si="626"/>
        <v>3.3653375816150737</v>
      </c>
      <c r="I921" s="13">
        <f t="shared" si="626"/>
        <v>3.6717988517687008</v>
      </c>
      <c r="J921" s="13">
        <f t="shared" si="626"/>
        <v>4.3594496584451514</v>
      </c>
      <c r="K921" s="13">
        <f t="shared" si="626"/>
        <v>11.245078409043616</v>
      </c>
    </row>
    <row r="922" spans="1:12">
      <c r="A922" t="s">
        <v>5</v>
      </c>
      <c r="B922" s="5" t="str">
        <f t="shared" si="603"/>
        <v>SPS1</v>
      </c>
      <c r="C922" s="5" t="str">
        <f t="shared" si="604"/>
        <v>CH</v>
      </c>
      <c r="D922" t="s">
        <v>1048</v>
      </c>
      <c r="E922" t="s">
        <v>8</v>
      </c>
      <c r="F922" s="13">
        <f>[1]Services!B$21-F923</f>
        <v>2.9295784847759081</v>
      </c>
      <c r="G922" s="13">
        <f>[1]Services!C$21-G923</f>
        <v>3.1924480415977934</v>
      </c>
      <c r="H922" s="13">
        <f>[1]Services!D$21-H923</f>
        <v>3.3653375816150737</v>
      </c>
      <c r="I922" s="13">
        <f>[1]Services!E$21-I923</f>
        <v>3.6717988517687008</v>
      </c>
      <c r="J922" s="13">
        <f>[1]Services!F$21-J923</f>
        <v>4.3594496584451514</v>
      </c>
      <c r="K922" s="13">
        <f>[1]Services!G$21-K923</f>
        <v>11.245078409043616</v>
      </c>
    </row>
    <row r="923" spans="1:12">
      <c r="A923" t="s">
        <v>5</v>
      </c>
      <c r="B923" s="5" t="str">
        <f t="shared" ref="B923" si="627">B922</f>
        <v>SPS1</v>
      </c>
      <c r="C923" s="5" t="str">
        <f t="shared" ref="C923" si="628">C922</f>
        <v>CH</v>
      </c>
      <c r="D923" t="s">
        <v>1049</v>
      </c>
      <c r="E923" t="s">
        <v>8</v>
      </c>
      <c r="F923" s="13">
        <f>[1]Services!B$50-F894</f>
        <v>0</v>
      </c>
      <c r="G923" s="13">
        <f>[1]Services!C$50-G894</f>
        <v>0</v>
      </c>
      <c r="H923" s="13">
        <f>[1]Services!D$50-H894</f>
        <v>2.3409668241428577E-5</v>
      </c>
      <c r="I923" s="13">
        <f>[1]Services!E$50-I894</f>
        <v>1.6260133256099497E-5</v>
      </c>
      <c r="J923" s="13">
        <f>[1]Services!F$50-J894</f>
        <v>3.6415850509063328E-4</v>
      </c>
      <c r="K923" s="13">
        <f>[1]Services!G$50-K894</f>
        <v>1.5293185004978287E-4</v>
      </c>
    </row>
    <row r="924" spans="1:12">
      <c r="A924" t="s">
        <v>5</v>
      </c>
      <c r="B924" s="8" t="str">
        <f>B852</f>
        <v>SPS1</v>
      </c>
      <c r="C924" s="8" t="str">
        <f>C852</f>
        <v>CH</v>
      </c>
      <c r="D924" s="1" t="s">
        <v>724</v>
      </c>
      <c r="E924" s="8" t="s">
        <v>8</v>
      </c>
      <c r="F924" s="22">
        <f>[1]Services!B$59</f>
        <v>73.238308952426962</v>
      </c>
      <c r="G924" s="22">
        <f>[1]Services!C$59</f>
        <v>78.632908196095684</v>
      </c>
      <c r="H924" s="22">
        <f>[1]Services!D$59</f>
        <v>79.069156624866636</v>
      </c>
      <c r="I924" s="22">
        <f>[1]Services!E$59</f>
        <v>77.813636676287118</v>
      </c>
      <c r="J924" s="22">
        <f>[1]Services!F$59</f>
        <v>75.377133562229346</v>
      </c>
      <c r="K924" s="22">
        <f>[1]Services!G$59</f>
        <v>71.474328431851035</v>
      </c>
    </row>
    <row r="925" spans="1:12">
      <c r="A925" t="s">
        <v>5</v>
      </c>
      <c r="B925" s="5" t="str">
        <f>B924</f>
        <v>SPS1</v>
      </c>
      <c r="C925" s="5" t="str">
        <f>C924</f>
        <v>CH</v>
      </c>
      <c r="D925" t="s">
        <v>1050</v>
      </c>
      <c r="E925" t="s">
        <v>8</v>
      </c>
      <c r="F925" s="13">
        <f>SUM(F926:F928)</f>
        <v>63.650014007501873</v>
      </c>
      <c r="G925" s="13">
        <f t="shared" ref="G925:K925" si="629">SUM(G926:G928)</f>
        <v>65.440745301490125</v>
      </c>
      <c r="H925" s="13">
        <f t="shared" si="629"/>
        <v>66.776518782918487</v>
      </c>
      <c r="I925" s="13">
        <f t="shared" si="629"/>
        <v>67.66954877105718</v>
      </c>
      <c r="J925" s="13">
        <f t="shared" si="629"/>
        <v>68.060116188507422</v>
      </c>
      <c r="K925" s="13">
        <f t="shared" si="629"/>
        <v>77.961697481616397</v>
      </c>
    </row>
    <row r="926" spans="1:12">
      <c r="A926" t="s">
        <v>5</v>
      </c>
      <c r="B926" s="5" t="str">
        <f>B925</f>
        <v>SPS1</v>
      </c>
      <c r="C926" s="5" t="str">
        <f>C925</f>
        <v>CH</v>
      </c>
      <c r="D926" t="s">
        <v>791</v>
      </c>
      <c r="E926" t="s">
        <v>8</v>
      </c>
      <c r="F926" s="13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2.3940343638244732</v>
      </c>
      <c r="G926" s="13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2.1212026398296371</v>
      </c>
      <c r="H926" s="13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2.2847168612139606</v>
      </c>
      <c r="I926" s="13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1.915386511986944</v>
      </c>
      <c r="J926" s="13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1.1853090805606403</v>
      </c>
      <c r="K926" s="13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0.67866131415797915</v>
      </c>
    </row>
    <row r="927" spans="1:12">
      <c r="A927" t="s">
        <v>5</v>
      </c>
      <c r="B927" s="5" t="str">
        <f t="shared" ref="B927:B930" si="630">B926</f>
        <v>SPS1</v>
      </c>
      <c r="C927" s="5" t="str">
        <f t="shared" ref="C927:C930" si="631">C926</f>
        <v>CH</v>
      </c>
      <c r="D927" t="s">
        <v>758</v>
      </c>
      <c r="E927" t="s">
        <v>8</v>
      </c>
      <c r="F927" s="13">
        <f>[1]Services!B$47</f>
        <v>4.2612050687649576</v>
      </c>
      <c r="G927" s="13">
        <f>[1]Services!C$47</f>
        <v>4.6176480601682384</v>
      </c>
      <c r="H927" s="13">
        <f>[1]Services!D$47</f>
        <v>4.8285278344911928</v>
      </c>
      <c r="I927" s="13">
        <f>[1]Services!E$47</f>
        <v>5.2017150400056611</v>
      </c>
      <c r="J927" s="13">
        <f>[1]Services!F$47</f>
        <v>6.036161065539436</v>
      </c>
      <c r="K927" s="13">
        <f>[1]Services!G$47</f>
        <v>15.261177840844912</v>
      </c>
    </row>
    <row r="928" spans="1:12">
      <c r="A928" t="s">
        <v>5</v>
      </c>
      <c r="B928" s="5" t="str">
        <f t="shared" si="630"/>
        <v>SPS1</v>
      </c>
      <c r="C928" s="5" t="str">
        <f t="shared" si="631"/>
        <v>CH</v>
      </c>
      <c r="D928" t="s">
        <v>718</v>
      </c>
      <c r="E928" t="s">
        <v>8</v>
      </c>
      <c r="F928" s="13">
        <f>[1]Services!B$3-([1]Services!B$6-[1]Services!B$58)</f>
        <v>56.994774574912441</v>
      </c>
      <c r="G928" s="13">
        <f>[1]Services!C$3-([1]Services!C$6-[1]Services!C$58)</f>
        <v>58.701894601492249</v>
      </c>
      <c r="H928" s="13">
        <f>[1]Services!D$3-([1]Services!D$6-[1]Services!D$58)</f>
        <v>59.663274087213331</v>
      </c>
      <c r="I928" s="13">
        <f>[1]Services!E$3-([1]Services!E$6-[1]Services!E$58)</f>
        <v>60.552447219064568</v>
      </c>
      <c r="J928" s="13">
        <f>[1]Services!F$3-([1]Services!F$6-[1]Services!F$58)</f>
        <v>60.838646042407348</v>
      </c>
      <c r="K928" s="13">
        <f>[1]Services!G$3-([1]Services!G$6-[1]Services!G$58)</f>
        <v>62.021858326613511</v>
      </c>
      <c r="L928" s="2"/>
    </row>
    <row r="929" spans="1:11">
      <c r="A929" t="s">
        <v>5</v>
      </c>
      <c r="B929" s="5" t="str">
        <f t="shared" si="630"/>
        <v>SPS1</v>
      </c>
      <c r="C929" s="5" t="str">
        <f t="shared" si="631"/>
        <v>CH</v>
      </c>
      <c r="D929" t="s">
        <v>1108</v>
      </c>
      <c r="E929" t="s">
        <v>8</v>
      </c>
      <c r="F929" s="13">
        <f>F930</f>
        <v>24.843069384565862</v>
      </c>
      <c r="G929" s="13">
        <f t="shared" ref="G929:K929" si="632">G930</f>
        <v>19.941872511711868</v>
      </c>
      <c r="H929" s="13">
        <f t="shared" si="632"/>
        <v>22.036469793225752</v>
      </c>
      <c r="I929" s="13">
        <f t="shared" si="632"/>
        <v>16.183813507337163</v>
      </c>
      <c r="J929" s="13">
        <f t="shared" si="632"/>
        <v>7.1162880755066844</v>
      </c>
      <c r="K929" s="13">
        <f t="shared" si="632"/>
        <v>0.73031778497090816</v>
      </c>
    </row>
    <row r="930" spans="1:11">
      <c r="A930" t="s">
        <v>5</v>
      </c>
      <c r="B930" s="5" t="str">
        <f t="shared" si="630"/>
        <v>SPS1</v>
      </c>
      <c r="C930" s="5" t="str">
        <f t="shared" si="631"/>
        <v>CH</v>
      </c>
      <c r="D930" t="s">
        <v>1109</v>
      </c>
      <c r="E930" t="s">
        <v>8</v>
      </c>
      <c r="F930" s="13">
        <f>[1]Services!B$48</f>
        <v>24.843069384565862</v>
      </c>
      <c r="G930" s="13">
        <f>[1]Services!C$48</f>
        <v>19.941872511711868</v>
      </c>
      <c r="H930" s="13">
        <f>[1]Services!D$48</f>
        <v>22.036469793225752</v>
      </c>
      <c r="I930" s="13">
        <f>[1]Services!E$48</f>
        <v>16.183813507337163</v>
      </c>
      <c r="J930" s="13">
        <f>[1]Services!F$48</f>
        <v>7.1162880755066844</v>
      </c>
      <c r="K930" s="13">
        <f>[1]Services!G$48</f>
        <v>0.73031778497090816</v>
      </c>
    </row>
    <row r="931" spans="1:11">
      <c r="A931" t="s">
        <v>5</v>
      </c>
      <c r="B931" s="5" t="str">
        <f>B930</f>
        <v>SPS1</v>
      </c>
      <c r="C931" s="5" t="str">
        <f>C930</f>
        <v>CH</v>
      </c>
      <c r="D931" t="s">
        <v>1110</v>
      </c>
      <c r="E931" t="s">
        <v>8</v>
      </c>
      <c r="F931" s="13">
        <f>SUM(F932:F934)</f>
        <v>25.412779529056436</v>
      </c>
      <c r="G931" s="13">
        <f t="shared" ref="G931:K931" si="633">SUM(G932:G934)</f>
        <v>26.667685273643308</v>
      </c>
      <c r="H931" s="13">
        <f t="shared" si="633"/>
        <v>25.820150812984309</v>
      </c>
      <c r="I931" s="13">
        <f t="shared" si="633"/>
        <v>25.831326841904847</v>
      </c>
      <c r="J931" s="13">
        <f t="shared" si="633"/>
        <v>23.638419920426653</v>
      </c>
      <c r="K931" s="13">
        <f t="shared" si="633"/>
        <v>15.665978999069523</v>
      </c>
    </row>
    <row r="932" spans="1:11">
      <c r="A932" t="s">
        <v>5</v>
      </c>
      <c r="B932" s="5" t="str">
        <f t="shared" ref="B932:B951" si="634">B931</f>
        <v>SPS1</v>
      </c>
      <c r="C932" s="5" t="str">
        <f t="shared" ref="C932:C951" si="635">C931</f>
        <v>CH</v>
      </c>
      <c r="D932" t="s">
        <v>1111</v>
      </c>
      <c r="E932" t="s">
        <v>8</v>
      </c>
      <c r="F932" s="13">
        <f>[1]Services!B$49</f>
        <v>24.189714037441973</v>
      </c>
      <c r="G932" s="13">
        <f>[1]Services!C$49</f>
        <v>25.326919685241769</v>
      </c>
      <c r="H932" s="13">
        <f>[1]Services!D$49</f>
        <v>24.563069891189492</v>
      </c>
      <c r="I932" s="13">
        <f>[1]Services!E$49</f>
        <v>24.452462250192987</v>
      </c>
      <c r="J932" s="13">
        <f>[1]Services!F$49</f>
        <v>19.367572978661716</v>
      </c>
      <c r="K932" s="13">
        <f>[1]Services!G$49</f>
        <v>9.7597642645279183</v>
      </c>
    </row>
    <row r="933" spans="1:11">
      <c r="A933" t="s">
        <v>5</v>
      </c>
      <c r="B933" s="5" t="str">
        <f t="shared" ref="B933" si="636">B932</f>
        <v>SPS1</v>
      </c>
      <c r="C933" s="5" t="str">
        <f t="shared" ref="C933" si="637">C932</f>
        <v>CH</v>
      </c>
      <c r="D933" t="s">
        <v>1112</v>
      </c>
      <c r="E933" t="s">
        <v>8</v>
      </c>
      <c r="F933" s="13">
        <f>[1]Services!B$50</f>
        <v>0</v>
      </c>
      <c r="G933" s="13">
        <f>[1]Services!C$50</f>
        <v>0</v>
      </c>
      <c r="H933" s="13">
        <f>[1]Services!D$50</f>
        <v>4.7297084814314912E-5</v>
      </c>
      <c r="I933" s="13">
        <f>[1]Services!E$50</f>
        <v>3.1702528000993455E-5</v>
      </c>
      <c r="J933" s="13">
        <f>[1]Services!F$50</f>
        <v>6.7808825085842017E-4</v>
      </c>
      <c r="K933" s="13">
        <f>[1]Services!G$50</f>
        <v>2.7240985790117581E-4</v>
      </c>
    </row>
    <row r="934" spans="1:11">
      <c r="A934" t="s">
        <v>5</v>
      </c>
      <c r="B934" s="5" t="str">
        <f>B932</f>
        <v>SPS1</v>
      </c>
      <c r="C934" s="5" t="str">
        <f>C932</f>
        <v>CH</v>
      </c>
      <c r="D934" t="s">
        <v>1113</v>
      </c>
      <c r="E934" t="s">
        <v>8</v>
      </c>
      <c r="F934" s="13">
        <f>[1]Services!B$56</f>
        <v>1.2230654916144612</v>
      </c>
      <c r="G934" s="13">
        <f>[1]Services!C$56</f>
        <v>1.3407655884015368</v>
      </c>
      <c r="H934" s="13">
        <f>[1]Services!D$56</f>
        <v>1.2570336247100018</v>
      </c>
      <c r="I934" s="13">
        <f>[1]Services!E$56</f>
        <v>1.3788328891838599</v>
      </c>
      <c r="J934" s="13">
        <f>[1]Services!F$56</f>
        <v>4.270168853514078</v>
      </c>
      <c r="K934" s="13">
        <f>[1]Services!G$56</f>
        <v>5.9059423246837026</v>
      </c>
    </row>
    <row r="935" spans="1:11">
      <c r="A935" t="s">
        <v>5</v>
      </c>
      <c r="B935" s="5" t="str">
        <f t="shared" si="634"/>
        <v>SPS1</v>
      </c>
      <c r="C935" s="5" t="str">
        <f t="shared" si="635"/>
        <v>CH</v>
      </c>
      <c r="D935" t="s">
        <v>1051</v>
      </c>
      <c r="E935" t="s">
        <v>8</v>
      </c>
      <c r="F935" s="13">
        <f>F936+F942</f>
        <v>7.6496131473336817</v>
      </c>
      <c r="G935" s="13">
        <f t="shared" ref="G935:K935" si="638">G936+G942</f>
        <v>8.2859931451780486</v>
      </c>
      <c r="H935" s="13">
        <f t="shared" si="638"/>
        <v>8.1227408504374399</v>
      </c>
      <c r="I935" s="13">
        <f t="shared" si="638"/>
        <v>10.155768935777452</v>
      </c>
      <c r="J935" s="13">
        <f t="shared" si="638"/>
        <v>9.7294753042049038</v>
      </c>
      <c r="K935" s="13">
        <f t="shared" si="638"/>
        <v>9.6822206441126788</v>
      </c>
    </row>
    <row r="936" spans="1:11">
      <c r="A936" t="s">
        <v>5</v>
      </c>
      <c r="B936" s="5" t="str">
        <f t="shared" si="634"/>
        <v>SPS1</v>
      </c>
      <c r="C936" s="5" t="str">
        <f t="shared" si="635"/>
        <v>CH</v>
      </c>
      <c r="D936" t="s">
        <v>1052</v>
      </c>
      <c r="E936" t="s">
        <v>8</v>
      </c>
      <c r="F936" s="13">
        <f>[1]Services!B$51</f>
        <v>2.0957130229938481</v>
      </c>
      <c r="G936" s="13">
        <f>[1]Services!C$51</f>
        <v>2.2700577423517019</v>
      </c>
      <c r="H936" s="13">
        <f>[1]Services!D$51</f>
        <v>2.1068050237994789</v>
      </c>
      <c r="I936" s="13">
        <f>[1]Services!E$51</f>
        <v>1.8918902572335996</v>
      </c>
      <c r="J936" s="13">
        <f>[1]Services!F$51</f>
        <v>1.3237251154322542</v>
      </c>
      <c r="K936" s="13">
        <f>[1]Services!G$51</f>
        <v>1.276470430479324</v>
      </c>
    </row>
    <row r="937" spans="1:11">
      <c r="A937" t="s">
        <v>5</v>
      </c>
      <c r="B937" s="5" t="str">
        <f t="shared" si="634"/>
        <v>SPS1</v>
      </c>
      <c r="C937" s="5" t="str">
        <f t="shared" si="635"/>
        <v>CH</v>
      </c>
      <c r="D937" t="s">
        <v>719</v>
      </c>
      <c r="E937" t="s">
        <v>8</v>
      </c>
      <c r="F937" s="13">
        <f>IFERROR(F905/F$904,0)*F$936</f>
        <v>1.4100643820621341</v>
      </c>
      <c r="G937" s="13">
        <f t="shared" ref="G937:K937" si="639">IFERROR(G905/G$904,0)*G$936</f>
        <v>1.5273692943908008</v>
      </c>
      <c r="H937" s="13">
        <f t="shared" si="639"/>
        <v>1.4591843886926097</v>
      </c>
      <c r="I937" s="13">
        <f t="shared" si="639"/>
        <v>1.2315660502525023</v>
      </c>
      <c r="J937" s="13">
        <f t="shared" si="639"/>
        <v>1.0490236831940893</v>
      </c>
      <c r="K937" s="13">
        <f t="shared" si="639"/>
        <v>1.2762678671690257</v>
      </c>
    </row>
    <row r="938" spans="1:11">
      <c r="A938" t="s">
        <v>5</v>
      </c>
      <c r="B938" s="5" t="str">
        <f t="shared" si="634"/>
        <v>SPS1</v>
      </c>
      <c r="C938" s="5" t="str">
        <f t="shared" si="635"/>
        <v>CH</v>
      </c>
      <c r="D938" t="s">
        <v>720</v>
      </c>
      <c r="E938" t="s">
        <v>8</v>
      </c>
      <c r="F938" s="13">
        <f>IFERROR(F906/F$904,0)*F$936</f>
        <v>0.68564864093171385</v>
      </c>
      <c r="G938" s="13">
        <f t="shared" ref="G938:K941" si="640">IFERROR(G906/G$904,0)*G$936</f>
        <v>0.74268844796090139</v>
      </c>
      <c r="H938" s="13">
        <f t="shared" si="640"/>
        <v>0.6476206351068694</v>
      </c>
      <c r="I938" s="13">
        <f t="shared" si="640"/>
        <v>0.66023658974250965</v>
      </c>
      <c r="J938" s="13">
        <f t="shared" si="640"/>
        <v>0.27452865046434027</v>
      </c>
      <c r="K938" s="13">
        <f t="shared" si="640"/>
        <v>1.0459464144274906E-4</v>
      </c>
    </row>
    <row r="939" spans="1:11">
      <c r="A939" t="s">
        <v>5</v>
      </c>
      <c r="B939" s="5" t="str">
        <f t="shared" si="634"/>
        <v>SPS1</v>
      </c>
      <c r="C939" s="5" t="str">
        <f t="shared" si="635"/>
        <v>CH</v>
      </c>
      <c r="D939" t="s">
        <v>721</v>
      </c>
      <c r="E939" t="s">
        <v>8</v>
      </c>
      <c r="F939" s="13">
        <f>IFERROR(F907/F$904,0)*F$936</f>
        <v>0</v>
      </c>
      <c r="G939" s="13">
        <f t="shared" si="640"/>
        <v>0</v>
      </c>
      <c r="H939" s="13">
        <f t="shared" si="640"/>
        <v>0</v>
      </c>
      <c r="I939" s="13">
        <f t="shared" si="640"/>
        <v>2.6817224746146296E-6</v>
      </c>
      <c r="J939" s="13">
        <f t="shared" si="640"/>
        <v>9.3813075259978823E-6</v>
      </c>
      <c r="K939" s="13">
        <f t="shared" si="640"/>
        <v>3.6866861959945016E-6</v>
      </c>
    </row>
    <row r="940" spans="1:11">
      <c r="A940" t="s">
        <v>5</v>
      </c>
      <c r="B940" s="5" t="str">
        <f t="shared" si="634"/>
        <v>SPS1</v>
      </c>
      <c r="C940" s="5" t="str">
        <f t="shared" si="635"/>
        <v>CH</v>
      </c>
      <c r="D940" t="s">
        <v>722</v>
      </c>
      <c r="E940" t="s">
        <v>8</v>
      </c>
      <c r="F940" s="13">
        <f>IFERROR(F908/F$904,0)*F$936</f>
        <v>0</v>
      </c>
      <c r="G940" s="13">
        <f t="shared" si="640"/>
        <v>0</v>
      </c>
      <c r="H940" s="13">
        <f t="shared" si="640"/>
        <v>0</v>
      </c>
      <c r="I940" s="13">
        <f t="shared" si="640"/>
        <v>6.430187669667788E-5</v>
      </c>
      <c r="J940" s="13">
        <f t="shared" si="640"/>
        <v>1.3587265239028211E-4</v>
      </c>
      <c r="K940" s="13">
        <f t="shared" si="640"/>
        <v>6.1101941849594908E-5</v>
      </c>
    </row>
    <row r="941" spans="1:11">
      <c r="A941" t="s">
        <v>5</v>
      </c>
      <c r="B941" s="5" t="str">
        <f t="shared" si="634"/>
        <v>SPS1</v>
      </c>
      <c r="C941" s="5" t="str">
        <f t="shared" si="635"/>
        <v>CH</v>
      </c>
      <c r="D941" t="s">
        <v>723</v>
      </c>
      <c r="E941" t="s">
        <v>8</v>
      </c>
      <c r="F941" s="13">
        <f>IFERROR(F909/F$904,0)*F$936</f>
        <v>0</v>
      </c>
      <c r="G941" s="13">
        <f t="shared" si="640"/>
        <v>0</v>
      </c>
      <c r="H941" s="13">
        <f t="shared" si="640"/>
        <v>0</v>
      </c>
      <c r="I941" s="13">
        <f t="shared" si="640"/>
        <v>2.0633639416236675E-5</v>
      </c>
      <c r="J941" s="13">
        <f t="shared" si="640"/>
        <v>2.7527813908247439E-5</v>
      </c>
      <c r="K941" s="13">
        <f t="shared" si="640"/>
        <v>3.3180040809874317E-5</v>
      </c>
    </row>
    <row r="942" spans="1:11">
      <c r="A942" t="s">
        <v>5</v>
      </c>
      <c r="B942" s="5" t="str">
        <f t="shared" si="634"/>
        <v>SPS1</v>
      </c>
      <c r="C942" s="5" t="str">
        <f t="shared" si="635"/>
        <v>CH</v>
      </c>
      <c r="D942" t="s">
        <v>1053</v>
      </c>
      <c r="E942" t="s">
        <v>8</v>
      </c>
      <c r="F942" s="13">
        <f>[1]Services!B$52</f>
        <v>5.553900124339834</v>
      </c>
      <c r="G942" s="13">
        <f>[1]Services!C$52</f>
        <v>6.0159354028263472</v>
      </c>
      <c r="H942" s="13">
        <f>[1]Services!D$52</f>
        <v>6.0159358266379614</v>
      </c>
      <c r="I942" s="13">
        <f>[1]Services!E$52</f>
        <v>8.2638786785438523</v>
      </c>
      <c r="J942" s="13">
        <f>[1]Services!F$52</f>
        <v>8.4057501887726502</v>
      </c>
      <c r="K942" s="13">
        <f>[1]Services!G$52</f>
        <v>8.4057502136333557</v>
      </c>
    </row>
    <row r="943" spans="1:11">
      <c r="A943" t="s">
        <v>5</v>
      </c>
      <c r="B943" s="5" t="str">
        <f t="shared" si="634"/>
        <v>SPS1</v>
      </c>
      <c r="C943" s="5" t="str">
        <f t="shared" si="635"/>
        <v>CH</v>
      </c>
      <c r="D943" t="s">
        <v>1054</v>
      </c>
      <c r="E943" t="s">
        <v>8</v>
      </c>
      <c r="F943" s="13">
        <f>F944</f>
        <v>6.173544318174911</v>
      </c>
      <c r="G943" s="13">
        <f t="shared" ref="G943:K943" si="641">G944</f>
        <v>7.1868581344523381</v>
      </c>
      <c r="H943" s="13">
        <f t="shared" si="641"/>
        <v>6.1647641641691804</v>
      </c>
      <c r="I943" s="13">
        <f t="shared" si="641"/>
        <v>5.8298699719475051</v>
      </c>
      <c r="J943" s="13">
        <f t="shared" si="641"/>
        <v>1.7809255335345777</v>
      </c>
      <c r="K943" s="13">
        <f t="shared" si="641"/>
        <v>0.38459903416038477</v>
      </c>
    </row>
    <row r="944" spans="1:11">
      <c r="A944" t="s">
        <v>5</v>
      </c>
      <c r="B944" s="5" t="str">
        <f t="shared" si="634"/>
        <v>SPS1</v>
      </c>
      <c r="C944" s="5" t="str">
        <f t="shared" si="635"/>
        <v>CH</v>
      </c>
      <c r="D944" t="s">
        <v>1055</v>
      </c>
      <c r="E944" t="s">
        <v>8</v>
      </c>
      <c r="F944" s="13">
        <f>[1]Services!B$53</f>
        <v>6.173544318174911</v>
      </c>
      <c r="G944" s="13">
        <f>[1]Services!C$53</f>
        <v>7.1868581344523381</v>
      </c>
      <c r="H944" s="13">
        <f>[1]Services!D$53</f>
        <v>6.1647641641691804</v>
      </c>
      <c r="I944" s="13">
        <f>[1]Services!E$53</f>
        <v>5.8298699719475051</v>
      </c>
      <c r="J944" s="13">
        <f>[1]Services!F$53</f>
        <v>1.7809255335345777</v>
      </c>
      <c r="K944" s="13">
        <f>[1]Services!G$53</f>
        <v>0.38459903416038477</v>
      </c>
    </row>
    <row r="945" spans="1:11">
      <c r="A945" t="s">
        <v>5</v>
      </c>
      <c r="B945" s="5" t="str">
        <f t="shared" si="634"/>
        <v>SPS1</v>
      </c>
      <c r="C945" s="5" t="str">
        <f t="shared" si="635"/>
        <v>CH</v>
      </c>
      <c r="D945" t="s">
        <v>1056</v>
      </c>
      <c r="E945" t="s">
        <v>8</v>
      </c>
      <c r="F945" s="13">
        <f>F946</f>
        <v>1.877069786533383</v>
      </c>
      <c r="G945" s="13">
        <f t="shared" ref="G945:K945" si="642">G946</f>
        <v>2.1600816666130362</v>
      </c>
      <c r="H945" s="13">
        <f t="shared" si="642"/>
        <v>2.1602907413224881</v>
      </c>
      <c r="I945" s="13">
        <f t="shared" si="642"/>
        <v>2.2260572305988631</v>
      </c>
      <c r="J945" s="13">
        <f t="shared" si="642"/>
        <v>2.7653017782032632</v>
      </c>
      <c r="K945" s="13">
        <f t="shared" si="642"/>
        <v>2.2269858045376161</v>
      </c>
    </row>
    <row r="946" spans="1:11">
      <c r="A946" t="s">
        <v>5</v>
      </c>
      <c r="B946" s="5" t="str">
        <f t="shared" si="634"/>
        <v>SPS1</v>
      </c>
      <c r="C946" s="5" t="str">
        <f t="shared" si="635"/>
        <v>CH</v>
      </c>
      <c r="D946" t="s">
        <v>1057</v>
      </c>
      <c r="E946" t="s">
        <v>8</v>
      </c>
      <c r="F946" s="13">
        <f>[1]Services!B$54</f>
        <v>1.877069786533383</v>
      </c>
      <c r="G946" s="13">
        <f>[1]Services!C$54</f>
        <v>2.1600816666130362</v>
      </c>
      <c r="H946" s="13">
        <f>[1]Services!D$54</f>
        <v>2.1602907413224881</v>
      </c>
      <c r="I946" s="13">
        <f>[1]Services!E$54</f>
        <v>2.2260572305988631</v>
      </c>
      <c r="J946" s="13">
        <f>[1]Services!F$54</f>
        <v>2.7653017782032632</v>
      </c>
      <c r="K946" s="13">
        <f>[1]Services!G$54</f>
        <v>2.2269858045376161</v>
      </c>
    </row>
    <row r="947" spans="1:11">
      <c r="A947" t="s">
        <v>5</v>
      </c>
      <c r="B947" s="5" t="str">
        <f t="shared" si="634"/>
        <v>SPS1</v>
      </c>
      <c r="C947" s="5" t="str">
        <f t="shared" si="635"/>
        <v>CH</v>
      </c>
      <c r="D947" t="s">
        <v>1058</v>
      </c>
      <c r="E947" t="s">
        <v>8</v>
      </c>
      <c r="F947" s="13">
        <f>F948</f>
        <v>0.62699335417326996</v>
      </c>
      <c r="G947" s="13">
        <f t="shared" ref="G947:K947" si="643">G948</f>
        <v>0.68733127363266378</v>
      </c>
      <c r="H947" s="13">
        <f t="shared" si="643"/>
        <v>0.68733135029652181</v>
      </c>
      <c r="I947" s="13">
        <f t="shared" si="643"/>
        <v>0.69717538560414949</v>
      </c>
      <c r="J947" s="13">
        <f t="shared" si="643"/>
        <v>5.4157566707081859</v>
      </c>
      <c r="K947" s="13">
        <f t="shared" si="643"/>
        <v>5.4157566082081008</v>
      </c>
    </row>
    <row r="948" spans="1:11">
      <c r="A948" t="s">
        <v>5</v>
      </c>
      <c r="B948" s="5" t="str">
        <f t="shared" si="634"/>
        <v>SPS1</v>
      </c>
      <c r="C948" s="5" t="str">
        <f t="shared" si="635"/>
        <v>CH</v>
      </c>
      <c r="D948" t="s">
        <v>1059</v>
      </c>
      <c r="E948" t="s">
        <v>8</v>
      </c>
      <c r="F948" s="13">
        <f>[1]Services!B$55</f>
        <v>0.62699335417326996</v>
      </c>
      <c r="G948" s="13">
        <f>[1]Services!C$55</f>
        <v>0.68733127363266378</v>
      </c>
      <c r="H948" s="13">
        <f>[1]Services!D$55</f>
        <v>0.68733135029652181</v>
      </c>
      <c r="I948" s="13">
        <f>[1]Services!E$55</f>
        <v>0.69717538560414949</v>
      </c>
      <c r="J948" s="13">
        <f>[1]Services!F$55</f>
        <v>5.4157566707081859</v>
      </c>
      <c r="K948" s="13">
        <f>[1]Services!G$55</f>
        <v>5.4157566082081008</v>
      </c>
    </row>
    <row r="949" spans="1:11">
      <c r="A949" t="s">
        <v>5</v>
      </c>
      <c r="B949" s="5" t="str">
        <f t="shared" si="634"/>
        <v>SPS1</v>
      </c>
      <c r="C949" s="5" t="str">
        <f t="shared" si="635"/>
        <v>CH</v>
      </c>
      <c r="D949" t="s">
        <v>1060</v>
      </c>
      <c r="E949" t="s">
        <v>8</v>
      </c>
      <c r="F949" s="13">
        <f>F950</f>
        <v>0</v>
      </c>
      <c r="G949" s="13">
        <f t="shared" ref="G949:K949" si="644">G950</f>
        <v>0</v>
      </c>
      <c r="H949" s="13">
        <f t="shared" si="644"/>
        <v>0</v>
      </c>
      <c r="I949" s="13">
        <f t="shared" si="644"/>
        <v>1.7454205641267286E-5</v>
      </c>
      <c r="J949" s="13">
        <f t="shared" si="644"/>
        <v>1.8341465004206045E-5</v>
      </c>
      <c r="K949" s="13">
        <f t="shared" si="644"/>
        <v>4.72107999668007E-4</v>
      </c>
    </row>
    <row r="950" spans="1:11">
      <c r="A950" t="s">
        <v>5</v>
      </c>
      <c r="B950" s="5" t="str">
        <f t="shared" si="634"/>
        <v>SPS1</v>
      </c>
      <c r="C950" s="5" t="str">
        <f t="shared" si="635"/>
        <v>CH</v>
      </c>
      <c r="D950" t="s">
        <v>1061</v>
      </c>
      <c r="E950" t="s">
        <v>8</v>
      </c>
      <c r="F950" s="13">
        <f>[1]Services!B$57</f>
        <v>0</v>
      </c>
      <c r="G950" s="13">
        <f>[1]Services!C$57</f>
        <v>0</v>
      </c>
      <c r="H950" s="13">
        <f>[1]Services!D$57</f>
        <v>0</v>
      </c>
      <c r="I950" s="13">
        <f>[1]Services!E$57</f>
        <v>1.7454205641267286E-5</v>
      </c>
      <c r="J950" s="13">
        <f>[1]Services!F$57</f>
        <v>1.8341465004206045E-5</v>
      </c>
      <c r="K950" s="13">
        <f>[1]Services!G$57</f>
        <v>4.72107999668007E-4</v>
      </c>
    </row>
    <row r="951" spans="1:11">
      <c r="A951" t="s">
        <v>5</v>
      </c>
      <c r="B951" s="5" t="str">
        <f t="shared" si="634"/>
        <v>SPS1</v>
      </c>
      <c r="C951" s="5" t="str">
        <f t="shared" si="635"/>
        <v>CH</v>
      </c>
      <c r="D951" t="s">
        <v>1062</v>
      </c>
      <c r="E951" t="s">
        <v>8</v>
      </c>
      <c r="F951" s="13">
        <f>[1]Services!B$58</f>
        <v>0</v>
      </c>
      <c r="G951" s="13">
        <f>[1]Services!C$58</f>
        <v>6.9642354908665451</v>
      </c>
      <c r="H951" s="13">
        <f>[1]Services!D$58</f>
        <v>6.964164216725786</v>
      </c>
      <c r="I951" s="13">
        <f>[1]Services!E$58</f>
        <v>9.7725057969188889</v>
      </c>
      <c r="J951" s="13">
        <f>[1]Services!F$58</f>
        <v>17.709477792080008</v>
      </c>
      <c r="K951" s="13">
        <f>[1]Services!G$58</f>
        <v>21.428158293789256</v>
      </c>
    </row>
    <row r="952" spans="1:11">
      <c r="A952" t="s">
        <v>5</v>
      </c>
      <c r="B952" s="5" t="str">
        <f>B951</f>
        <v>SPS1</v>
      </c>
      <c r="C952" s="5" t="str">
        <f>C951</f>
        <v>CH</v>
      </c>
      <c r="D952" s="1" t="s">
        <v>716</v>
      </c>
      <c r="E952" s="1" t="s">
        <v>242</v>
      </c>
      <c r="F952" s="13" t="s">
        <v>295</v>
      </c>
      <c r="G952" s="13" t="s">
        <v>295</v>
      </c>
      <c r="H952" s="13" t="s">
        <v>295</v>
      </c>
      <c r="I952" s="13" t="s">
        <v>295</v>
      </c>
      <c r="J952" s="13" t="s">
        <v>295</v>
      </c>
      <c r="K952" s="13" t="s">
        <v>295</v>
      </c>
    </row>
    <row r="953" spans="1:11">
      <c r="A953" t="s">
        <v>5</v>
      </c>
      <c r="B953" s="5" t="str">
        <f t="shared" ref="B953:B969" si="645">B952</f>
        <v>SPS1</v>
      </c>
      <c r="C953" s="5" t="str">
        <f t="shared" ref="C953:C969" si="646">C952</f>
        <v>CH</v>
      </c>
      <c r="D953" t="s">
        <v>792</v>
      </c>
      <c r="E953" t="s">
        <v>242</v>
      </c>
      <c r="F953" s="21">
        <f t="shared" ref="F953:K955" si="647">IFERROR(F926/F882,"-")</f>
        <v>0.91249999999999942</v>
      </c>
      <c r="G953" s="21">
        <f t="shared" si="647"/>
        <v>0.91500000000000026</v>
      </c>
      <c r="H953" s="21">
        <f t="shared" si="647"/>
        <v>0.91875000000000051</v>
      </c>
      <c r="I953" s="21">
        <f t="shared" si="647"/>
        <v>0.92500000000000027</v>
      </c>
      <c r="J953" s="21">
        <f t="shared" si="647"/>
        <v>0.93750000000000056</v>
      </c>
      <c r="K953" s="21">
        <f t="shared" si="647"/>
        <v>0.94999999999999984</v>
      </c>
    </row>
    <row r="954" spans="1:11">
      <c r="A954" t="s">
        <v>5</v>
      </c>
      <c r="B954" s="5" t="str">
        <f t="shared" si="645"/>
        <v>SPS1</v>
      </c>
      <c r="C954" s="5" t="str">
        <f t="shared" si="646"/>
        <v>CH</v>
      </c>
      <c r="D954" t="s">
        <v>759</v>
      </c>
      <c r="E954" t="s">
        <v>242</v>
      </c>
      <c r="F954" s="21">
        <f t="shared" si="647"/>
        <v>3.1999999999999993</v>
      </c>
      <c r="G954" s="21">
        <f t="shared" si="647"/>
        <v>3.2399999999999975</v>
      </c>
      <c r="H954" s="21">
        <f t="shared" si="647"/>
        <v>3.3</v>
      </c>
      <c r="I954" s="21">
        <f t="shared" si="647"/>
        <v>3.3999999999999972</v>
      </c>
      <c r="J954" s="21">
        <f t="shared" si="647"/>
        <v>3.600000000000005</v>
      </c>
      <c r="K954" s="21">
        <f t="shared" si="647"/>
        <v>3.799999999999998</v>
      </c>
    </row>
    <row r="955" spans="1:11">
      <c r="A955" t="s">
        <v>5</v>
      </c>
      <c r="B955" s="5" t="str">
        <f t="shared" si="645"/>
        <v>SPS1</v>
      </c>
      <c r="C955" s="5" t="str">
        <f t="shared" si="646"/>
        <v>CH</v>
      </c>
      <c r="D955" t="s">
        <v>726</v>
      </c>
      <c r="E955" t="s">
        <v>242</v>
      </c>
      <c r="F955" s="21">
        <f t="shared" si="647"/>
        <v>1</v>
      </c>
      <c r="G955" s="21">
        <f t="shared" si="647"/>
        <v>1</v>
      </c>
      <c r="H955" s="21">
        <f t="shared" si="647"/>
        <v>1</v>
      </c>
      <c r="I955" s="21">
        <f t="shared" si="647"/>
        <v>1</v>
      </c>
      <c r="J955" s="21">
        <f t="shared" si="647"/>
        <v>0.99999999999999989</v>
      </c>
      <c r="K955" s="21">
        <f t="shared" si="647"/>
        <v>1.0000000000000002</v>
      </c>
    </row>
    <row r="956" spans="1:11">
      <c r="A956" t="s">
        <v>5</v>
      </c>
      <c r="B956" s="5" t="str">
        <f t="shared" si="645"/>
        <v>SPS1</v>
      </c>
      <c r="C956" s="5" t="str">
        <f t="shared" si="646"/>
        <v>CH</v>
      </c>
      <c r="D956" t="s">
        <v>727</v>
      </c>
      <c r="E956" t="s">
        <v>242</v>
      </c>
      <c r="F956" s="21">
        <f t="shared" ref="F956:K956" si="648">IFERROR(F930/F886,"-")</f>
        <v>0.82107843137254921</v>
      </c>
      <c r="G956" s="21">
        <f t="shared" si="648"/>
        <v>0.82270432925645531</v>
      </c>
      <c r="H956" s="21">
        <f t="shared" si="648"/>
        <v>0.82514317608231402</v>
      </c>
      <c r="I956" s="21">
        <f t="shared" si="648"/>
        <v>0.82920792079207861</v>
      </c>
      <c r="J956" s="21">
        <f t="shared" si="648"/>
        <v>0.83750000000000036</v>
      </c>
      <c r="K956" s="21">
        <f t="shared" si="648"/>
        <v>0.83749999999999913</v>
      </c>
    </row>
    <row r="957" spans="1:11">
      <c r="A957" t="s">
        <v>5</v>
      </c>
      <c r="B957" s="5" t="str">
        <f t="shared" si="645"/>
        <v>SPS1</v>
      </c>
      <c r="C957" s="5" t="str">
        <f t="shared" si="646"/>
        <v>CH</v>
      </c>
      <c r="D957" t="s">
        <v>728</v>
      </c>
      <c r="E957" t="s">
        <v>242</v>
      </c>
      <c r="F957" s="21">
        <f t="shared" ref="F957:K959" si="649">IFERROR(F932/F893,"-")</f>
        <v>0.94680851063829941</v>
      </c>
      <c r="G957" s="21">
        <f t="shared" si="649"/>
        <v>0.94680851063829841</v>
      </c>
      <c r="H957" s="21">
        <f t="shared" si="649"/>
        <v>0.94682721600132502</v>
      </c>
      <c r="I957" s="21">
        <f t="shared" si="649"/>
        <v>0.94680819328158572</v>
      </c>
      <c r="J957" s="21">
        <f t="shared" si="649"/>
        <v>0.94679442685617854</v>
      </c>
      <c r="K957" s="21">
        <f t="shared" si="649"/>
        <v>0.96389857538199608</v>
      </c>
    </row>
    <row r="958" spans="1:11">
      <c r="A958" t="s">
        <v>5</v>
      </c>
      <c r="B958" s="5" t="str">
        <f t="shared" si="645"/>
        <v>SPS1</v>
      </c>
      <c r="C958" s="5" t="str">
        <f t="shared" si="646"/>
        <v>CH</v>
      </c>
      <c r="D958" t="s">
        <v>760</v>
      </c>
      <c r="E958" t="s">
        <v>242</v>
      </c>
      <c r="F958" s="21" t="str">
        <f t="shared" si="649"/>
        <v>-</v>
      </c>
      <c r="G958" s="21" t="str">
        <f t="shared" si="649"/>
        <v>-</v>
      </c>
      <c r="H958" s="21">
        <f t="shared" si="649"/>
        <v>1.9799999999999986</v>
      </c>
      <c r="I958" s="21">
        <f t="shared" si="649"/>
        <v>2.0529541256206993</v>
      </c>
      <c r="J958" s="21">
        <f t="shared" si="649"/>
        <v>2.1600000000000015</v>
      </c>
      <c r="K958" s="21">
        <f t="shared" si="649"/>
        <v>2.2799999999999994</v>
      </c>
    </row>
    <row r="959" spans="1:11">
      <c r="A959" t="s">
        <v>5</v>
      </c>
      <c r="B959" s="5" t="str">
        <f t="shared" si="645"/>
        <v>SPS1</v>
      </c>
      <c r="C959" s="5" t="str">
        <f t="shared" si="646"/>
        <v>CH</v>
      </c>
      <c r="D959" t="s">
        <v>729</v>
      </c>
      <c r="E959" t="s">
        <v>242</v>
      </c>
      <c r="F959" s="21">
        <f t="shared" si="649"/>
        <v>0.87219999999999953</v>
      </c>
      <c r="G959" s="21">
        <f t="shared" si="649"/>
        <v>0.87219999999999975</v>
      </c>
      <c r="H959" s="21">
        <f t="shared" si="649"/>
        <v>0.87220000000000031</v>
      </c>
      <c r="I959" s="21">
        <f t="shared" si="649"/>
        <v>0.87219999999999986</v>
      </c>
      <c r="J959" s="21">
        <f t="shared" si="649"/>
        <v>0.87220000000000064</v>
      </c>
      <c r="K959" s="21">
        <f t="shared" si="649"/>
        <v>0.87219999999999986</v>
      </c>
    </row>
    <row r="960" spans="1:11">
      <c r="A960" t="s">
        <v>5</v>
      </c>
      <c r="B960" s="5" t="str">
        <f>B959</f>
        <v>SPS1</v>
      </c>
      <c r="C960" s="5" t="str">
        <f>C959</f>
        <v>CH</v>
      </c>
      <c r="D960" t="s">
        <v>730</v>
      </c>
      <c r="E960" t="s">
        <v>242</v>
      </c>
      <c r="F960" s="21">
        <f t="shared" ref="F960:K965" si="650">IFERROR(F937/F905,"-")</f>
        <v>0.99</v>
      </c>
      <c r="G960" s="21">
        <f t="shared" si="650"/>
        <v>0.99</v>
      </c>
      <c r="H960" s="21">
        <f t="shared" si="650"/>
        <v>0.9900000000000001</v>
      </c>
      <c r="I960" s="21">
        <f t="shared" si="650"/>
        <v>0.99</v>
      </c>
      <c r="J960" s="21">
        <f t="shared" si="650"/>
        <v>0.98999999999999988</v>
      </c>
      <c r="K960" s="21">
        <f t="shared" si="650"/>
        <v>0.98999999999999988</v>
      </c>
    </row>
    <row r="961" spans="1:11">
      <c r="A961" t="s">
        <v>5</v>
      </c>
      <c r="B961" s="5" t="str">
        <f t="shared" si="645"/>
        <v>SPS1</v>
      </c>
      <c r="C961" s="5" t="str">
        <f t="shared" si="646"/>
        <v>CH</v>
      </c>
      <c r="D961" t="s">
        <v>731</v>
      </c>
      <c r="E961" t="s">
        <v>242</v>
      </c>
      <c r="F961" s="21">
        <f t="shared" si="650"/>
        <v>0.98999999999999988</v>
      </c>
      <c r="G961" s="21">
        <f t="shared" si="650"/>
        <v>0.99</v>
      </c>
      <c r="H961" s="21">
        <f t="shared" si="650"/>
        <v>0.9900000000000001</v>
      </c>
      <c r="I961" s="21">
        <f t="shared" si="650"/>
        <v>0.98999999999999988</v>
      </c>
      <c r="J961" s="21">
        <f t="shared" si="650"/>
        <v>0.99</v>
      </c>
      <c r="K961" s="21">
        <f t="shared" si="650"/>
        <v>0.99</v>
      </c>
    </row>
    <row r="962" spans="1:11">
      <c r="A962" t="s">
        <v>5</v>
      </c>
      <c r="B962" s="5" t="str">
        <f t="shared" si="645"/>
        <v>SPS1</v>
      </c>
      <c r="C962" s="5" t="str">
        <f t="shared" si="646"/>
        <v>CH</v>
      </c>
      <c r="D962" t="s">
        <v>732</v>
      </c>
      <c r="E962" t="s">
        <v>242</v>
      </c>
      <c r="F962" s="21" t="str">
        <f t="shared" si="650"/>
        <v>-</v>
      </c>
      <c r="G962" s="21" t="str">
        <f t="shared" si="650"/>
        <v>-</v>
      </c>
      <c r="H962" s="21" t="str">
        <f t="shared" si="650"/>
        <v>-</v>
      </c>
      <c r="I962" s="21">
        <f t="shared" si="650"/>
        <v>0.9900000000000001</v>
      </c>
      <c r="J962" s="21">
        <f t="shared" si="650"/>
        <v>0.9900000000000001</v>
      </c>
      <c r="K962" s="21">
        <f t="shared" si="650"/>
        <v>0.98999999999999988</v>
      </c>
    </row>
    <row r="963" spans="1:11">
      <c r="A963" t="s">
        <v>5</v>
      </c>
      <c r="B963" s="5" t="str">
        <f t="shared" si="645"/>
        <v>SPS1</v>
      </c>
      <c r="C963" s="5" t="str">
        <f t="shared" si="646"/>
        <v>CH</v>
      </c>
      <c r="D963" t="s">
        <v>733</v>
      </c>
      <c r="E963" t="s">
        <v>242</v>
      </c>
      <c r="F963" s="21" t="str">
        <f t="shared" si="650"/>
        <v>-</v>
      </c>
      <c r="G963" s="21" t="str">
        <f t="shared" si="650"/>
        <v>-</v>
      </c>
      <c r="H963" s="21" t="str">
        <f t="shared" si="650"/>
        <v>-</v>
      </c>
      <c r="I963" s="21">
        <f t="shared" si="650"/>
        <v>0.98999999999999988</v>
      </c>
      <c r="J963" s="21">
        <f t="shared" si="650"/>
        <v>0.99</v>
      </c>
      <c r="K963" s="21">
        <f t="shared" si="650"/>
        <v>0.99</v>
      </c>
    </row>
    <row r="964" spans="1:11">
      <c r="A964" t="s">
        <v>5</v>
      </c>
      <c r="B964" s="5" t="str">
        <f t="shared" si="645"/>
        <v>SPS1</v>
      </c>
      <c r="C964" s="5" t="str">
        <f t="shared" si="646"/>
        <v>CH</v>
      </c>
      <c r="D964" t="s">
        <v>734</v>
      </c>
      <c r="E964" t="s">
        <v>242</v>
      </c>
      <c r="F964" s="21" t="str">
        <f t="shared" si="650"/>
        <v>-</v>
      </c>
      <c r="G964" s="21" t="str">
        <f t="shared" si="650"/>
        <v>-</v>
      </c>
      <c r="H964" s="21" t="str">
        <f t="shared" si="650"/>
        <v>-</v>
      </c>
      <c r="I964" s="21">
        <f t="shared" si="650"/>
        <v>0.99</v>
      </c>
      <c r="J964" s="21">
        <f t="shared" si="650"/>
        <v>0.9900000000000001</v>
      </c>
      <c r="K964" s="21">
        <f t="shared" si="650"/>
        <v>0.98999999999999988</v>
      </c>
    </row>
    <row r="965" spans="1:11">
      <c r="A965" t="s">
        <v>5</v>
      </c>
      <c r="B965" s="5" t="str">
        <f t="shared" si="645"/>
        <v>SPS1</v>
      </c>
      <c r="C965" s="5" t="str">
        <f t="shared" si="646"/>
        <v>CH</v>
      </c>
      <c r="D965" t="s">
        <v>1063</v>
      </c>
      <c r="E965" t="s">
        <v>242</v>
      </c>
      <c r="F965" s="21">
        <f t="shared" si="650"/>
        <v>0.98999999999999988</v>
      </c>
      <c r="G965" s="21">
        <f t="shared" si="650"/>
        <v>0.99</v>
      </c>
      <c r="H965" s="21">
        <f t="shared" si="650"/>
        <v>0.98999999999999977</v>
      </c>
      <c r="I965" s="21">
        <f t="shared" si="650"/>
        <v>0.98999999999999988</v>
      </c>
      <c r="J965" s="21">
        <f t="shared" si="650"/>
        <v>0.98999999765513291</v>
      </c>
      <c r="K965" s="21">
        <f t="shared" si="650"/>
        <v>0.98999999999999921</v>
      </c>
    </row>
    <row r="966" spans="1:11">
      <c r="A966" t="s">
        <v>5</v>
      </c>
      <c r="B966" s="5" t="str">
        <f t="shared" si="645"/>
        <v>SPS1</v>
      </c>
      <c r="C966" s="5" t="str">
        <f t="shared" si="646"/>
        <v>CH</v>
      </c>
      <c r="D966" t="s">
        <v>1064</v>
      </c>
      <c r="E966" t="s">
        <v>242</v>
      </c>
      <c r="F966" s="21">
        <f t="shared" ref="F966:K966" si="651">IFERROR(F944/F911,"-")</f>
        <v>0.72000000000000053</v>
      </c>
      <c r="G966" s="21">
        <f t="shared" si="651"/>
        <v>0.71999999999999986</v>
      </c>
      <c r="H966" s="21">
        <f t="shared" si="651"/>
        <v>0.71999999999999986</v>
      </c>
      <c r="I966" s="21">
        <f t="shared" si="651"/>
        <v>0.72000000000000042</v>
      </c>
      <c r="J966" s="21">
        <f t="shared" si="651"/>
        <v>0.72000000000000042</v>
      </c>
      <c r="K966" s="21">
        <f t="shared" si="651"/>
        <v>0.72</v>
      </c>
    </row>
    <row r="967" spans="1:11">
      <c r="A967" t="s">
        <v>5</v>
      </c>
      <c r="B967" s="5" t="str">
        <f t="shared" si="645"/>
        <v>SPS1</v>
      </c>
      <c r="C967" s="5" t="str">
        <f t="shared" si="646"/>
        <v>CH</v>
      </c>
      <c r="D967" t="s">
        <v>1065</v>
      </c>
      <c r="E967" t="s">
        <v>242</v>
      </c>
      <c r="F967" s="21">
        <f t="shared" ref="F967:K967" si="652">IFERROR(F946/F914,"-")</f>
        <v>0.90000000000000036</v>
      </c>
      <c r="G967" s="21">
        <f t="shared" si="652"/>
        <v>0.90000000000000047</v>
      </c>
      <c r="H967" s="21">
        <f t="shared" si="652"/>
        <v>0.90000000000000024</v>
      </c>
      <c r="I967" s="21">
        <f t="shared" si="652"/>
        <v>0.9</v>
      </c>
      <c r="J967" s="21">
        <f t="shared" si="652"/>
        <v>0.9</v>
      </c>
      <c r="K967" s="21">
        <f t="shared" si="652"/>
        <v>0.90000000000000069</v>
      </c>
    </row>
    <row r="968" spans="1:11">
      <c r="A968" t="s">
        <v>5</v>
      </c>
      <c r="B968" s="5" t="str">
        <f t="shared" si="645"/>
        <v>SPS1</v>
      </c>
      <c r="C968" s="5" t="str">
        <f t="shared" si="646"/>
        <v>CH</v>
      </c>
      <c r="D968" t="s">
        <v>1066</v>
      </c>
      <c r="E968" t="s">
        <v>242</v>
      </c>
      <c r="F968" s="21">
        <f t="shared" ref="F968:K968" si="653">IFERROR(F948/F916,"-")</f>
        <v>1</v>
      </c>
      <c r="G968" s="21">
        <f t="shared" si="653"/>
        <v>1</v>
      </c>
      <c r="H968" s="21">
        <f t="shared" si="653"/>
        <v>1</v>
      </c>
      <c r="I968" s="21">
        <f t="shared" si="653"/>
        <v>1</v>
      </c>
      <c r="J968" s="21">
        <f t="shared" si="653"/>
        <v>1</v>
      </c>
      <c r="K968" s="21">
        <f t="shared" si="653"/>
        <v>1</v>
      </c>
    </row>
    <row r="969" spans="1:11">
      <c r="A969" t="s">
        <v>5</v>
      </c>
      <c r="B969" s="5" t="str">
        <f t="shared" si="645"/>
        <v>SPS1</v>
      </c>
      <c r="C969" s="5" t="str">
        <f t="shared" si="646"/>
        <v>CH</v>
      </c>
      <c r="D969" t="s">
        <v>1067</v>
      </c>
      <c r="E969" t="s">
        <v>242</v>
      </c>
      <c r="F969" s="21" t="str">
        <f t="shared" ref="F969:K969" si="654">IFERROR(F950/F920,"-")</f>
        <v>-</v>
      </c>
      <c r="G969" s="21" t="str">
        <f t="shared" si="654"/>
        <v>-</v>
      </c>
      <c r="H969" s="21">
        <f t="shared" si="654"/>
        <v>0</v>
      </c>
      <c r="I969" s="21">
        <f t="shared" si="654"/>
        <v>0.69206152648792496</v>
      </c>
      <c r="J969" s="21">
        <f t="shared" si="654"/>
        <v>0.63204244798665965</v>
      </c>
      <c r="K969" s="21">
        <f t="shared" si="654"/>
        <v>2.5744561726648756E-3</v>
      </c>
    </row>
    <row r="970" spans="1:11">
      <c r="A970" t="s">
        <v>5</v>
      </c>
      <c r="B970" s="8" t="str">
        <f>B922</f>
        <v>SPS1</v>
      </c>
      <c r="C970" s="8" t="str">
        <f>C922</f>
        <v>CH</v>
      </c>
      <c r="D970" s="1" t="s">
        <v>769</v>
      </c>
      <c r="E970" s="8" t="s">
        <v>8</v>
      </c>
      <c r="F970" s="16">
        <f>[1]Residential!B$26</f>
        <v>217.10014631696822</v>
      </c>
      <c r="G970" s="16">
        <f>[1]Residential!C$26</f>
        <v>217.1694962713982</v>
      </c>
      <c r="H970" s="16">
        <f>[1]Residential!D$26</f>
        <v>217.55838233611289</v>
      </c>
      <c r="I970" s="16">
        <f>[1]Residential!E$26</f>
        <v>211.74865141229185</v>
      </c>
      <c r="J970" s="16">
        <f>[1]Residential!F$26</f>
        <v>190.36441428490812</v>
      </c>
      <c r="K970" s="16">
        <f>[1]Residential!G$26</f>
        <v>174.24595938651868</v>
      </c>
    </row>
    <row r="971" spans="1:11">
      <c r="A971" t="s">
        <v>5</v>
      </c>
      <c r="B971" s="5" t="str">
        <f>B970</f>
        <v>SPS1</v>
      </c>
      <c r="C971" s="5" t="str">
        <f>C970</f>
        <v>CH</v>
      </c>
      <c r="D971" t="s">
        <v>1068</v>
      </c>
      <c r="E971" t="s">
        <v>8</v>
      </c>
      <c r="F971" s="13">
        <f>[1]Residential!B$15</f>
        <v>69.470001454864018</v>
      </c>
      <c r="G971" s="13">
        <f>[1]Residential!C$15</f>
        <v>69.742983314802615</v>
      </c>
      <c r="H971" s="13">
        <f>[1]Residential!D$15</f>
        <v>68.035564738772649</v>
      </c>
      <c r="I971" s="13">
        <f>[1]Residential!E$15</f>
        <v>67.379213198843331</v>
      </c>
      <c r="J971" s="13">
        <f>[1]Residential!F$15</f>
        <v>63.619978840420551</v>
      </c>
      <c r="K971" s="13">
        <f>[1]Residential!G$15</f>
        <v>65.486271050184712</v>
      </c>
    </row>
    <row r="972" spans="1:11">
      <c r="A972" t="s">
        <v>5</v>
      </c>
      <c r="B972" s="5" t="str">
        <f>B971</f>
        <v>SPS1</v>
      </c>
      <c r="C972" s="5" t="str">
        <f>C971</f>
        <v>CH</v>
      </c>
      <c r="D972" t="s">
        <v>1069</v>
      </c>
      <c r="E972" t="s">
        <v>8</v>
      </c>
      <c r="F972" s="13">
        <f>SUM(F973:F974)</f>
        <v>15.333193026677046</v>
      </c>
      <c r="G972" s="13">
        <f t="shared" ref="G972:K972" si="655">SUM(G973:G974)</f>
        <v>14.830339193985813</v>
      </c>
      <c r="H972" s="13">
        <f t="shared" si="655"/>
        <v>14.342402581053761</v>
      </c>
      <c r="I972" s="13">
        <f t="shared" si="655"/>
        <v>13.058698129492988</v>
      </c>
      <c r="J972" s="13">
        <f t="shared" si="655"/>
        <v>11.910127535785509</v>
      </c>
      <c r="K972" s="13">
        <f t="shared" si="655"/>
        <v>15.81752971523543</v>
      </c>
    </row>
    <row r="973" spans="1:11">
      <c r="A973" t="s">
        <v>5</v>
      </c>
      <c r="B973" s="5" t="str">
        <f>B972</f>
        <v>SPS1</v>
      </c>
      <c r="C973" s="5" t="str">
        <f t="shared" ref="C973" si="656">C972</f>
        <v>CH</v>
      </c>
      <c r="D973" t="s">
        <v>793</v>
      </c>
      <c r="E973" t="s">
        <v>8</v>
      </c>
      <c r="F973" s="13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9.3768410575173498</v>
      </c>
      <c r="G973" s="13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8.0457780901758369</v>
      </c>
      <c r="H973" s="13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7.2115188851297489</v>
      </c>
      <c r="I973" s="13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5.2954425528907283</v>
      </c>
      <c r="J973" s="13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2.237357134874066</v>
      </c>
      <c r="K973" s="13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0.72490336357759955</v>
      </c>
    </row>
    <row r="974" spans="1:11">
      <c r="A974" t="s">
        <v>5</v>
      </c>
      <c r="B974" s="5" t="str">
        <f t="shared" ref="B974:B978" si="657">B973</f>
        <v>SPS1</v>
      </c>
      <c r="C974" s="5" t="str">
        <f t="shared" ref="C974:C978" si="658">C973</f>
        <v>CH</v>
      </c>
      <c r="D974" t="s">
        <v>761</v>
      </c>
      <c r="E974" t="s">
        <v>8</v>
      </c>
      <c r="F974" s="13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5.9563519691596962</v>
      </c>
      <c r="G974" s="13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6.7845611038099758</v>
      </c>
      <c r="H974" s="13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7.1308836959240125</v>
      </c>
      <c r="I974" s="13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7.7632555766022602</v>
      </c>
      <c r="J974" s="13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9.6727704009114444</v>
      </c>
      <c r="K974" s="13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15.092626351657831</v>
      </c>
    </row>
    <row r="975" spans="1:11">
      <c r="A975" t="s">
        <v>5</v>
      </c>
      <c r="B975" s="5" t="str">
        <f t="shared" si="657"/>
        <v>SPS1</v>
      </c>
      <c r="C975" s="5" t="str">
        <f t="shared" si="658"/>
        <v>CH</v>
      </c>
      <c r="D975" t="s">
        <v>1070</v>
      </c>
      <c r="E975" t="s">
        <v>8</v>
      </c>
      <c r="F975" s="13">
        <f>SUM(F976:F977)</f>
        <v>9.5599028022955128</v>
      </c>
      <c r="G975" s="13">
        <f t="shared" ref="G975:K975" si="659">SUM(G976:G977)</f>
        <v>10.085305933624284</v>
      </c>
      <c r="H975" s="13">
        <f t="shared" si="659"/>
        <v>9.0596714939181595</v>
      </c>
      <c r="I975" s="13">
        <f t="shared" si="659"/>
        <v>9.4822426469698442</v>
      </c>
      <c r="J975" s="13">
        <f t="shared" si="659"/>
        <v>7.3843226269482134</v>
      </c>
      <c r="K975" s="13">
        <f t="shared" si="659"/>
        <v>6.4875681894382753</v>
      </c>
    </row>
    <row r="976" spans="1:11">
      <c r="A976" t="s">
        <v>5</v>
      </c>
      <c r="B976" s="5" t="str">
        <f t="shared" si="657"/>
        <v>SPS1</v>
      </c>
      <c r="C976" s="5" t="str">
        <f t="shared" si="658"/>
        <v>CH</v>
      </c>
      <c r="D976" t="s">
        <v>794</v>
      </c>
      <c r="E976" t="s">
        <v>8</v>
      </c>
      <c r="F976" s="13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8.4110057481684812</v>
      </c>
      <c r="G976" s="13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8.7988742080285451</v>
      </c>
      <c r="H976" s="13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7.3767376445589559</v>
      </c>
      <c r="I976" s="13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4.8058083036883836</v>
      </c>
      <c r="J976" s="13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2.0054165438068345</v>
      </c>
      <c r="K976" s="13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0.64183146318128503</v>
      </c>
    </row>
    <row r="977" spans="1:11">
      <c r="A977" t="s">
        <v>5</v>
      </c>
      <c r="B977" s="5" t="str">
        <f t="shared" si="657"/>
        <v>SPS1</v>
      </c>
      <c r="C977" s="5" t="str">
        <f t="shared" si="658"/>
        <v>CH</v>
      </c>
      <c r="D977" t="s">
        <v>762</v>
      </c>
      <c r="E977" t="s">
        <v>8</v>
      </c>
      <c r="F977" s="13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1.1488970541270322</v>
      </c>
      <c r="G977" s="13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1.2864317255957392</v>
      </c>
      <c r="H977" s="13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1.6829338493592032</v>
      </c>
      <c r="I977" s="13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4.6764343432814597</v>
      </c>
      <c r="J977" s="13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5.3789060831413789</v>
      </c>
      <c r="K977" s="13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5.8457367262569901</v>
      </c>
    </row>
    <row r="978" spans="1:11">
      <c r="A978" t="s">
        <v>5</v>
      </c>
      <c r="B978" s="5" t="str">
        <f t="shared" si="657"/>
        <v>SPS1</v>
      </c>
      <c r="C978" s="5" t="str">
        <f t="shared" si="658"/>
        <v>CH</v>
      </c>
      <c r="D978" t="s">
        <v>1071</v>
      </c>
      <c r="E978" t="s">
        <v>8</v>
      </c>
      <c r="F978" s="13">
        <f>[1]Residential!B$3-([1]Residential!B$10-[1]Residential!B$244)</f>
        <v>44.57690562589147</v>
      </c>
      <c r="G978" s="13">
        <f>[1]Residential!C$3-([1]Residential!C$10-[1]Residential!C$244)</f>
        <v>44.827338187192517</v>
      </c>
      <c r="H978" s="13">
        <f>[1]Residential!D$3-([1]Residential!D$10-[1]Residential!D$244)</f>
        <v>44.633490663800735</v>
      </c>
      <c r="I978" s="13">
        <f>[1]Residential!E$3-([1]Residential!E$10-[1]Residential!E$244)</f>
        <v>44.838272422380498</v>
      </c>
      <c r="J978" s="13">
        <f>[1]Residential!F$3-([1]Residential!F$10-[1]Residential!F$244)</f>
        <v>44.325528677686826</v>
      </c>
      <c r="K978" s="13">
        <f>[1]Residential!G$3-([1]Residential!G$10-[1]Residential!G$244)</f>
        <v>43.181173145511003</v>
      </c>
    </row>
    <row r="979" spans="1:11">
      <c r="A979" t="s">
        <v>5</v>
      </c>
      <c r="B979" s="5" t="str">
        <f>B978</f>
        <v>SPS1</v>
      </c>
      <c r="C979" s="5" t="str">
        <f>C978</f>
        <v>CH</v>
      </c>
      <c r="D979" t="s">
        <v>681</v>
      </c>
      <c r="E979" t="s">
        <v>8</v>
      </c>
      <c r="F979" s="13">
        <f>SUM([1]Residential!B$16:B$17)</f>
        <v>60.231815226718872</v>
      </c>
      <c r="G979" s="13">
        <f>SUM([1]Residential!C$16:C$17)</f>
        <v>55.062495760399962</v>
      </c>
      <c r="H979" s="13">
        <f>SUM([1]Residential!D$16:D$17)</f>
        <v>52.912498910722292</v>
      </c>
      <c r="I979" s="13">
        <f>SUM([1]Residential!E$16:E$17)</f>
        <v>38.517249632928511</v>
      </c>
      <c r="J979" s="13">
        <f>SUM([1]Residential!F$16:F$17)</f>
        <v>20.089187594749305</v>
      </c>
      <c r="K979" s="13">
        <f>SUM([1]Residential!G$16:G$17)</f>
        <v>0.21592618016495974</v>
      </c>
    </row>
    <row r="980" spans="1:11">
      <c r="A980" t="s">
        <v>5</v>
      </c>
      <c r="B980" s="5" t="str">
        <f t="shared" ref="B980:B991" si="660">B979</f>
        <v>SPS1</v>
      </c>
      <c r="C980" s="5" t="str">
        <f t="shared" ref="C980:C991" si="661">C979</f>
        <v>CH</v>
      </c>
      <c r="D980" t="s">
        <v>1072</v>
      </c>
      <c r="E980" t="s">
        <v>8</v>
      </c>
      <c r="F980" s="13">
        <f>[1]Residential!B$16</f>
        <v>60.231815226718872</v>
      </c>
      <c r="G980" s="13">
        <f>[1]Residential!C$16</f>
        <v>55.062495760399962</v>
      </c>
      <c r="H980" s="13">
        <f>[1]Residential!D$16</f>
        <v>52.912494842480925</v>
      </c>
      <c r="I980" s="13">
        <f>[1]Residential!E$16</f>
        <v>38.517238277134808</v>
      </c>
      <c r="J980" s="13">
        <f>[1]Residential!F$16</f>
        <v>20.089178481547208</v>
      </c>
      <c r="K980" s="13">
        <f>[1]Residential!G$16</f>
        <v>4.7278242637301083E-5</v>
      </c>
    </row>
    <row r="981" spans="1:11">
      <c r="A981" t="s">
        <v>5</v>
      </c>
      <c r="B981" s="5" t="str">
        <f t="shared" si="660"/>
        <v>SPS1</v>
      </c>
      <c r="C981" s="5" t="str">
        <f t="shared" si="661"/>
        <v>CH</v>
      </c>
      <c r="D981" t="s">
        <v>1073</v>
      </c>
      <c r="E981" t="s">
        <v>8</v>
      </c>
      <c r="F981" s="13">
        <f>[1]Residential!B$17</f>
        <v>0</v>
      </c>
      <c r="G981" s="13">
        <f>[1]Residential!C$17</f>
        <v>0</v>
      </c>
      <c r="H981" s="13">
        <f>[1]Residential!D$17</f>
        <v>4.0682413641817487E-6</v>
      </c>
      <c r="I981" s="13">
        <f>[1]Residential!E$17</f>
        <v>1.1355793702117521E-5</v>
      </c>
      <c r="J981" s="13">
        <f>[1]Residential!F$17</f>
        <v>9.1132020969846964E-6</v>
      </c>
      <c r="K981" s="13">
        <f>[1]Residential!G$17</f>
        <v>0.21587890192232242</v>
      </c>
    </row>
    <row r="982" spans="1:11">
      <c r="A982" t="s">
        <v>5</v>
      </c>
      <c r="B982" s="5" t="str">
        <f t="shared" si="660"/>
        <v>SPS1</v>
      </c>
      <c r="C982" s="5" t="str">
        <f t="shared" si="661"/>
        <v>CH</v>
      </c>
      <c r="D982" t="s">
        <v>1074</v>
      </c>
      <c r="E982" t="s">
        <v>8</v>
      </c>
      <c r="F982" s="13">
        <f>SUM(F984,F986)</f>
        <v>50.371407419226301</v>
      </c>
      <c r="G982" s="13">
        <f t="shared" ref="G982:K982" si="662">SUM(G984,G986)</f>
        <v>46.109252809180347</v>
      </c>
      <c r="H982" s="13">
        <f t="shared" si="662"/>
        <v>45.513928555290207</v>
      </c>
      <c r="I982" s="13">
        <f t="shared" si="662"/>
        <v>38.517217090771467</v>
      </c>
      <c r="J982" s="13">
        <f t="shared" si="662"/>
        <v>20.089178216245564</v>
      </c>
      <c r="K982" s="13">
        <f t="shared" si="662"/>
        <v>0.21592393077026237</v>
      </c>
    </row>
    <row r="983" spans="1:11">
      <c r="A983" t="s">
        <v>5</v>
      </c>
      <c r="B983" s="5" t="str">
        <f t="shared" si="660"/>
        <v>SPS1</v>
      </c>
      <c r="C983" s="5" t="str">
        <f t="shared" si="661"/>
        <v>CH</v>
      </c>
      <c r="D983" t="s">
        <v>735</v>
      </c>
      <c r="E983" t="s">
        <v>8</v>
      </c>
      <c r="F983" s="13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50.371407419226301</v>
      </c>
      <c r="G983" s="13" cm="1">
        <f t="array" ref="G983">SUMPRODUCT(([1]OUT_FinalEnergyCons!$B$4:$B$10000="Var_Fin")*1, ([1]OUT_FinalEnergyCons!$C$4:$C$10000="RLFO")*1,(ISNUMBER(SEARCH("RH*-SHLFOBR",[1]OUT_FinalEnergyCons!$A$4:$A$10000)))*1,[1]OUT_FinalEnergyCons!E$4:E$10000)</f>
        <v>46.109252809180347</v>
      </c>
      <c r="H983" s="13" cm="1">
        <f t="array" ref="H983">SUMPRODUCT(([1]OUT_FinalEnergyCons!$B$4:$B$10000="Var_Fin")*1, ([1]OUT_FinalEnergyCons!$C$4:$C$10000="RLFO")*1,(ISNUMBER(SEARCH("RH*-SHLFOBR",[1]OUT_FinalEnergyCons!$A$4:$A$10000)))*1,[1]OUT_FinalEnergyCons!F$4:F$10000)</f>
        <v>45.513928555290207</v>
      </c>
      <c r="I983" s="13" cm="1">
        <f t="array" ref="I983">SUMPRODUCT(([1]OUT_FinalEnergyCons!$B$4:$B$10000="Var_Fin")*1, ([1]OUT_FinalEnergyCons!$C$4:$C$10000="RLFO")*1,(ISNUMBER(SEARCH("RH*-SHLFOBR",[1]OUT_FinalEnergyCons!$A$4:$A$10000)))*1,[1]OUT_FinalEnergyCons!G$4:G$10000)</f>
        <v>38.517217090771467</v>
      </c>
      <c r="J983" s="13" cm="1">
        <f t="array" ref="J983">SUMPRODUCT(([1]OUT_FinalEnergyCons!$B$4:$B$10000="Var_Fin")*1, ([1]OUT_FinalEnergyCons!$C$4:$C$10000="RLFO")*1,(ISNUMBER(SEARCH("RH*-SHLFOBR",[1]OUT_FinalEnergyCons!$A$4:$A$10000)))*1,[1]OUT_FinalEnergyCons!H$4:H$10000)</f>
        <v>20.089178216245564</v>
      </c>
      <c r="K983" s="13" cm="1">
        <f t="array" ref="K983">SUMPRODUCT(([1]OUT_FinalEnergyCons!$B$4:$B$10000="Var_Fin")*1, ([1]OUT_FinalEnergyCons!$C$4:$C$10000="RLFO")*1,(ISNUMBER(SEARCH("RH*-SHLFOBR",[1]OUT_FinalEnergyCons!$A$4:$A$10000)))*1,[1]OUT_FinalEnergyCons!I$4:I$10000)</f>
        <v>0.21592393077026237</v>
      </c>
    </row>
    <row r="984" spans="1:11">
      <c r="A984" t="s">
        <v>5</v>
      </c>
      <c r="B984" s="5" t="str">
        <f t="shared" si="660"/>
        <v>SPS1</v>
      </c>
      <c r="C984" s="5" t="str">
        <f t="shared" si="661"/>
        <v>CH</v>
      </c>
      <c r="D984" t="s">
        <v>1075</v>
      </c>
      <c r="E984" t="s">
        <v>8</v>
      </c>
      <c r="F984" s="13">
        <f>F985</f>
        <v>50.371407419226301</v>
      </c>
      <c r="G984" s="13">
        <f t="shared" ref="G984:K984" si="663">G985</f>
        <v>46.109252809180347</v>
      </c>
      <c r="H984" s="13">
        <f t="shared" si="663"/>
        <v>45.513925055896856</v>
      </c>
      <c r="I984" s="13">
        <f t="shared" si="663"/>
        <v>38.517205734987357</v>
      </c>
      <c r="J984" s="13">
        <f t="shared" si="663"/>
        <v>20.08916910304772</v>
      </c>
      <c r="K984" s="13">
        <f t="shared" si="663"/>
        <v>4.7277750119773996E-5</v>
      </c>
    </row>
    <row r="985" spans="1:11">
      <c r="A985" t="s">
        <v>5</v>
      </c>
      <c r="B985" s="5" t="str">
        <f t="shared" si="660"/>
        <v>SPS1</v>
      </c>
      <c r="C985" s="5" t="str">
        <f t="shared" si="661"/>
        <v>CH</v>
      </c>
      <c r="D985" t="s">
        <v>736</v>
      </c>
      <c r="E985" t="s">
        <v>8</v>
      </c>
      <c r="F985" s="13">
        <f>F983*IFERROR(F980/F979,0)</f>
        <v>50.371407419226301</v>
      </c>
      <c r="G985" s="13">
        <f t="shared" ref="G985:K985" si="664">G983*IFERROR(G980/G979,0)</f>
        <v>46.109252809180347</v>
      </c>
      <c r="H985" s="13">
        <f t="shared" si="664"/>
        <v>45.513925055896856</v>
      </c>
      <c r="I985" s="13">
        <f t="shared" si="664"/>
        <v>38.517205734987357</v>
      </c>
      <c r="J985" s="13">
        <f t="shared" si="664"/>
        <v>20.08916910304772</v>
      </c>
      <c r="K985" s="13">
        <f t="shared" si="664"/>
        <v>4.7277750119773996E-5</v>
      </c>
    </row>
    <row r="986" spans="1:11">
      <c r="A986" t="s">
        <v>5</v>
      </c>
      <c r="B986" s="5" t="str">
        <f t="shared" si="660"/>
        <v>SPS1</v>
      </c>
      <c r="C986" s="5" t="str">
        <f t="shared" si="661"/>
        <v>CH</v>
      </c>
      <c r="D986" t="s">
        <v>1076</v>
      </c>
      <c r="E986" t="s">
        <v>8</v>
      </c>
      <c r="F986" s="13">
        <f>F987</f>
        <v>0</v>
      </c>
      <c r="G986" s="13">
        <f t="shared" ref="G986:K986" si="665">G987</f>
        <v>0</v>
      </c>
      <c r="H986" s="13">
        <f t="shared" si="665"/>
        <v>3.4993933510918396E-6</v>
      </c>
      <c r="I986" s="13">
        <f t="shared" si="665"/>
        <v>1.1355784110378409E-5</v>
      </c>
      <c r="J986" s="13">
        <f t="shared" si="665"/>
        <v>9.1131978443570461E-6</v>
      </c>
      <c r="K986" s="13">
        <f t="shared" si="665"/>
        <v>0.21587665302014258</v>
      </c>
    </row>
    <row r="987" spans="1:11">
      <c r="A987" t="s">
        <v>5</v>
      </c>
      <c r="B987" s="5" t="str">
        <f t="shared" si="660"/>
        <v>SPS1</v>
      </c>
      <c r="C987" s="5" t="str">
        <f t="shared" si="661"/>
        <v>CH</v>
      </c>
      <c r="D987" t="s">
        <v>737</v>
      </c>
      <c r="E987" t="s">
        <v>8</v>
      </c>
      <c r="F987" s="13">
        <f>F983-F985</f>
        <v>0</v>
      </c>
      <c r="G987" s="13">
        <f t="shared" ref="G987:K987" si="666">G983-G985</f>
        <v>0</v>
      </c>
      <c r="H987" s="13">
        <f t="shared" si="666"/>
        <v>3.4993933510918396E-6</v>
      </c>
      <c r="I987" s="13">
        <f t="shared" si="666"/>
        <v>1.1355784110378409E-5</v>
      </c>
      <c r="J987" s="13">
        <f t="shared" si="666"/>
        <v>9.1131978443570461E-6</v>
      </c>
      <c r="K987" s="13">
        <f t="shared" si="666"/>
        <v>0.21587665302014258</v>
      </c>
    </row>
    <row r="988" spans="1:11">
      <c r="A988" t="s">
        <v>5</v>
      </c>
      <c r="B988" s="5" t="str">
        <f t="shared" si="660"/>
        <v>SPS1</v>
      </c>
      <c r="C988" s="5" t="str">
        <f t="shared" si="661"/>
        <v>CH</v>
      </c>
      <c r="D988" t="s">
        <v>1077</v>
      </c>
      <c r="E988" t="s">
        <v>8</v>
      </c>
      <c r="F988" s="13">
        <f>F989</f>
        <v>9.8604078074925727</v>
      </c>
      <c r="G988" s="13">
        <f t="shared" ref="G988:K988" si="667">G989</f>
        <v>8.953242951219611</v>
      </c>
      <c r="H988" s="13">
        <f t="shared" si="667"/>
        <v>7.3985703554320885</v>
      </c>
      <c r="I988" s="13">
        <f t="shared" si="667"/>
        <v>3.2542157036957671E-5</v>
      </c>
      <c r="J988" s="13">
        <f t="shared" si="667"/>
        <v>9.3785037425991313E-6</v>
      </c>
      <c r="K988" s="13">
        <f t="shared" si="667"/>
        <v>2.2493946973708659E-6</v>
      </c>
    </row>
    <row r="989" spans="1:11">
      <c r="A989" t="s">
        <v>5</v>
      </c>
      <c r="B989" s="5" t="str">
        <f t="shared" si="660"/>
        <v>SPS1</v>
      </c>
      <c r="C989" s="5" t="str">
        <f t="shared" si="661"/>
        <v>CH</v>
      </c>
      <c r="D989" t="s">
        <v>738</v>
      </c>
      <c r="E989" t="s">
        <v>8</v>
      </c>
      <c r="F989" s="13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9.8604078074925727</v>
      </c>
      <c r="G989" s="13" cm="1">
        <f t="array" ref="G989">SUMPRODUCT(([1]OUT_FinalEnergyCons!$B$4:$B$10000="Var_Fin")*1, ([1]OUT_FinalEnergyCons!$C$4:$C$10000="RLFO")*1,(ISNUMBER(SEARCH("RH*-wHLFOBR",[1]OUT_FinalEnergyCons!$A$4:$A$10000)))*1,[1]OUT_FinalEnergyCons!E$4:E$10000)</f>
        <v>8.953242951219611</v>
      </c>
      <c r="H989" s="13" cm="1">
        <f t="array" ref="H989">SUMPRODUCT(([1]OUT_FinalEnergyCons!$B$4:$B$10000="Var_Fin")*1, ([1]OUT_FinalEnergyCons!$C$4:$C$10000="RLFO")*1,(ISNUMBER(SEARCH("RH*-wHLFOBR",[1]OUT_FinalEnergyCons!$A$4:$A$10000)))*1,[1]OUT_FinalEnergyCons!F$4:F$10000)</f>
        <v>7.3985703554320885</v>
      </c>
      <c r="I989" s="13" cm="1">
        <f t="array" ref="I989">SUMPRODUCT(([1]OUT_FinalEnergyCons!$B$4:$B$10000="Var_Fin")*1, ([1]OUT_FinalEnergyCons!$C$4:$C$10000="RLFO")*1,(ISNUMBER(SEARCH("RH*-wHLFOBR",[1]OUT_FinalEnergyCons!$A$4:$A$10000)))*1,[1]OUT_FinalEnergyCons!G$4:G$10000)</f>
        <v>3.2542157036957671E-5</v>
      </c>
      <c r="J989" s="13" cm="1">
        <f t="array" ref="J989">SUMPRODUCT(([1]OUT_FinalEnergyCons!$B$4:$B$10000="Var_Fin")*1, ([1]OUT_FinalEnergyCons!$C$4:$C$10000="RLFO")*1,(ISNUMBER(SEARCH("RH*-wHLFOBR",[1]OUT_FinalEnergyCons!$A$4:$A$10000)))*1,[1]OUT_FinalEnergyCons!H$4:H$10000)</f>
        <v>9.3785037425991313E-6</v>
      </c>
      <c r="K989" s="13" cm="1">
        <f t="array" ref="K989">SUMPRODUCT(([1]OUT_FinalEnergyCons!$B$4:$B$10000="Var_Fin")*1, ([1]OUT_FinalEnergyCons!$C$4:$C$10000="RLFO")*1,(ISNUMBER(SEARCH("RH*-wHLFOBR",[1]OUT_FinalEnergyCons!$A$4:$A$10000)))*1,[1]OUT_FinalEnergyCons!I$4:I$10000)</f>
        <v>2.2493946973708659E-6</v>
      </c>
    </row>
    <row r="990" spans="1:11">
      <c r="A990" t="s">
        <v>5</v>
      </c>
      <c r="B990" s="5" t="str">
        <f t="shared" si="660"/>
        <v>SPS1</v>
      </c>
      <c r="C990" s="5" t="str">
        <f t="shared" si="661"/>
        <v>CH</v>
      </c>
      <c r="D990" t="s">
        <v>739</v>
      </c>
      <c r="E990" t="s">
        <v>8</v>
      </c>
      <c r="F990" s="13">
        <f>IFERROR(F980/F979,0)*F989</f>
        <v>9.8604078074925727</v>
      </c>
      <c r="G990" s="13">
        <f t="shared" ref="G990:K990" si="668">IFERROR(G980/G979,0)*G989</f>
        <v>8.953242951219611</v>
      </c>
      <c r="H990" s="13">
        <f t="shared" si="668"/>
        <v>7.3985697865840736</v>
      </c>
      <c r="I990" s="13">
        <f t="shared" si="668"/>
        <v>3.2542147442762204E-5</v>
      </c>
      <c r="J990" s="13">
        <f t="shared" si="668"/>
        <v>9.3784994881612868E-6</v>
      </c>
      <c r="K990" s="13">
        <f t="shared" si="668"/>
        <v>4.9251752709241965E-10</v>
      </c>
    </row>
    <row r="991" spans="1:11">
      <c r="A991" t="s">
        <v>5</v>
      </c>
      <c r="B991" s="5" t="str">
        <f t="shared" si="660"/>
        <v>SPS1</v>
      </c>
      <c r="C991" s="5" t="str">
        <f t="shared" si="661"/>
        <v>CH</v>
      </c>
      <c r="D991" t="s">
        <v>740</v>
      </c>
      <c r="E991" t="s">
        <v>8</v>
      </c>
      <c r="F991" s="13">
        <f>F989-F990</f>
        <v>0</v>
      </c>
      <c r="G991" s="13">
        <f t="shared" ref="G991:K991" si="669">G989-G990</f>
        <v>0</v>
      </c>
      <c r="H991" s="13">
        <f t="shared" si="669"/>
        <v>5.6884801491463577E-7</v>
      </c>
      <c r="I991" s="13">
        <f t="shared" si="669"/>
        <v>9.5941954671142048E-12</v>
      </c>
      <c r="J991" s="13">
        <f t="shared" si="669"/>
        <v>4.2544378444324535E-12</v>
      </c>
      <c r="K991" s="13">
        <f t="shared" si="669"/>
        <v>2.2489021798437733E-6</v>
      </c>
    </row>
    <row r="992" spans="1:11">
      <c r="A992" t="s">
        <v>5</v>
      </c>
      <c r="B992" s="5" t="str">
        <f>B991</f>
        <v>SPS1</v>
      </c>
      <c r="C992" s="5" t="str">
        <f>C991</f>
        <v>CH</v>
      </c>
      <c r="D992" t="s">
        <v>682</v>
      </c>
      <c r="E992" t="s">
        <v>8</v>
      </c>
      <c r="F992" s="13">
        <f>SUM(F993:F994)</f>
        <v>47.001911784523394</v>
      </c>
      <c r="G992" s="13">
        <f t="shared" ref="G992:K992" si="670">SUM(G993:G994)</f>
        <v>44.522662351035386</v>
      </c>
      <c r="H992" s="13">
        <f t="shared" si="670"/>
        <v>48.736541473729844</v>
      </c>
      <c r="I992" s="13">
        <f t="shared" si="670"/>
        <v>48.66958425262051</v>
      </c>
      <c r="J992" s="13">
        <f t="shared" si="670"/>
        <v>39.015199488366832</v>
      </c>
      <c r="K992" s="13">
        <f t="shared" si="670"/>
        <v>25.412592969913952</v>
      </c>
    </row>
    <row r="993" spans="1:13">
      <c r="A993" t="s">
        <v>5</v>
      </c>
      <c r="B993" s="5" t="str">
        <f t="shared" ref="B993:B1053" si="671">B992</f>
        <v>SPS1</v>
      </c>
      <c r="C993" s="5" t="str">
        <f t="shared" ref="C993:C1053" si="672">C992</f>
        <v>CH</v>
      </c>
      <c r="D993" t="s">
        <v>1078</v>
      </c>
      <c r="E993" t="s">
        <v>8</v>
      </c>
      <c r="F993" s="13">
        <f>[1]Residential!B$18</f>
        <v>46.685646232541217</v>
      </c>
      <c r="G993" s="13">
        <f>[1]Residential!C$18</f>
        <v>44.339354904078036</v>
      </c>
      <c r="H993" s="13">
        <f>[1]Residential!D$18</f>
        <v>48.553239483465454</v>
      </c>
      <c r="I993" s="13">
        <f>[1]Residential!E$18</f>
        <v>48.489325475502383</v>
      </c>
      <c r="J993" s="13">
        <f>[1]Residential!F$18</f>
        <v>38.837661476800037</v>
      </c>
      <c r="K993" s="13">
        <f>[1]Residential!G$18</f>
        <v>25.237937622037752</v>
      </c>
    </row>
    <row r="994" spans="1:13">
      <c r="A994" t="s">
        <v>5</v>
      </c>
      <c r="B994" s="5" t="str">
        <f t="shared" si="671"/>
        <v>SPS1</v>
      </c>
      <c r="C994" s="5" t="str">
        <f t="shared" si="672"/>
        <v>CH</v>
      </c>
      <c r="D994" t="s">
        <v>1079</v>
      </c>
      <c r="E994" t="s">
        <v>8</v>
      </c>
      <c r="F994" s="13">
        <f>[1]Residential!B$19</f>
        <v>0.31626555198217343</v>
      </c>
      <c r="G994" s="13">
        <f>[1]Residential!C$19</f>
        <v>0.18330744695734741</v>
      </c>
      <c r="H994" s="13">
        <f>[1]Residential!D$19</f>
        <v>0.18330199026439084</v>
      </c>
      <c r="I994" s="13">
        <f>[1]Residential!E$19</f>
        <v>0.18025877711812627</v>
      </c>
      <c r="J994" s="13">
        <f>[1]Residential!F$19</f>
        <v>0.17753801156679391</v>
      </c>
      <c r="K994" s="13">
        <f>[1]Residential!G$19</f>
        <v>0.1746553478762001</v>
      </c>
    </row>
    <row r="995" spans="1:13">
      <c r="A995" t="s">
        <v>5</v>
      </c>
      <c r="B995" s="5" t="str">
        <f t="shared" si="671"/>
        <v>SPS1</v>
      </c>
      <c r="C995" s="5" t="str">
        <f t="shared" si="672"/>
        <v>CH</v>
      </c>
      <c r="D995" t="s">
        <v>1080</v>
      </c>
      <c r="E995" t="s">
        <v>8</v>
      </c>
      <c r="F995" s="13">
        <f>SUM(F996:F997)</f>
        <v>38.494646908421146</v>
      </c>
      <c r="G995" s="13">
        <f t="shared" ref="G995:K995" si="673">SUM(G996:G997)</f>
        <v>38.023120602547131</v>
      </c>
      <c r="H995" s="13">
        <f t="shared" si="673"/>
        <v>40.342336735976964</v>
      </c>
      <c r="I995" s="13">
        <f t="shared" si="673"/>
        <v>42.034528611221432</v>
      </c>
      <c r="J995" s="13">
        <f t="shared" si="673"/>
        <v>33.808146246243979</v>
      </c>
      <c r="K995" s="13">
        <f t="shared" si="673"/>
        <v>22.448427360274525</v>
      </c>
    </row>
    <row r="996" spans="1:13">
      <c r="A996" t="s">
        <v>5</v>
      </c>
      <c r="B996" s="5" t="str">
        <f t="shared" si="671"/>
        <v>SPS1</v>
      </c>
      <c r="C996" s="5" t="str">
        <f t="shared" si="672"/>
        <v>CH</v>
      </c>
      <c r="D996" t="s">
        <v>741</v>
      </c>
      <c r="E996" t="s">
        <v>8</v>
      </c>
      <c r="F996" s="13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38.494646908421146</v>
      </c>
      <c r="G996" s="13" cm="1">
        <f t="array" ref="G996">SUMPRODUCT(([1]OUT_FinalEnergyCons!$B$4:$B$10000="Var_Fin")*1,([1]OUT_FinalEnergyCons!$C$4:$C$10000="RNGA")*1, (ISNUMBER(SEARCH("RH*-SHNGABR",[1]OUT_FinalEnergyCons!$A$4:$A$10000)))*1,[1]OUT_FinalEnergyCons!E$4:E$10000)</f>
        <v>38.023120602547131</v>
      </c>
      <c r="H996" s="13" cm="1">
        <f t="array" ref="H996">SUMPRODUCT(([1]OUT_FinalEnergyCons!$B$4:$B$10000="Var_Fin")*1,([1]OUT_FinalEnergyCons!$C$4:$C$10000="RNGA")*1, (ISNUMBER(SEARCH("RH*-SHNGABR",[1]OUT_FinalEnergyCons!$A$4:$A$10000)))*1,[1]OUT_FinalEnergyCons!F$4:F$10000)</f>
        <v>40.341589576242406</v>
      </c>
      <c r="I996" s="13" cm="1">
        <f t="array" ref="I996">SUMPRODUCT(([1]OUT_FinalEnergyCons!$B$4:$B$10000="Var_Fin")*1,([1]OUT_FinalEnergyCons!$C$4:$C$10000="RNGA")*1, (ISNUMBER(SEARCH("RH*-SHNGABR",[1]OUT_FinalEnergyCons!$A$4:$A$10000)))*1,[1]OUT_FinalEnergyCons!G$4:G$10000)</f>
        <v>42.033652436143122</v>
      </c>
      <c r="J996" s="13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33.746997794237515</v>
      </c>
      <c r="K996" s="13" cm="1">
        <f t="array" ref="K996">SUMPRODUCT(([1]OUT_FinalEnergyCons!$B$4:$B$10000="Var_Fin")*1,([1]OUT_FinalEnergyCons!$C$4:$C$10000="RNGA")*1, (ISNUMBER(SEARCH("RH*-SHNGABR",[1]OUT_FinalEnergyCons!$A$4:$A$10000)))*1,[1]OUT_FinalEnergyCons!I$4:I$10000)</f>
        <v>22.386447708511586</v>
      </c>
    </row>
    <row r="997" spans="1:13">
      <c r="A997" t="s">
        <v>5</v>
      </c>
      <c r="B997" s="5" t="str">
        <f t="shared" si="671"/>
        <v>SPS1</v>
      </c>
      <c r="C997" s="5" t="str">
        <f t="shared" si="672"/>
        <v>CH</v>
      </c>
      <c r="D997" t="s">
        <v>742</v>
      </c>
      <c r="E997" t="s">
        <v>8</v>
      </c>
      <c r="F997" s="13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3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3" cm="1">
        <f t="array" ref="H997">SUMPRODUCT(([1]OUT_FinalEnergyCons!$B$4:$B$10000="Var_Fin")*1, ([1]OUT_FinalEnergyCons!$C$4:$C$10000="RNGA")*1,ISNUMBER(SEARCH("RH*-SHngahp",[1]OUT_FinalEnergyCons!$A$4:$A$10000))*1,[1]OUT_FinalEnergyCons!F$4:F$10000)</f>
        <v>7.471597345612771E-4</v>
      </c>
      <c r="I997" s="13" cm="1">
        <f t="array" ref="I997">SUMPRODUCT(([1]OUT_FinalEnergyCons!$B$4:$B$10000="Var_Fin")*1, ([1]OUT_FinalEnergyCons!$C$4:$C$10000="RNGA")*1,ISNUMBER(SEARCH("RH*-SHngahp",[1]OUT_FinalEnergyCons!$A$4:$A$10000))*1,[1]OUT_FinalEnergyCons!G$4:G$10000)</f>
        <v>8.7617507831168698E-4</v>
      </c>
      <c r="J997" s="13" cm="1">
        <f t="array" ref="J997">SUMPRODUCT(([1]OUT_FinalEnergyCons!$B$4:$B$10000="Var_Fin")*1, ([1]OUT_FinalEnergyCons!$C$4:$C$10000="RNGA")*1,ISNUMBER(SEARCH("RH*-SHngahp",[1]OUT_FinalEnergyCons!$A$4:$A$10000))*1,[1]OUT_FinalEnergyCons!H$4:H$10000)</f>
        <v>6.1148452006465133E-2</v>
      </c>
      <c r="K997" s="13" cm="1">
        <f t="array" ref="K997">SUMPRODUCT(([1]OUT_FinalEnergyCons!$B$4:$B$10000="Var_Fin")*1, ([1]OUT_FinalEnergyCons!$C$4:$C$10000="RNGA")*1,ISNUMBER(SEARCH("RH*-SHngahp",[1]OUT_FinalEnergyCons!$A$4:$A$10000))*1,[1]OUT_FinalEnergyCons!I$4:I$10000)</f>
        <v>6.1979651762940208E-2</v>
      </c>
    </row>
    <row r="998" spans="1:13">
      <c r="A998" t="s">
        <v>5</v>
      </c>
      <c r="B998" s="5" t="str">
        <f t="shared" si="671"/>
        <v>SPS1</v>
      </c>
      <c r="C998" s="5" t="str">
        <f t="shared" si="672"/>
        <v>CH</v>
      </c>
      <c r="D998" t="s">
        <v>1081</v>
      </c>
      <c r="E998" t="s">
        <v>8</v>
      </c>
      <c r="F998" s="13">
        <f>SUM(F999:F1000)</f>
        <v>38.235624875260797</v>
      </c>
      <c r="G998" s="13">
        <f t="shared" ref="G998:K998" si="674">SUM(G999:G1000)</f>
        <v>37.866572885161084</v>
      </c>
      <c r="H998" s="13">
        <f t="shared" si="674"/>
        <v>40.190606014181562</v>
      </c>
      <c r="I998" s="13">
        <f t="shared" si="674"/>
        <v>41.878844258446478</v>
      </c>
      <c r="J998" s="13">
        <f t="shared" si="674"/>
        <v>33.65430284321058</v>
      </c>
      <c r="K998" s="13">
        <f t="shared" si="674"/>
        <v>22.294144092348105</v>
      </c>
    </row>
    <row r="999" spans="1:13">
      <c r="A999" t="s">
        <v>5</v>
      </c>
      <c r="B999" s="5" t="str">
        <f t="shared" si="671"/>
        <v>SPS1</v>
      </c>
      <c r="C999" s="5" t="str">
        <f t="shared" si="672"/>
        <v>CH</v>
      </c>
      <c r="D999" t="s">
        <v>743</v>
      </c>
      <c r="E999" t="s">
        <v>8</v>
      </c>
      <c r="F999" s="13">
        <f>F996-F1002</f>
        <v>38.235624875260797</v>
      </c>
      <c r="G999" s="13">
        <f t="shared" ref="G999:K999" si="675">G996-G1002</f>
        <v>37.866572885161084</v>
      </c>
      <c r="H999" s="13">
        <f t="shared" si="675"/>
        <v>40.189861664573904</v>
      </c>
      <c r="I999" s="13">
        <f t="shared" si="675"/>
        <v>41.877971328480086</v>
      </c>
      <c r="J999" s="13">
        <f t="shared" si="675"/>
        <v>33.593432646210417</v>
      </c>
      <c r="K999" s="13">
        <f t="shared" si="675"/>
        <v>22.232590413552689</v>
      </c>
    </row>
    <row r="1000" spans="1:13">
      <c r="A1000" t="s">
        <v>5</v>
      </c>
      <c r="B1000" s="5" t="str">
        <f t="shared" si="671"/>
        <v>SPS1</v>
      </c>
      <c r="C1000" s="5" t="str">
        <f t="shared" si="672"/>
        <v>CH</v>
      </c>
      <c r="D1000" t="s">
        <v>763</v>
      </c>
      <c r="E1000" t="s">
        <v>8</v>
      </c>
      <c r="F1000" s="13">
        <f>F997-F1003</f>
        <v>0</v>
      </c>
      <c r="G1000" s="13">
        <f t="shared" ref="G1000:K1000" si="676">G997-G1003</f>
        <v>0</v>
      </c>
      <c r="H1000" s="13">
        <f t="shared" si="676"/>
        <v>7.443496076575386E-4</v>
      </c>
      <c r="I1000" s="13">
        <f t="shared" si="676"/>
        <v>8.7292996638843612E-4</v>
      </c>
      <c r="J1000" s="13">
        <f t="shared" si="676"/>
        <v>6.0870197000160414E-2</v>
      </c>
      <c r="K1000" s="13">
        <f t="shared" si="676"/>
        <v>6.1553678795415095E-2</v>
      </c>
    </row>
    <row r="1001" spans="1:13">
      <c r="A1001" t="s">
        <v>5</v>
      </c>
      <c r="B1001" s="5" t="str">
        <f t="shared" si="671"/>
        <v>SPS1</v>
      </c>
      <c r="C1001" s="5" t="str">
        <f t="shared" si="672"/>
        <v>CH</v>
      </c>
      <c r="D1001" t="s">
        <v>1082</v>
      </c>
      <c r="E1001" t="s">
        <v>8</v>
      </c>
      <c r="F1001" s="13">
        <f>SUM(F1002:F1003)</f>
        <v>0.25902203316035033</v>
      </c>
      <c r="G1001" s="13">
        <f t="shared" ref="G1001:K1001" si="677">SUM(G1002:G1003)</f>
        <v>0.15654771738604584</v>
      </c>
      <c r="H1001" s="13">
        <f t="shared" si="677"/>
        <v>0.15173072179540717</v>
      </c>
      <c r="I1001" s="13">
        <f t="shared" si="677"/>
        <v>0.15568435277496118</v>
      </c>
      <c r="J1001" s="13">
        <f t="shared" si="677"/>
        <v>0.15384340303340521</v>
      </c>
      <c r="K1001" s="13">
        <f t="shared" si="677"/>
        <v>0.15428326792642252</v>
      </c>
      <c r="L1001" s="2"/>
    </row>
    <row r="1002" spans="1:13">
      <c r="A1002" t="s">
        <v>5</v>
      </c>
      <c r="B1002" s="5" t="str">
        <f t="shared" si="671"/>
        <v>SPS1</v>
      </c>
      <c r="C1002" s="5" t="str">
        <f t="shared" si="672"/>
        <v>CH</v>
      </c>
      <c r="D1002" t="s">
        <v>744</v>
      </c>
      <c r="E1002" t="s">
        <v>8</v>
      </c>
      <c r="F1002" s="13">
        <f>F996*IFERROR(F$994/F$992,0)</f>
        <v>0.25902203316035033</v>
      </c>
      <c r="G1002" s="13">
        <f t="shared" ref="G1002:K1002" si="678">G996*IFERROR(G994/G992,0)</f>
        <v>0.15654771738604584</v>
      </c>
      <c r="H1002" s="13">
        <f t="shared" si="678"/>
        <v>0.15172791166850344</v>
      </c>
      <c r="I1002" s="13">
        <f t="shared" si="678"/>
        <v>0.15568110766303792</v>
      </c>
      <c r="J1002" s="13">
        <f t="shared" si="678"/>
        <v>0.1535651480271005</v>
      </c>
      <c r="K1002" s="13">
        <f t="shared" si="678"/>
        <v>0.15385729495889741</v>
      </c>
    </row>
    <row r="1003" spans="1:13">
      <c r="A1003" t="s">
        <v>5</v>
      </c>
      <c r="B1003" s="5" t="str">
        <f t="shared" si="671"/>
        <v>SPS1</v>
      </c>
      <c r="C1003" s="5" t="str">
        <f t="shared" si="672"/>
        <v>CH</v>
      </c>
      <c r="D1003" t="s">
        <v>764</v>
      </c>
      <c r="E1003" t="s">
        <v>8</v>
      </c>
      <c r="F1003" s="13">
        <f>F997*IFERROR(F$994/F$992,0)</f>
        <v>0</v>
      </c>
      <c r="G1003" s="13">
        <f t="shared" ref="G1003:K1003" si="679">G997*IFERROR(G$994/G$992,0)</f>
        <v>0</v>
      </c>
      <c r="H1003" s="13">
        <f t="shared" si="679"/>
        <v>2.8101269037385126E-6</v>
      </c>
      <c r="I1003" s="13">
        <f t="shared" si="679"/>
        <v>3.2451119232509032E-6</v>
      </c>
      <c r="J1003" s="13">
        <f t="shared" si="679"/>
        <v>2.7825500630471818E-4</v>
      </c>
      <c r="K1003" s="13">
        <f t="shared" si="679"/>
        <v>4.2597296752511259E-4</v>
      </c>
    </row>
    <row r="1004" spans="1:13">
      <c r="A1004" t="s">
        <v>5</v>
      </c>
      <c r="B1004" s="5" t="str">
        <f t="shared" si="671"/>
        <v>SPS1</v>
      </c>
      <c r="C1004" s="5" t="str">
        <f t="shared" si="672"/>
        <v>CH</v>
      </c>
      <c r="D1004" t="s">
        <v>1083</v>
      </c>
      <c r="E1004" t="s">
        <v>8</v>
      </c>
      <c r="F1004" s="13">
        <f>SUM(F1005:F1006)</f>
        <v>8.5072648761022478</v>
      </c>
      <c r="G1004" s="13">
        <f t="shared" ref="G1004:K1004" si="680">SUM(G1005:G1006)</f>
        <v>6.4995417484882552</v>
      </c>
      <c r="H1004" s="13">
        <f t="shared" si="680"/>
        <v>8.3942047377528759</v>
      </c>
      <c r="I1004" s="13">
        <f t="shared" si="680"/>
        <v>6.6350556413990764</v>
      </c>
      <c r="J1004" s="13">
        <f t="shared" si="680"/>
        <v>5.2070532421228517</v>
      </c>
      <c r="K1004" s="13">
        <f t="shared" si="680"/>
        <v>2.964165609639426</v>
      </c>
      <c r="L1004" s="2"/>
      <c r="M1004" s="12"/>
    </row>
    <row r="1005" spans="1:13">
      <c r="A1005" t="s">
        <v>5</v>
      </c>
      <c r="B1005" s="5" t="str">
        <f t="shared" si="671"/>
        <v>SPS1</v>
      </c>
      <c r="C1005" s="5" t="str">
        <f t="shared" si="672"/>
        <v>CH</v>
      </c>
      <c r="D1005" t="s">
        <v>746</v>
      </c>
      <c r="E1005" t="s">
        <v>8</v>
      </c>
      <c r="F1005" s="13">
        <f>F992-F996-F997-F1006</f>
        <v>8.5072648761022478</v>
      </c>
      <c r="G1005" s="13">
        <f t="shared" ref="G1005:K1005" si="681">G992-G996-G997-G1006</f>
        <v>6.4995417484882552</v>
      </c>
      <c r="H1005" s="13">
        <f t="shared" si="681"/>
        <v>8.3940282638766543</v>
      </c>
      <c r="I1005" s="13">
        <f t="shared" si="681"/>
        <v>6.6348405777888058</v>
      </c>
      <c r="J1005" s="13">
        <f t="shared" si="681"/>
        <v>5.1919651894481333</v>
      </c>
      <c r="K1005" s="13">
        <f t="shared" si="681"/>
        <v>2.9486144610914944</v>
      </c>
    </row>
    <row r="1006" spans="1:13">
      <c r="A1006" t="s">
        <v>5</v>
      </c>
      <c r="B1006" s="5" t="str">
        <f t="shared" si="671"/>
        <v>SPS1</v>
      </c>
      <c r="C1006" s="5" t="str">
        <f t="shared" si="672"/>
        <v>CH</v>
      </c>
      <c r="D1006" t="s">
        <v>765</v>
      </c>
      <c r="E1006" t="s">
        <v>8</v>
      </c>
      <c r="F1006" s="13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3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3" cm="1">
        <f t="array" ref="H1006">SUMPRODUCT(([1]OUT_FinalEnergyCons!$B$4:$B$10000="Var_Fin")*1, ([1]OUT_FinalEnergyCons!$C$4:$C$10000="RNGA")*1,ISNUMBER(SEARCH("RH*-wHngahp",[1]OUT_FinalEnergyCons!$A$4:$A$10000))*1,[1]OUT_FinalEnergyCons!F$4:F$10000)</f>
        <v>1.7647387622195604E-4</v>
      </c>
      <c r="I1006" s="13" cm="1">
        <f t="array" ref="I1006">SUMPRODUCT(([1]OUT_FinalEnergyCons!$B$4:$B$10000="Var_Fin")*1, ([1]OUT_FinalEnergyCons!$C$4:$C$10000="RNGA")*1,ISNUMBER(SEARCH("RH*-wHngahp",[1]OUT_FinalEnergyCons!$A$4:$A$10000))*1,[1]OUT_FinalEnergyCons!G$4:G$10000)</f>
        <v>2.1506361027054331E-4</v>
      </c>
      <c r="J1006" s="13" cm="1">
        <f t="array" ref="J1006">SUMPRODUCT(([1]OUT_FinalEnergyCons!$B$4:$B$10000="Var_Fin")*1, ([1]OUT_FinalEnergyCons!$C$4:$C$10000="RNGA")*1,ISNUMBER(SEARCH("RH*-wHngahp",[1]OUT_FinalEnergyCons!$A$4:$A$10000))*1,[1]OUT_FinalEnergyCons!H$4:H$10000)</f>
        <v>1.5088052674718402E-2</v>
      </c>
      <c r="K1006" s="13" cm="1">
        <f t="array" ref="K1006">SUMPRODUCT(([1]OUT_FinalEnergyCons!$B$4:$B$10000="Var_Fin")*1, ([1]OUT_FinalEnergyCons!$C$4:$C$10000="RNGA")*1,ISNUMBER(SEARCH("RH*-wHngahp",[1]OUT_FinalEnergyCons!$A$4:$A$10000))*1,[1]OUT_FinalEnergyCons!I$4:I$10000)</f>
        <v>1.5551148547931729E-2</v>
      </c>
    </row>
    <row r="1007" spans="1:13">
      <c r="A1007" t="s">
        <v>5</v>
      </c>
      <c r="B1007" s="5" t="str">
        <f t="shared" si="671"/>
        <v>SPS1</v>
      </c>
      <c r="C1007" s="5" t="str">
        <f t="shared" si="672"/>
        <v>CH</v>
      </c>
      <c r="D1007" t="s">
        <v>1084</v>
      </c>
      <c r="E1007" t="s">
        <v>8</v>
      </c>
      <c r="F1007" s="13">
        <f>SUM(F1008:F1009)</f>
        <v>8.4500213572804252</v>
      </c>
      <c r="G1007" s="13">
        <f t="shared" ref="G1007:K1007" si="682">SUM(G1008:G1009)</f>
        <v>6.4727820189169538</v>
      </c>
      <c r="H1007" s="13">
        <f t="shared" si="682"/>
        <v>8.3626334692838924</v>
      </c>
      <c r="I1007" s="13">
        <f t="shared" si="682"/>
        <v>6.6104812170559111</v>
      </c>
      <c r="J1007" s="13">
        <f t="shared" si="682"/>
        <v>5.1833586335894637</v>
      </c>
      <c r="K1007" s="13">
        <f t="shared" si="682"/>
        <v>2.9437935296896485</v>
      </c>
    </row>
    <row r="1008" spans="1:13">
      <c r="A1008" t="s">
        <v>5</v>
      </c>
      <c r="B1008" s="5" t="str">
        <f t="shared" si="671"/>
        <v>SPS1</v>
      </c>
      <c r="C1008" s="5" t="str">
        <f t="shared" si="672"/>
        <v>CH</v>
      </c>
      <c r="D1008" t="s">
        <v>745</v>
      </c>
      <c r="E1008" t="s">
        <v>8</v>
      </c>
      <c r="F1008" s="13">
        <f>F1005-F1011</f>
        <v>8.4500213572804252</v>
      </c>
      <c r="G1008" s="13">
        <f t="shared" ref="G1008:K1008" si="683">G1005-G1011</f>
        <v>6.4727820189169538</v>
      </c>
      <c r="H1008" s="13">
        <f t="shared" si="683"/>
        <v>8.3624576591398885</v>
      </c>
      <c r="I1008" s="13">
        <f t="shared" si="683"/>
        <v>6.6102669499822042</v>
      </c>
      <c r="J1008" s="13">
        <f t="shared" si="683"/>
        <v>5.1683392388456388</v>
      </c>
      <c r="K1008" s="13">
        <f t="shared" si="683"/>
        <v>2.9283492608789685</v>
      </c>
    </row>
    <row r="1009" spans="1:11">
      <c r="A1009" t="s">
        <v>5</v>
      </c>
      <c r="B1009" s="5" t="str">
        <f t="shared" si="671"/>
        <v>SPS1</v>
      </c>
      <c r="C1009" s="5" t="str">
        <f t="shared" si="672"/>
        <v>CH</v>
      </c>
      <c r="D1009" t="s">
        <v>766</v>
      </c>
      <c r="E1009" t="s">
        <v>8</v>
      </c>
      <c r="F1009" s="13">
        <f>F1006-F1012</f>
        <v>0</v>
      </c>
      <c r="G1009" s="13">
        <f t="shared" ref="G1009:K1009" si="684">G1006-G1012</f>
        <v>0</v>
      </c>
      <c r="H1009" s="13">
        <f t="shared" si="684"/>
        <v>1.7581014400454802E-4</v>
      </c>
      <c r="I1009" s="13">
        <f t="shared" si="684"/>
        <v>2.1426707370699355E-4</v>
      </c>
      <c r="J1009" s="13">
        <f t="shared" si="684"/>
        <v>1.5019394743824488E-2</v>
      </c>
      <c r="K1009" s="13">
        <f t="shared" si="684"/>
        <v>1.5444268810679845E-2</v>
      </c>
    </row>
    <row r="1010" spans="1:11">
      <c r="A1010" t="s">
        <v>5</v>
      </c>
      <c r="B1010" s="5" t="str">
        <f t="shared" si="671"/>
        <v>SPS1</v>
      </c>
      <c r="C1010" s="5" t="str">
        <f t="shared" si="672"/>
        <v>CH</v>
      </c>
      <c r="D1010" t="s">
        <v>1085</v>
      </c>
      <c r="E1010" t="s">
        <v>8</v>
      </c>
      <c r="F1010" s="13">
        <f t="shared" ref="F1010:K1010" si="685">SUM(F1011:F1012)</f>
        <v>5.7243518821823096E-2</v>
      </c>
      <c r="G1010" s="13">
        <f t="shared" si="685"/>
        <v>2.6759729571301547E-2</v>
      </c>
      <c r="H1010" s="13">
        <f t="shared" si="685"/>
        <v>3.1571268468983657E-2</v>
      </c>
      <c r="I1010" s="13">
        <f t="shared" si="685"/>
        <v>2.4574424343165105E-2</v>
      </c>
      <c r="J1010" s="13">
        <f t="shared" si="685"/>
        <v>2.3694608533388686E-2</v>
      </c>
      <c r="K1010" s="13">
        <f t="shared" si="685"/>
        <v>2.0372079949777581E-2</v>
      </c>
    </row>
    <row r="1011" spans="1:11">
      <c r="A1011" t="s">
        <v>5</v>
      </c>
      <c r="B1011" s="5" t="str">
        <f t="shared" si="671"/>
        <v>SPS1</v>
      </c>
      <c r="C1011" s="5" t="str">
        <f t="shared" si="672"/>
        <v>CH</v>
      </c>
      <c r="D1011" t="s">
        <v>767</v>
      </c>
      <c r="E1011" t="s">
        <v>8</v>
      </c>
      <c r="F1011" s="13">
        <f>F1005*IFERROR(F$994/F$992,0)</f>
        <v>5.7243518821823096E-2</v>
      </c>
      <c r="G1011" s="13">
        <f t="shared" ref="G1011:K1011" si="686">G1005*IFERROR(G$994/G$992,0)</f>
        <v>2.6759729571301547E-2</v>
      </c>
      <c r="H1011" s="13">
        <f t="shared" si="686"/>
        <v>3.1570604736766247E-2</v>
      </c>
      <c r="I1011" s="13">
        <f t="shared" si="686"/>
        <v>2.4573627806601554E-2</v>
      </c>
      <c r="J1011" s="13">
        <f t="shared" si="686"/>
        <v>2.3625950602494773E-2</v>
      </c>
      <c r="K1011" s="13">
        <f t="shared" si="686"/>
        <v>2.0265200212525696E-2</v>
      </c>
    </row>
    <row r="1012" spans="1:11">
      <c r="A1012" t="s">
        <v>5</v>
      </c>
      <c r="B1012" s="5" t="str">
        <f t="shared" si="671"/>
        <v>SPS1</v>
      </c>
      <c r="C1012" s="5" t="str">
        <f t="shared" si="672"/>
        <v>CH</v>
      </c>
      <c r="D1012" t="s">
        <v>768</v>
      </c>
      <c r="E1012" t="s">
        <v>8</v>
      </c>
      <c r="F1012" s="13">
        <f>F1006*IFERROR(F$994/F$992,0)</f>
        <v>0</v>
      </c>
      <c r="G1012" s="13">
        <f t="shared" ref="G1012:K1012" si="687">G1006*IFERROR(G$994/G$992,0)</f>
        <v>0</v>
      </c>
      <c r="H1012" s="13">
        <f t="shared" si="687"/>
        <v>6.6373221740801299E-7</v>
      </c>
      <c r="I1012" s="13">
        <f t="shared" si="687"/>
        <v>7.9653656354975147E-7</v>
      </c>
      <c r="J1012" s="13">
        <f t="shared" si="687"/>
        <v>6.8657930893913809E-5</v>
      </c>
      <c r="K1012" s="13">
        <f t="shared" si="687"/>
        <v>1.0687973725188409E-4</v>
      </c>
    </row>
    <row r="1013" spans="1:11">
      <c r="A1013" t="s">
        <v>5</v>
      </c>
      <c r="B1013" s="5" t="str">
        <f t="shared" si="671"/>
        <v>SPS1</v>
      </c>
      <c r="C1013" s="5" t="str">
        <f t="shared" si="672"/>
        <v>CH</v>
      </c>
      <c r="D1013" t="s">
        <v>1086</v>
      </c>
      <c r="E1013" t="s">
        <v>8</v>
      </c>
      <c r="F1013" s="13">
        <f>[1]Residential!B$20</f>
        <v>0.10000001753849549</v>
      </c>
      <c r="G1013" s="13">
        <f>[1]Residential!C$20</f>
        <v>0.10000000490694694</v>
      </c>
      <c r="H1013" s="13">
        <f>[1]Residential!D$20</f>
        <v>2.8947812328145182E-5</v>
      </c>
      <c r="I1013" s="13">
        <f>[1]Residential!E$20</f>
        <v>1.5312894788215868E-5</v>
      </c>
      <c r="J1013" s="13">
        <f>[1]Residential!F$20</f>
        <v>0</v>
      </c>
      <c r="K1013" s="13">
        <f>[1]Residential!G$20</f>
        <v>0</v>
      </c>
    </row>
    <row r="1014" spans="1:11">
      <c r="A1014" t="s">
        <v>5</v>
      </c>
      <c r="B1014" s="5" t="str">
        <f t="shared" si="671"/>
        <v>SPS1</v>
      </c>
      <c r="C1014" s="5" t="str">
        <f t="shared" si="672"/>
        <v>CH</v>
      </c>
      <c r="D1014" t="s">
        <v>1087</v>
      </c>
      <c r="E1014" t="s">
        <v>8</v>
      </c>
      <c r="F1014" s="13">
        <f>F1013</f>
        <v>0.10000001753849549</v>
      </c>
      <c r="G1014" s="13">
        <f t="shared" ref="G1014:G1015" si="688">G1013</f>
        <v>0.10000000490694694</v>
      </c>
      <c r="H1014" s="13">
        <f t="shared" ref="H1014:H1015" si="689">H1013</f>
        <v>2.8947812328145182E-5</v>
      </c>
      <c r="I1014" s="13">
        <f t="shared" ref="I1014:I1015" si="690">I1013</f>
        <v>1.5312894788215868E-5</v>
      </c>
      <c r="J1014" s="13">
        <f t="shared" ref="J1014:J1015" si="691">J1013</f>
        <v>0</v>
      </c>
      <c r="K1014" s="13">
        <f t="shared" ref="K1014:K1015" si="692">K1013</f>
        <v>0</v>
      </c>
    </row>
    <row r="1015" spans="1:11">
      <c r="A1015" t="s">
        <v>5</v>
      </c>
      <c r="B1015" s="5" t="str">
        <f t="shared" si="671"/>
        <v>SPS1</v>
      </c>
      <c r="C1015" s="5" t="str">
        <f t="shared" si="672"/>
        <v>CH</v>
      </c>
      <c r="D1015" t="s">
        <v>795</v>
      </c>
      <c r="E1015" t="s">
        <v>8</v>
      </c>
      <c r="F1015" s="13">
        <f t="shared" ref="F1015" si="693">F1014</f>
        <v>0.10000001753849549</v>
      </c>
      <c r="G1015" s="13">
        <f t="shared" si="688"/>
        <v>0.10000000490694694</v>
      </c>
      <c r="H1015" s="13">
        <f t="shared" si="689"/>
        <v>2.8947812328145182E-5</v>
      </c>
      <c r="I1015" s="13">
        <f t="shared" si="690"/>
        <v>1.5312894788215868E-5</v>
      </c>
      <c r="J1015" s="13">
        <f t="shared" si="691"/>
        <v>0</v>
      </c>
      <c r="K1015" s="13">
        <f t="shared" si="692"/>
        <v>0</v>
      </c>
    </row>
    <row r="1016" spans="1:11">
      <c r="A1016" t="s">
        <v>5</v>
      </c>
      <c r="B1016" s="5" t="str">
        <f t="shared" si="671"/>
        <v>SPS1</v>
      </c>
      <c r="C1016" s="5" t="str">
        <f t="shared" si="672"/>
        <v>CH</v>
      </c>
      <c r="D1016" t="s">
        <v>1088</v>
      </c>
      <c r="E1016" t="s">
        <v>8</v>
      </c>
      <c r="F1016" s="13">
        <v>0</v>
      </c>
      <c r="G1016" s="13">
        <v>0</v>
      </c>
      <c r="H1016" s="13">
        <v>0</v>
      </c>
      <c r="I1016" s="13">
        <v>0</v>
      </c>
      <c r="J1016" s="13">
        <v>0</v>
      </c>
      <c r="K1016" s="13">
        <v>0</v>
      </c>
    </row>
    <row r="1017" spans="1:11">
      <c r="A1017" t="s">
        <v>5</v>
      </c>
      <c r="B1017" s="5" t="str">
        <f t="shared" si="671"/>
        <v>SPS1</v>
      </c>
      <c r="C1017" s="5" t="str">
        <f t="shared" si="672"/>
        <v>CH</v>
      </c>
      <c r="D1017" t="s">
        <v>796</v>
      </c>
      <c r="E1017" t="s">
        <v>8</v>
      </c>
      <c r="F1017" s="13">
        <v>0</v>
      </c>
      <c r="G1017" s="13">
        <v>0</v>
      </c>
      <c r="H1017" s="13">
        <v>0</v>
      </c>
      <c r="I1017" s="13">
        <v>0</v>
      </c>
      <c r="J1017" s="13">
        <v>0</v>
      </c>
      <c r="K1017" s="13">
        <v>0</v>
      </c>
    </row>
    <row r="1018" spans="1:11">
      <c r="A1018" t="s">
        <v>5</v>
      </c>
      <c r="B1018" s="5" t="str">
        <f t="shared" si="671"/>
        <v>SPS1</v>
      </c>
      <c r="C1018" s="5" t="str">
        <f t="shared" si="672"/>
        <v>CH</v>
      </c>
      <c r="D1018" t="s">
        <v>1089</v>
      </c>
      <c r="E1018" t="s">
        <v>8</v>
      </c>
      <c r="F1018" s="13">
        <f>F1019+F1021</f>
        <v>13.722983032506308</v>
      </c>
      <c r="G1018" s="13">
        <f t="shared" ref="G1018:K1018" si="694">G1019+G1021</f>
        <v>13.742946837316769</v>
      </c>
      <c r="H1018" s="13">
        <f t="shared" si="694"/>
        <v>12.328155422961304</v>
      </c>
      <c r="I1018" s="13">
        <f t="shared" si="694"/>
        <v>12.15577132930555</v>
      </c>
      <c r="J1018" s="13">
        <f t="shared" si="694"/>
        <v>12.253119693502294</v>
      </c>
      <c r="K1018" s="13">
        <f t="shared" si="694"/>
        <v>6.7391664083326335</v>
      </c>
    </row>
    <row r="1019" spans="1:11">
      <c r="A1019" t="s">
        <v>5</v>
      </c>
      <c r="B1019" s="5" t="str">
        <f t="shared" si="671"/>
        <v>SPS1</v>
      </c>
      <c r="C1019" s="5" t="str">
        <f t="shared" si="672"/>
        <v>CH</v>
      </c>
      <c r="D1019" t="s">
        <v>1090</v>
      </c>
      <c r="E1019" t="s">
        <v>8</v>
      </c>
      <c r="F1019" s="13">
        <f>F1020</f>
        <v>12.682044125108876</v>
      </c>
      <c r="G1019" s="13">
        <f t="shared" ref="G1019:K1019" si="695">G1020</f>
        <v>12.548466488034682</v>
      </c>
      <c r="H1019" s="13">
        <f t="shared" si="695"/>
        <v>11.646446793677827</v>
      </c>
      <c r="I1019" s="13">
        <f t="shared" si="695"/>
        <v>11.483595130410899</v>
      </c>
      <c r="J1019" s="13">
        <f t="shared" si="695"/>
        <v>11.575560412289004</v>
      </c>
      <c r="K1019" s="13">
        <f t="shared" si="695"/>
        <v>6.3665115529577525</v>
      </c>
    </row>
    <row r="1020" spans="1:11">
      <c r="A1020" t="s">
        <v>5</v>
      </c>
      <c r="B1020" s="5" t="str">
        <f t="shared" si="671"/>
        <v>SPS1</v>
      </c>
      <c r="C1020" s="5" t="str">
        <f t="shared" si="672"/>
        <v>CH</v>
      </c>
      <c r="D1020" t="s">
        <v>797</v>
      </c>
      <c r="E1020" t="s">
        <v>8</v>
      </c>
      <c r="F1020" s="13">
        <f>[1]Residential!B$22-F1022-F1023</f>
        <v>12.682044125108876</v>
      </c>
      <c r="G1020" s="13">
        <f>[1]Residential!C$22-G1022-G1023</f>
        <v>12.548466488034682</v>
      </c>
      <c r="H1020" s="13">
        <f>[1]Residential!D$22-H1022-H1023</f>
        <v>11.646446793677827</v>
      </c>
      <c r="I1020" s="13">
        <f>[1]Residential!E$22-I1022-I1023</f>
        <v>11.483595130410899</v>
      </c>
      <c r="J1020" s="13">
        <f>[1]Residential!F$22-J1022-J1023</f>
        <v>11.575560412289004</v>
      </c>
      <c r="K1020" s="13">
        <f>[1]Residential!G$22-K1022-K1023</f>
        <v>6.3665115529577525</v>
      </c>
    </row>
    <row r="1021" spans="1:11">
      <c r="A1021" t="s">
        <v>5</v>
      </c>
      <c r="B1021" s="5" t="str">
        <f t="shared" si="671"/>
        <v>SPS1</v>
      </c>
      <c r="C1021" s="5" t="str">
        <f t="shared" si="672"/>
        <v>CH</v>
      </c>
      <c r="D1021" t="s">
        <v>1091</v>
      </c>
      <c r="E1021" t="s">
        <v>8</v>
      </c>
      <c r="F1021" s="13">
        <f>F1022</f>
        <v>1.0409389073974327</v>
      </c>
      <c r="G1021" s="13">
        <f t="shared" ref="G1021" si="696">G1022</f>
        <v>1.1944803492820872</v>
      </c>
      <c r="H1021" s="13">
        <f t="shared" ref="H1021" si="697">H1022</f>
        <v>0.68170862928347753</v>
      </c>
      <c r="I1021" s="13">
        <f t="shared" ref="I1021" si="698">I1022</f>
        <v>0.67217619889464975</v>
      </c>
      <c r="J1021" s="13">
        <f t="shared" ref="J1021" si="699">J1022</f>
        <v>0.67755928121328968</v>
      </c>
      <c r="K1021" s="13">
        <f t="shared" ref="K1021" si="700">K1022</f>
        <v>0.37265485537488119</v>
      </c>
    </row>
    <row r="1022" spans="1:11">
      <c r="A1022" t="s">
        <v>5</v>
      </c>
      <c r="B1022" s="5" t="str">
        <f t="shared" si="671"/>
        <v>SPS1</v>
      </c>
      <c r="C1022" s="5" t="str">
        <f t="shared" si="672"/>
        <v>CH</v>
      </c>
      <c r="D1022" t="s">
        <v>798</v>
      </c>
      <c r="E1022" t="s">
        <v>8</v>
      </c>
      <c r="F1022" s="13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1.0409389073974327</v>
      </c>
      <c r="G1022" s="13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1.1944803492820872</v>
      </c>
      <c r="H1022" s="13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0.68170862928347753</v>
      </c>
      <c r="I1022" s="13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0.67217619889464975</v>
      </c>
      <c r="J1022" s="13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0.67755928121328968</v>
      </c>
      <c r="K1022" s="13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0.37265485537488119</v>
      </c>
    </row>
    <row r="1023" spans="1:11">
      <c r="A1023" t="s">
        <v>5</v>
      </c>
      <c r="B1023" s="5" t="str">
        <f t="shared" si="671"/>
        <v>SPS1</v>
      </c>
      <c r="C1023" s="5" t="str">
        <f t="shared" si="672"/>
        <v>CH</v>
      </c>
      <c r="D1023" t="s">
        <v>1092</v>
      </c>
      <c r="E1023" t="s">
        <v>8</v>
      </c>
      <c r="F1023" s="13">
        <f>F1024+F1026</f>
        <v>3.2682025955248419</v>
      </c>
      <c r="G1023" s="13">
        <f t="shared" ref="G1023:K1023" si="701">G1024+G1026</f>
        <v>3.8319808104918938</v>
      </c>
      <c r="H1023" s="13">
        <f t="shared" si="701"/>
        <v>3.7298850955169498</v>
      </c>
      <c r="I1023" s="13">
        <f t="shared" si="701"/>
        <v>3.8822838271712303</v>
      </c>
      <c r="J1023" s="13">
        <f t="shared" si="701"/>
        <v>4.0183111570966838</v>
      </c>
      <c r="K1023" s="13">
        <f t="shared" si="701"/>
        <v>4.2594988699389313</v>
      </c>
    </row>
    <row r="1024" spans="1:11">
      <c r="A1024" t="s">
        <v>5</v>
      </c>
      <c r="B1024" s="5" t="str">
        <f t="shared" si="671"/>
        <v>SPS1</v>
      </c>
      <c r="C1024" s="5" t="str">
        <f t="shared" si="672"/>
        <v>CH</v>
      </c>
      <c r="D1024" t="s">
        <v>1093</v>
      </c>
      <c r="E1024" t="s">
        <v>8</v>
      </c>
      <c r="F1024" s="13">
        <f>F1025</f>
        <v>2.9965366012211576</v>
      </c>
      <c r="G1024" s="13">
        <f t="shared" ref="G1024:K1024" si="702">G1025</f>
        <v>3.5202433699352169</v>
      </c>
      <c r="H1024" s="13">
        <f t="shared" si="702"/>
        <v>3.5236339295578532</v>
      </c>
      <c r="I1024" s="13">
        <f t="shared" si="702"/>
        <v>3.6676056270777058</v>
      </c>
      <c r="J1024" s="13">
        <f t="shared" si="702"/>
        <v>3.7961110628148163</v>
      </c>
      <c r="K1024" s="13">
        <f t="shared" si="702"/>
        <v>4.0239618758890776</v>
      </c>
    </row>
    <row r="1025" spans="1:11">
      <c r="A1025" t="s">
        <v>5</v>
      </c>
      <c r="B1025" s="5" t="str">
        <f t="shared" si="671"/>
        <v>SPS1</v>
      </c>
      <c r="C1025" s="5" t="str">
        <f t="shared" si="672"/>
        <v>CH</v>
      </c>
      <c r="D1025" t="s">
        <v>799</v>
      </c>
      <c r="E1025" t="s">
        <v>8</v>
      </c>
      <c r="F1025" s="13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2.9965366012211576</v>
      </c>
      <c r="G1025" s="13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3.5202433699352169</v>
      </c>
      <c r="H1025" s="13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3.5236339295578532</v>
      </c>
      <c r="I1025" s="13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3.6676056270777058</v>
      </c>
      <c r="J1025" s="13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3.7961110628148163</v>
      </c>
      <c r="K1025" s="13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4.0239618758890776</v>
      </c>
    </row>
    <row r="1026" spans="1:11">
      <c r="A1026" t="s">
        <v>5</v>
      </c>
      <c r="B1026" s="5" t="str">
        <f t="shared" si="671"/>
        <v>SPS1</v>
      </c>
      <c r="C1026" s="5" t="str">
        <f t="shared" si="672"/>
        <v>CH</v>
      </c>
      <c r="D1026" t="s">
        <v>1094</v>
      </c>
      <c r="E1026" t="s">
        <v>8</v>
      </c>
      <c r="F1026" s="13">
        <f>F1027</f>
        <v>0.27166599430368443</v>
      </c>
      <c r="G1026" s="13">
        <f t="shared" ref="G1026:K1026" si="703">G1027</f>
        <v>0.3117374405566769</v>
      </c>
      <c r="H1026" s="13">
        <f t="shared" si="703"/>
        <v>0.20625116595909651</v>
      </c>
      <c r="I1026" s="13">
        <f t="shared" si="703"/>
        <v>0.21467820009352453</v>
      </c>
      <c r="J1026" s="13">
        <f t="shared" si="703"/>
        <v>0.22220009428186771</v>
      </c>
      <c r="K1026" s="13">
        <f t="shared" si="703"/>
        <v>0.23553699404985404</v>
      </c>
    </row>
    <row r="1027" spans="1:11">
      <c r="A1027" t="s">
        <v>5</v>
      </c>
      <c r="B1027" s="5" t="str">
        <f t="shared" si="671"/>
        <v>SPS1</v>
      </c>
      <c r="C1027" s="5" t="str">
        <f t="shared" si="672"/>
        <v>CH</v>
      </c>
      <c r="D1027" t="s">
        <v>800</v>
      </c>
      <c r="E1027" t="s">
        <v>8</v>
      </c>
      <c r="F1027" s="13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0.27166599430368443</v>
      </c>
      <c r="G1027" s="13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0.3117374405566769</v>
      </c>
      <c r="H1027" s="13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0.20625116595909651</v>
      </c>
      <c r="I1027" s="13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0.21467820009352453</v>
      </c>
      <c r="J1027" s="13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0.22220009428186771</v>
      </c>
      <c r="K1027" s="13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0.23553699404985404</v>
      </c>
    </row>
    <row r="1028" spans="1:11">
      <c r="A1028" t="s">
        <v>5</v>
      </c>
      <c r="B1028" s="5" t="str">
        <f t="shared" si="671"/>
        <v>SPS1</v>
      </c>
      <c r="C1028" s="5" t="str">
        <f t="shared" si="672"/>
        <v>CH</v>
      </c>
      <c r="D1028" t="s">
        <v>1095</v>
      </c>
      <c r="E1028" t="s">
        <v>8</v>
      </c>
      <c r="F1028" s="13">
        <f>[1]Residential!B$23</f>
        <v>2.5068244970084019</v>
      </c>
      <c r="G1028" s="13">
        <f>[1]Residential!C$23</f>
        <v>2.9279869274558936</v>
      </c>
      <c r="H1028" s="13">
        <f>[1]Residential!D$23</f>
        <v>2.9279878844940184</v>
      </c>
      <c r="I1028" s="13">
        <f>[1]Residential!E$23</f>
        <v>2.9279880885801357</v>
      </c>
      <c r="J1028" s="13">
        <f>[1]Residential!F$23</f>
        <v>4.7844110308002854</v>
      </c>
      <c r="K1028" s="13">
        <f>[1]Residential!G$23</f>
        <v>5.4707082129357083</v>
      </c>
    </row>
    <row r="1029" spans="1:11">
      <c r="A1029" t="s">
        <v>5</v>
      </c>
      <c r="B1029" s="5" t="str">
        <f t="shared" si="671"/>
        <v>SPS1</v>
      </c>
      <c r="C1029" s="5" t="str">
        <f t="shared" si="672"/>
        <v>CH</v>
      </c>
      <c r="D1029" t="s">
        <v>1096</v>
      </c>
      <c r="E1029" t="s">
        <v>8</v>
      </c>
      <c r="F1029" s="13">
        <f>F1030</f>
        <v>0.78533647234855097</v>
      </c>
      <c r="G1029" s="13">
        <f t="shared" ref="G1029:K1029" si="704">G1030</f>
        <v>0.94126964318275219</v>
      </c>
      <c r="H1029" s="13">
        <f t="shared" si="704"/>
        <v>0.94127056635483342</v>
      </c>
      <c r="I1029" s="13">
        <f t="shared" si="704"/>
        <v>0.94127072419012725</v>
      </c>
      <c r="J1029" s="13">
        <f t="shared" si="704"/>
        <v>2.1051408135507015</v>
      </c>
      <c r="K1029" s="13">
        <f t="shared" si="704"/>
        <v>2.4071117868740517</v>
      </c>
    </row>
    <row r="1030" spans="1:11">
      <c r="A1030" t="s">
        <v>5</v>
      </c>
      <c r="B1030" s="5" t="str">
        <f t="shared" si="671"/>
        <v>SPS1</v>
      </c>
      <c r="C1030" s="5" t="str">
        <f t="shared" si="672"/>
        <v>CH</v>
      </c>
      <c r="D1030" t="s">
        <v>771</v>
      </c>
      <c r="E1030" t="s">
        <v>8</v>
      </c>
      <c r="F1030" s="13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3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3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0.94127056635483342</v>
      </c>
      <c r="I1030" s="13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0.94127072419012725</v>
      </c>
      <c r="J1030" s="13" cm="1">
        <f t="array" ref="J1030">SUMPRODUCT(([1]OUT_FinalEnergyCons!$B$4:$B$10000="Var_Fin")*1, ("SOL"=[1]OUT_FinalEnergyCons!$C$4:$C$10000)*1,(ISNUMBER(SEARCH("RH*-SHSOLBR",[1]OUT_FinalEnergyCons!$A$4:$A$10000)))*1,[1]OUT_FinalEnergyCons!H$4:H$10000)</f>
        <v>2.1051408135507015</v>
      </c>
      <c r="K1030" s="13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2.4071117868740517</v>
      </c>
    </row>
    <row r="1031" spans="1:11">
      <c r="A1031" t="s">
        <v>5</v>
      </c>
      <c r="B1031" s="5" t="str">
        <f t="shared" si="671"/>
        <v>SPS1</v>
      </c>
      <c r="C1031" s="5" t="str">
        <f t="shared" si="672"/>
        <v>CH</v>
      </c>
      <c r="D1031" t="s">
        <v>1097</v>
      </c>
      <c r="E1031" t="s">
        <v>8</v>
      </c>
      <c r="F1031" s="13">
        <f>F1028-F1029</f>
        <v>1.721488024659851</v>
      </c>
      <c r="G1031" s="13">
        <f t="shared" ref="G1031:K1031" si="705">G1028-G1029</f>
        <v>1.9867172842731415</v>
      </c>
      <c r="H1031" s="13">
        <f t="shared" si="705"/>
        <v>1.9867173181391848</v>
      </c>
      <c r="I1031" s="13">
        <f t="shared" si="705"/>
        <v>1.9867173643900085</v>
      </c>
      <c r="J1031" s="13">
        <f t="shared" si="705"/>
        <v>2.6792702172495839</v>
      </c>
      <c r="K1031" s="13">
        <f t="shared" si="705"/>
        <v>3.0635964260616566</v>
      </c>
    </row>
    <row r="1032" spans="1:11">
      <c r="A1032" t="s">
        <v>5</v>
      </c>
      <c r="B1032" s="5" t="str">
        <f t="shared" si="671"/>
        <v>SPS1</v>
      </c>
      <c r="C1032" s="5" t="str">
        <f t="shared" si="672"/>
        <v>CH</v>
      </c>
      <c r="D1032" t="s">
        <v>772</v>
      </c>
      <c r="E1032" t="s">
        <v>8</v>
      </c>
      <c r="F1032" s="13">
        <f>F1031</f>
        <v>1.721488024659851</v>
      </c>
      <c r="G1032" s="13">
        <f t="shared" ref="G1032:K1032" si="706">G1031</f>
        <v>1.9867172842731415</v>
      </c>
      <c r="H1032" s="13">
        <f t="shared" si="706"/>
        <v>1.9867173181391848</v>
      </c>
      <c r="I1032" s="13">
        <f t="shared" si="706"/>
        <v>1.9867173643900085</v>
      </c>
      <c r="J1032" s="13">
        <f t="shared" si="706"/>
        <v>2.6792702172495839</v>
      </c>
      <c r="K1032" s="13">
        <f t="shared" si="706"/>
        <v>3.0635964260616566</v>
      </c>
    </row>
    <row r="1033" spans="1:11">
      <c r="A1033" t="s">
        <v>5</v>
      </c>
      <c r="B1033" s="5" t="str">
        <f t="shared" si="671"/>
        <v>SPS1</v>
      </c>
      <c r="C1033" s="5" t="str">
        <f t="shared" si="672"/>
        <v>CH</v>
      </c>
      <c r="D1033" t="s">
        <v>1098</v>
      </c>
      <c r="E1033" t="s">
        <v>8</v>
      </c>
      <c r="F1033" s="13">
        <f>[1]Residential!B$24</f>
        <v>0</v>
      </c>
      <c r="G1033" s="13">
        <f>[1]Residential!C$24</f>
        <v>0</v>
      </c>
      <c r="H1033" s="13">
        <f>[1]Residential!D$24</f>
        <v>1.2016150492027489E-3</v>
      </c>
      <c r="I1033" s="13">
        <f>[1]Residential!E$24</f>
        <v>7.0803190278383063E-6</v>
      </c>
      <c r="J1033" s="13">
        <f>[1]Residential!F$24</f>
        <v>9.8235099250124602E-6</v>
      </c>
      <c r="K1033" s="13">
        <f>[1]Residential!G$24</f>
        <v>0.45248837882306781</v>
      </c>
    </row>
    <row r="1034" spans="1:11">
      <c r="A1034" t="s">
        <v>5</v>
      </c>
      <c r="B1034" s="5" t="str">
        <f t="shared" si="671"/>
        <v>SPS1</v>
      </c>
      <c r="C1034" s="5" t="str">
        <f t="shared" si="672"/>
        <v>CH</v>
      </c>
      <c r="D1034" t="s">
        <v>774</v>
      </c>
      <c r="E1034" t="str">
        <f>E1033</f>
        <v>PJ/yr.</v>
      </c>
      <c r="F1034" s="13">
        <f>F1033-F1036-F1038</f>
        <v>0</v>
      </c>
      <c r="G1034" s="13">
        <f t="shared" ref="G1034:K1034" si="707">G1033-G1036-G1038</f>
        <v>0</v>
      </c>
      <c r="H1034" s="13">
        <f t="shared" si="707"/>
        <v>1.2016150492027489E-3</v>
      </c>
      <c r="I1034" s="13">
        <f t="shared" si="707"/>
        <v>7.0803190278383063E-6</v>
      </c>
      <c r="J1034" s="13">
        <f t="shared" si="707"/>
        <v>9.8235099250124602E-6</v>
      </c>
      <c r="K1034" s="13">
        <f t="shared" si="707"/>
        <v>0.45248837882306781</v>
      </c>
    </row>
    <row r="1035" spans="1:11">
      <c r="A1035" t="s">
        <v>5</v>
      </c>
      <c r="B1035" s="5" t="str">
        <f t="shared" si="671"/>
        <v>SPS1</v>
      </c>
      <c r="C1035" s="5" t="str">
        <f t="shared" si="672"/>
        <v>CH</v>
      </c>
      <c r="D1035" t="s">
        <v>773</v>
      </c>
      <c r="E1035" t="str">
        <f>E1034</f>
        <v>PJ/yr.</v>
      </c>
      <c r="F1035" s="13">
        <f>F1036+F1038</f>
        <v>0</v>
      </c>
      <c r="G1035" s="13">
        <f t="shared" ref="G1035:K1035" si="708">G1036+G1038</f>
        <v>0</v>
      </c>
      <c r="H1035" s="13">
        <f t="shared" si="708"/>
        <v>0</v>
      </c>
      <c r="I1035" s="13">
        <f t="shared" si="708"/>
        <v>0</v>
      </c>
      <c r="J1035" s="13">
        <f t="shared" si="708"/>
        <v>0</v>
      </c>
      <c r="K1035" s="13">
        <f t="shared" si="708"/>
        <v>0</v>
      </c>
    </row>
    <row r="1036" spans="1:11">
      <c r="A1036" t="s">
        <v>5</v>
      </c>
      <c r="B1036" s="5" t="str">
        <f>B1033</f>
        <v>SPS1</v>
      </c>
      <c r="C1036" s="5" t="str">
        <f>C1033</f>
        <v>CH</v>
      </c>
      <c r="D1036" t="s">
        <v>1100</v>
      </c>
      <c r="E1036" t="s">
        <v>8</v>
      </c>
      <c r="F1036" s="13">
        <f>F1037</f>
        <v>0</v>
      </c>
      <c r="G1036" s="13">
        <f t="shared" ref="G1036:K1036" si="709">G1037</f>
        <v>0</v>
      </c>
      <c r="H1036" s="13">
        <f t="shared" si="709"/>
        <v>0</v>
      </c>
      <c r="I1036" s="13">
        <f t="shared" si="709"/>
        <v>0</v>
      </c>
      <c r="J1036" s="13">
        <f t="shared" si="709"/>
        <v>0</v>
      </c>
      <c r="K1036" s="13">
        <f t="shared" si="709"/>
        <v>0</v>
      </c>
    </row>
    <row r="1037" spans="1:11">
      <c r="A1037" t="s">
        <v>5</v>
      </c>
      <c r="B1037" s="5" t="str">
        <f t="shared" si="671"/>
        <v>SPS1</v>
      </c>
      <c r="C1037" s="5" t="str">
        <f t="shared" si="672"/>
        <v>CH</v>
      </c>
      <c r="D1037" t="s">
        <v>1099</v>
      </c>
      <c r="E1037" t="s">
        <v>8</v>
      </c>
      <c r="F1037" s="13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3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3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3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3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3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1:11">
      <c r="A1038" t="s">
        <v>5</v>
      </c>
      <c r="B1038" s="5" t="str">
        <f t="shared" si="671"/>
        <v>SPS1</v>
      </c>
      <c r="C1038" s="5" t="str">
        <f t="shared" si="672"/>
        <v>CH</v>
      </c>
      <c r="D1038" t="s">
        <v>1101</v>
      </c>
      <c r="E1038" t="s">
        <v>8</v>
      </c>
      <c r="F1038" s="13">
        <f>F1039</f>
        <v>0</v>
      </c>
      <c r="G1038" s="13">
        <f t="shared" ref="G1038:K1038" si="710">G1039</f>
        <v>0</v>
      </c>
      <c r="H1038" s="13">
        <f t="shared" si="710"/>
        <v>0</v>
      </c>
      <c r="I1038" s="13">
        <f t="shared" si="710"/>
        <v>0</v>
      </c>
      <c r="J1038" s="13">
        <f t="shared" si="710"/>
        <v>0</v>
      </c>
      <c r="K1038" s="13">
        <f t="shared" si="710"/>
        <v>0</v>
      </c>
    </row>
    <row r="1039" spans="1:11">
      <c r="A1039" t="s">
        <v>5</v>
      </c>
      <c r="B1039" s="5" t="str">
        <f t="shared" si="671"/>
        <v>SPS1</v>
      </c>
      <c r="C1039" s="5" t="str">
        <f t="shared" si="672"/>
        <v>CH</v>
      </c>
      <c r="D1039" t="s">
        <v>777</v>
      </c>
      <c r="E1039" t="s">
        <v>8</v>
      </c>
      <c r="F1039" s="13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3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3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3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3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3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1:11">
      <c r="A1040" t="s">
        <v>5</v>
      </c>
      <c r="B1040" s="5" t="str">
        <f t="shared" si="671"/>
        <v>SPS1</v>
      </c>
      <c r="C1040" s="5" t="str">
        <f t="shared" si="672"/>
        <v>CH</v>
      </c>
      <c r="D1040" t="s">
        <v>1102</v>
      </c>
      <c r="E1040" t="s">
        <v>8</v>
      </c>
      <c r="F1040" s="13">
        <f>[1]Residential!B$21</f>
        <v>5.6034406187841297</v>
      </c>
      <c r="G1040" s="13">
        <f>[1]Residential!C$21</f>
        <v>9.6015379536376422</v>
      </c>
      <c r="H1040" s="13">
        <f>[1]Residential!D$21</f>
        <v>9.1587341818093186</v>
      </c>
      <c r="I1040" s="13">
        <f>[1]Residential!E$21</f>
        <v>10.414671381752196</v>
      </c>
      <c r="J1040" s="13">
        <f>[1]Residential!F$21</f>
        <v>9.5693529272301383</v>
      </c>
      <c r="K1040" s="13">
        <f>[1]Residential!G$21</f>
        <v>9.9511139483861477</v>
      </c>
    </row>
    <row r="1041" spans="1:13">
      <c r="A1041" t="s">
        <v>5</v>
      </c>
      <c r="B1041" s="5" t="str">
        <f t="shared" si="671"/>
        <v>SPS1</v>
      </c>
      <c r="C1041" s="5" t="str">
        <f t="shared" si="672"/>
        <v>CH</v>
      </c>
      <c r="D1041" t="s">
        <v>1103</v>
      </c>
      <c r="E1041" t="s">
        <v>8</v>
      </c>
      <c r="F1041" s="13">
        <f>SUM(F1042:F1044)</f>
        <v>0.13628460685576888</v>
      </c>
      <c r="G1041" s="13">
        <f t="shared" ref="G1041:K1041" si="711">SUM(G1042:G1044)</f>
        <v>3.482044113447855E-3</v>
      </c>
      <c r="H1041" s="13">
        <f t="shared" si="711"/>
        <v>4.9756223622940228E-3</v>
      </c>
      <c r="I1041" s="13">
        <f t="shared" si="711"/>
        <v>0.52915434232336467</v>
      </c>
      <c r="J1041" s="13">
        <f t="shared" si="711"/>
        <v>0.81116098341298104</v>
      </c>
      <c r="K1041" s="13">
        <f t="shared" si="711"/>
        <v>0.8376789886046031</v>
      </c>
    </row>
    <row r="1042" spans="1:13">
      <c r="A1042" t="s">
        <v>5</v>
      </c>
      <c r="B1042" s="5" t="str">
        <f t="shared" si="671"/>
        <v>SPS1</v>
      </c>
      <c r="C1042" s="5" t="str">
        <f t="shared" si="672"/>
        <v>CH</v>
      </c>
      <c r="D1042" t="s">
        <v>778</v>
      </c>
      <c r="E1042" t="s">
        <v>8</v>
      </c>
      <c r="F1042" s="13">
        <f t="shared" ref="F1042:K1043" si="712">SUM(F242,F244)</f>
        <v>0.13627108238675067</v>
      </c>
      <c r="G1042" s="13">
        <f t="shared" si="712"/>
        <v>3.4819805105003091E-3</v>
      </c>
      <c r="H1042" s="13">
        <f t="shared" si="712"/>
        <v>4.9620562964311828E-3</v>
      </c>
      <c r="I1042" s="13">
        <f t="shared" si="712"/>
        <v>0.52905511941664884</v>
      </c>
      <c r="J1042" s="13">
        <f t="shared" si="712"/>
        <v>0.81095666714603809</v>
      </c>
      <c r="K1042" s="13">
        <f t="shared" si="712"/>
        <v>0.83753171547953742</v>
      </c>
    </row>
    <row r="1043" spans="1:13">
      <c r="A1043" t="s">
        <v>5</v>
      </c>
      <c r="B1043" s="5" t="str">
        <f t="shared" si="671"/>
        <v>SPS1</v>
      </c>
      <c r="C1043" s="5" t="str">
        <f t="shared" si="672"/>
        <v>CH</v>
      </c>
      <c r="D1043" t="s">
        <v>779</v>
      </c>
      <c r="E1043" t="s">
        <v>8</v>
      </c>
      <c r="F1043" s="13">
        <f t="shared" si="712"/>
        <v>0</v>
      </c>
      <c r="G1043" s="13">
        <f t="shared" si="712"/>
        <v>0</v>
      </c>
      <c r="H1043" s="13">
        <f t="shared" si="712"/>
        <v>0</v>
      </c>
      <c r="I1043" s="13">
        <f t="shared" si="712"/>
        <v>0</v>
      </c>
      <c r="J1043" s="13">
        <f t="shared" si="712"/>
        <v>0</v>
      </c>
      <c r="K1043" s="13">
        <f t="shared" si="712"/>
        <v>0</v>
      </c>
    </row>
    <row r="1044" spans="1:13">
      <c r="A1044" t="s">
        <v>5</v>
      </c>
      <c r="B1044" s="5" t="str">
        <f t="shared" si="671"/>
        <v>SPS1</v>
      </c>
      <c r="C1044" s="5" t="str">
        <f t="shared" si="672"/>
        <v>CH</v>
      </c>
      <c r="D1044" t="s">
        <v>780</v>
      </c>
      <c r="E1044" t="s">
        <v>8</v>
      </c>
      <c r="F1044" s="13">
        <f t="shared" ref="F1044:K1044" si="713">SUM(F283,F284)</f>
        <v>1.3524469018202998E-5</v>
      </c>
      <c r="G1044" s="13">
        <f t="shared" si="713"/>
        <v>6.3602947546007123E-8</v>
      </c>
      <c r="H1044" s="13">
        <f t="shared" si="713"/>
        <v>1.3566065862839944E-5</v>
      </c>
      <c r="I1044" s="13">
        <f t="shared" si="713"/>
        <v>9.9222906715774084E-5</v>
      </c>
      <c r="J1044" s="13">
        <f t="shared" si="713"/>
        <v>2.0431626694295335E-4</v>
      </c>
      <c r="K1044" s="13">
        <f t="shared" si="713"/>
        <v>1.47273125065682E-4</v>
      </c>
    </row>
    <row r="1045" spans="1:13">
      <c r="A1045" t="s">
        <v>5</v>
      </c>
      <c r="B1045" s="5" t="str">
        <f t="shared" si="671"/>
        <v>SPS1</v>
      </c>
      <c r="C1045" s="5" t="str">
        <f t="shared" si="672"/>
        <v>CH</v>
      </c>
      <c r="D1045" t="s">
        <v>1104</v>
      </c>
      <c r="E1045" t="s">
        <v>8</v>
      </c>
      <c r="F1045" s="13">
        <f>F1040-F1041</f>
        <v>5.4671560119283606</v>
      </c>
      <c r="G1045" s="13">
        <f t="shared" ref="G1045:K1045" si="714">G1040-G1041</f>
        <v>9.5980559095241951</v>
      </c>
      <c r="H1045" s="13">
        <f t="shared" si="714"/>
        <v>9.1537585594470254</v>
      </c>
      <c r="I1045" s="13">
        <f t="shared" si="714"/>
        <v>9.8855170394288319</v>
      </c>
      <c r="J1045" s="13">
        <f t="shared" si="714"/>
        <v>8.7581919438171578</v>
      </c>
      <c r="K1045" s="13">
        <f t="shared" si="714"/>
        <v>9.1134349597815447</v>
      </c>
    </row>
    <row r="1046" spans="1:13">
      <c r="A1046" t="s">
        <v>5</v>
      </c>
      <c r="B1046" s="5" t="str">
        <f t="shared" si="671"/>
        <v>SPS1</v>
      </c>
      <c r="C1046" s="5" t="str">
        <f t="shared" si="672"/>
        <v>CH</v>
      </c>
      <c r="D1046" t="s">
        <v>1105</v>
      </c>
      <c r="E1046" t="s">
        <v>8</v>
      </c>
      <c r="F1046" s="13">
        <f>[1]Residential!B$25</f>
        <v>15.194967089499714</v>
      </c>
      <c r="G1046" s="13">
        <f>[1]Residential!C$25</f>
        <v>17.636902311351083</v>
      </c>
      <c r="H1046" s="13">
        <f>[1]Residential!D$25</f>
        <v>19.727784065244954</v>
      </c>
      <c r="I1046" s="13">
        <f>[1]Residential!E$25</f>
        <v>27.801867307876591</v>
      </c>
      <c r="J1046" s="13">
        <f>[1]Residential!F$25</f>
        <v>37.014843729232119</v>
      </c>
      <c r="K1046" s="13">
        <f>[1]Residential!G$25</f>
        <v>56.258193367838572</v>
      </c>
    </row>
    <row r="1047" spans="1:13">
      <c r="A1047" t="s">
        <v>5</v>
      </c>
      <c r="B1047" s="5" t="str">
        <f t="shared" si="671"/>
        <v>SPS1</v>
      </c>
      <c r="C1047" s="5" t="str">
        <f t="shared" si="672"/>
        <v>CH</v>
      </c>
      <c r="D1047" t="s">
        <v>1106</v>
      </c>
      <c r="E1047" t="s">
        <v>8</v>
      </c>
      <c r="F1047" s="13">
        <f>F1046-F1050</f>
        <v>13.103974450988517</v>
      </c>
      <c r="G1047" s="13">
        <f t="shared" ref="G1047:K1047" si="715">G1046-G1050</f>
        <v>15.28787798041326</v>
      </c>
      <c r="H1047" s="13">
        <f t="shared" si="715"/>
        <v>16.639476743483584</v>
      </c>
      <c r="I1047" s="13">
        <f t="shared" si="715"/>
        <v>19.150311077642598</v>
      </c>
      <c r="J1047" s="13">
        <f t="shared" si="715"/>
        <v>26.191081531662128</v>
      </c>
      <c r="K1047" s="13">
        <f t="shared" si="715"/>
        <v>43.851670906639967</v>
      </c>
      <c r="M1047" s="2"/>
    </row>
    <row r="1048" spans="1:13">
      <c r="A1048" t="s">
        <v>5</v>
      </c>
      <c r="B1048" s="5" t="str">
        <f t="shared" si="671"/>
        <v>SPS1</v>
      </c>
      <c r="C1048" s="5" t="str">
        <f t="shared" si="672"/>
        <v>CH</v>
      </c>
      <c r="D1048" t="s">
        <v>781</v>
      </c>
      <c r="E1048" t="s">
        <v>8</v>
      </c>
      <c r="F1048" s="13">
        <f>F1047-F1049</f>
        <v>13.103974450988517</v>
      </c>
      <c r="G1048" s="13">
        <f t="shared" ref="G1048:K1048" si="716">G1047-G1049</f>
        <v>15.28787798041326</v>
      </c>
      <c r="H1048" s="13">
        <f t="shared" si="716"/>
        <v>16.638728623822701</v>
      </c>
      <c r="I1048" s="13">
        <f t="shared" si="716"/>
        <v>19.149363755618939</v>
      </c>
      <c r="J1048" s="13">
        <f t="shared" si="716"/>
        <v>26.116480082460907</v>
      </c>
      <c r="K1048" s="13">
        <f t="shared" si="716"/>
        <v>43.768616419807721</v>
      </c>
    </row>
    <row r="1049" spans="1:13">
      <c r="A1049" t="s">
        <v>5</v>
      </c>
      <c r="B1049" s="5" t="str">
        <f t="shared" si="671"/>
        <v>SPS1</v>
      </c>
      <c r="C1049" s="5" t="str">
        <f t="shared" si="672"/>
        <v>CH</v>
      </c>
      <c r="D1049" t="s">
        <v>782</v>
      </c>
      <c r="E1049" t="s">
        <v>8</v>
      </c>
      <c r="F1049" s="13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3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3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7.4811966088454262E-4</v>
      </c>
      <c r="I1049" s="13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9.4732202366104655E-4</v>
      </c>
      <c r="J1049" s="13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7.4601449201220443E-2</v>
      </c>
      <c r="K1049" s="13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8.3054486832245061E-2</v>
      </c>
      <c r="M1049" s="13"/>
    </row>
    <row r="1050" spans="1:13">
      <c r="A1050" t="s">
        <v>5</v>
      </c>
      <c r="B1050" s="5" t="str">
        <f t="shared" si="671"/>
        <v>SPS1</v>
      </c>
      <c r="C1050" s="5" t="str">
        <f t="shared" si="672"/>
        <v>CH</v>
      </c>
      <c r="D1050" t="s">
        <v>1107</v>
      </c>
      <c r="E1050" t="s">
        <v>8</v>
      </c>
      <c r="F1050" s="13">
        <f>SUM(F1051:F1052)</f>
        <v>2.0909926385111977</v>
      </c>
      <c r="G1050" s="13">
        <f t="shared" ref="G1050:K1050" si="717">SUM(G1051:G1052)</f>
        <v>2.349024330937822</v>
      </c>
      <c r="H1050" s="13">
        <f t="shared" si="717"/>
        <v>3.0883073217613699</v>
      </c>
      <c r="I1050" s="13">
        <f t="shared" si="717"/>
        <v>8.6515562302339912</v>
      </c>
      <c r="J1050" s="13">
        <f t="shared" si="717"/>
        <v>10.823762197569989</v>
      </c>
      <c r="K1050" s="13">
        <f t="shared" si="717"/>
        <v>12.406522461198609</v>
      </c>
    </row>
    <row r="1051" spans="1:13">
      <c r="A1051" t="s">
        <v>5</v>
      </c>
      <c r="B1051" s="5" t="str">
        <f t="shared" si="671"/>
        <v>SPS1</v>
      </c>
      <c r="C1051" s="5" t="str">
        <f t="shared" si="672"/>
        <v>CH</v>
      </c>
      <c r="D1051" t="s">
        <v>783</v>
      </c>
      <c r="E1051" t="s">
        <v>8</v>
      </c>
      <c r="F1051" s="13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2.0909926385111977</v>
      </c>
      <c r="G1051" s="13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2.349024330937822</v>
      </c>
      <c r="H1051" s="13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3.0881836135741385</v>
      </c>
      <c r="I1051" s="13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8.651403535070699</v>
      </c>
      <c r="J1051" s="13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10.811601227114165</v>
      </c>
      <c r="K1051" s="13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12.392961859664812</v>
      </c>
    </row>
    <row r="1052" spans="1:13">
      <c r="A1052" t="s">
        <v>5</v>
      </c>
      <c r="B1052" s="5" t="str">
        <f t="shared" si="671"/>
        <v>SPS1</v>
      </c>
      <c r="C1052" s="5" t="str">
        <f t="shared" si="672"/>
        <v>CH</v>
      </c>
      <c r="D1052" t="s">
        <v>784</v>
      </c>
      <c r="E1052" t="s">
        <v>8</v>
      </c>
      <c r="F1052" s="13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3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3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1.2370818723159152E-4</v>
      </c>
      <c r="I1052" s="13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1.5269516329208556E-4</v>
      </c>
      <c r="J1052" s="13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1.216097045582303E-2</v>
      </c>
      <c r="K1052" s="13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1.3560601533796492E-2</v>
      </c>
    </row>
    <row r="1053" spans="1:13">
      <c r="A1053" t="s">
        <v>5</v>
      </c>
      <c r="B1053" s="5" t="str">
        <f t="shared" si="671"/>
        <v>SPS1</v>
      </c>
      <c r="C1053" s="5" t="str">
        <f t="shared" si="672"/>
        <v>CH</v>
      </c>
      <c r="D1053" s="1" t="s">
        <v>785</v>
      </c>
      <c r="E1053" t="s">
        <v>8</v>
      </c>
      <c r="F1053" s="16">
        <f>[1]Residential!B$245</f>
        <v>156.85165773040512</v>
      </c>
      <c r="G1053" s="16">
        <f>[1]Residential!C$245</f>
        <v>162.65648341129148</v>
      </c>
      <c r="H1053" s="16">
        <f>[1]Residential!D$245</f>
        <v>164.27703710966622</v>
      </c>
      <c r="I1053" s="16">
        <f>[1]Residential!E$245</f>
        <v>164.27037492121707</v>
      </c>
      <c r="J1053" s="16">
        <f>[1]Residential!F$245</f>
        <v>164.38763185768849</v>
      </c>
      <c r="K1053" s="16">
        <f>[1]Residential!G$245</f>
        <v>163.88868378973297</v>
      </c>
    </row>
    <row r="1054" spans="1:13">
      <c r="A1054" t="s">
        <v>5</v>
      </c>
      <c r="B1054" s="5" t="str">
        <f>B1053</f>
        <v>SPS1</v>
      </c>
      <c r="C1054" s="5" t="str">
        <f>C1053</f>
        <v>CH</v>
      </c>
      <c r="D1054" t="s">
        <v>801</v>
      </c>
      <c r="E1054" t="s">
        <v>8</v>
      </c>
      <c r="F1054" s="13">
        <f>[1]Residential!B$116</f>
        <v>129.87338211101476</v>
      </c>
      <c r="G1054" s="13">
        <f>[1]Residential!C$116</f>
        <v>136.51165737582741</v>
      </c>
      <c r="H1054" s="13">
        <f>[1]Residential!D$116</f>
        <v>138.15465852220871</v>
      </c>
      <c r="I1054" s="13">
        <f>[1]Residential!E$116</f>
        <v>138.05926580296295</v>
      </c>
      <c r="J1054" s="13">
        <f>[1]Residential!F$116</f>
        <v>137.93087445100477</v>
      </c>
      <c r="K1054" s="13">
        <f>[1]Residential!G$116</f>
        <v>137.56643446443275</v>
      </c>
    </row>
    <row r="1055" spans="1:13">
      <c r="A1055" t="s">
        <v>5</v>
      </c>
      <c r="B1055" s="5" t="str">
        <f t="shared" ref="B1055:B1105" si="718">B1054</f>
        <v>SPS1</v>
      </c>
      <c r="C1055" s="5" t="str">
        <f t="shared" ref="C1055:C1105" si="719">C1054</f>
        <v>CH</v>
      </c>
      <c r="D1055" t="s">
        <v>1183</v>
      </c>
      <c r="E1055" t="s">
        <v>8</v>
      </c>
      <c r="F1055" s="13">
        <f>SUM(F1056:F1057)</f>
        <v>27.968325424789704</v>
      </c>
      <c r="G1055" s="13">
        <f t="shared" ref="G1055:K1055" si="720">SUM(G1056:G1057)</f>
        <v>29.715928269890281</v>
      </c>
      <c r="H1055" s="13">
        <f t="shared" si="720"/>
        <v>30.62055526061997</v>
      </c>
      <c r="I1055" s="13">
        <f t="shared" si="720"/>
        <v>31.943289757467387</v>
      </c>
      <c r="J1055" s="13">
        <f t="shared" si="720"/>
        <v>37.914739761502709</v>
      </c>
      <c r="K1055" s="13">
        <f t="shared" si="720"/>
        <v>59.549900966864278</v>
      </c>
    </row>
    <row r="1056" spans="1:13">
      <c r="A1056" t="s">
        <v>5</v>
      </c>
      <c r="B1056" s="5" t="str">
        <f t="shared" si="718"/>
        <v>SPS1</v>
      </c>
      <c r="C1056" s="5" t="str">
        <f t="shared" si="719"/>
        <v>CH</v>
      </c>
      <c r="D1056" t="s">
        <v>1184</v>
      </c>
      <c r="E1056" t="s">
        <v>8</v>
      </c>
      <c r="F1056" s="13">
        <f>[1]Residential!B$102</f>
        <v>8.9079990046414892</v>
      </c>
      <c r="G1056" s="13">
        <f>[1]Residential!C$102</f>
        <v>7.6434891856670406</v>
      </c>
      <c r="H1056" s="13">
        <f>[1]Residential!D$102</f>
        <v>6.8509429408732601</v>
      </c>
      <c r="I1056" s="13">
        <f>[1]Residential!E$102</f>
        <v>5.0306704252461918</v>
      </c>
      <c r="J1056" s="13">
        <f>[1]Residential!F$102</f>
        <v>2.1254892781303618</v>
      </c>
      <c r="K1056" s="13">
        <f>[1]Residential!G$102</f>
        <v>0.68865819539872009</v>
      </c>
    </row>
    <row r="1057" spans="1:11">
      <c r="A1057" t="s">
        <v>5</v>
      </c>
      <c r="B1057" s="5" t="str">
        <f t="shared" si="718"/>
        <v>SPS1</v>
      </c>
      <c r="C1057" s="5" t="str">
        <f t="shared" si="719"/>
        <v>CH</v>
      </c>
      <c r="D1057" t="s">
        <v>1185</v>
      </c>
      <c r="E1057" t="s">
        <v>8</v>
      </c>
      <c r="F1057" s="13">
        <f>[1]Residential!B$104</f>
        <v>19.060326420148215</v>
      </c>
      <c r="G1057" s="13">
        <f>[1]Residential!C$104</f>
        <v>22.072439084223241</v>
      </c>
      <c r="H1057" s="13">
        <f>[1]Residential!D$104</f>
        <v>23.76961231974671</v>
      </c>
      <c r="I1057" s="13">
        <f>[1]Residential!E$104</f>
        <v>26.912619332221194</v>
      </c>
      <c r="J1057" s="13">
        <f>[1]Residential!F$104</f>
        <v>35.789250483372349</v>
      </c>
      <c r="K1057" s="13">
        <f>[1]Residential!G$104</f>
        <v>58.861242771465555</v>
      </c>
    </row>
    <row r="1058" spans="1:11">
      <c r="A1058" t="s">
        <v>5</v>
      </c>
      <c r="B1058" s="5" t="str">
        <f t="shared" si="718"/>
        <v>SPS1</v>
      </c>
      <c r="C1058" s="5" t="str">
        <f t="shared" si="719"/>
        <v>CH</v>
      </c>
      <c r="D1058" t="s">
        <v>1114</v>
      </c>
      <c r="E1058" t="s">
        <v>8</v>
      </c>
      <c r="F1058" s="13">
        <f>F1059</f>
        <v>45.12438581305689</v>
      </c>
      <c r="G1058" s="13">
        <f t="shared" ref="G1058:K1058" si="721">G1059</f>
        <v>41.306205641557412</v>
      </c>
      <c r="H1058" s="13">
        <f t="shared" si="721"/>
        <v>40.772894330780844</v>
      </c>
      <c r="I1058" s="13">
        <f t="shared" si="721"/>
        <v>34.505006977149478</v>
      </c>
      <c r="J1058" s="13">
        <f t="shared" si="721"/>
        <v>17.996555485386661</v>
      </c>
      <c r="K1058" s="13">
        <f t="shared" si="721"/>
        <v>0.19343185464836024</v>
      </c>
    </row>
    <row r="1059" spans="1:11">
      <c r="A1059" t="s">
        <v>5</v>
      </c>
      <c r="B1059" s="5" t="str">
        <f t="shared" si="718"/>
        <v>SPS1</v>
      </c>
      <c r="C1059" s="5" t="str">
        <f t="shared" si="719"/>
        <v>CH</v>
      </c>
      <c r="D1059" t="s">
        <v>1115</v>
      </c>
      <c r="E1059" t="s">
        <v>8</v>
      </c>
      <c r="F1059" s="13">
        <f>[1]Residential!B$105</f>
        <v>45.12438581305689</v>
      </c>
      <c r="G1059" s="13">
        <f>[1]Residential!C$105</f>
        <v>41.306205641557412</v>
      </c>
      <c r="H1059" s="13">
        <f>[1]Residential!D$105</f>
        <v>40.772894330780844</v>
      </c>
      <c r="I1059" s="13">
        <f>[1]Residential!E$105</f>
        <v>34.505006977149478</v>
      </c>
      <c r="J1059" s="13">
        <f>[1]Residential!F$105</f>
        <v>17.996555485386661</v>
      </c>
      <c r="K1059" s="13">
        <f>[1]Residential!G$105</f>
        <v>0.19343185464836024</v>
      </c>
    </row>
    <row r="1060" spans="1:11">
      <c r="A1060" t="s">
        <v>5</v>
      </c>
      <c r="B1060" s="5" t="str">
        <f t="shared" si="718"/>
        <v>SPS1</v>
      </c>
      <c r="C1060" s="5" t="str">
        <f t="shared" si="719"/>
        <v>CH</v>
      </c>
      <c r="D1060" t="s">
        <v>1116</v>
      </c>
      <c r="E1060" t="s">
        <v>8</v>
      </c>
      <c r="F1060" s="13">
        <f>SUM(F1061:F1062)</f>
        <v>36.569914563000083</v>
      </c>
      <c r="G1060" s="13">
        <f t="shared" ref="G1060:K1060" si="722">SUM(G1061:G1062)</f>
        <v>36.121964572419749</v>
      </c>
      <c r="H1060" s="13">
        <f t="shared" si="722"/>
        <v>38.326005376825727</v>
      </c>
      <c r="I1060" s="13">
        <f t="shared" si="722"/>
        <v>39.933793311437938</v>
      </c>
      <c r="J1060" s="13">
        <f t="shared" si="722"/>
        <v>32.195397805733322</v>
      </c>
      <c r="K1060" s="13">
        <f t="shared" si="722"/>
        <v>21.412159461681195</v>
      </c>
    </row>
    <row r="1061" spans="1:11">
      <c r="A1061" t="s">
        <v>5</v>
      </c>
      <c r="B1061" s="5" t="str">
        <f t="shared" si="718"/>
        <v>SPS1</v>
      </c>
      <c r="C1061" s="5" t="str">
        <f t="shared" si="719"/>
        <v>CH</v>
      </c>
      <c r="D1061" t="s">
        <v>1117</v>
      </c>
      <c r="E1061" t="s">
        <v>8</v>
      </c>
      <c r="F1061" s="13">
        <f>[1]Residential!B$106</f>
        <v>36.569914563000083</v>
      </c>
      <c r="G1061" s="13">
        <f>[1]Residential!C$106</f>
        <v>36.121964572419749</v>
      </c>
      <c r="H1061" s="13">
        <f>[1]Residential!D$106</f>
        <v>38.324510097430277</v>
      </c>
      <c r="I1061" s="13">
        <f>[1]Residential!E$106</f>
        <v>39.931969814335964</v>
      </c>
      <c r="J1061" s="13">
        <f>[1]Residential!F$106</f>
        <v>32.059647904525633</v>
      </c>
      <c r="K1061" s="13">
        <f>[1]Residential!G$106</f>
        <v>21.26712532308601</v>
      </c>
    </row>
    <row r="1062" spans="1:11">
      <c r="A1062" t="s">
        <v>5</v>
      </c>
      <c r="B1062" s="5" t="str">
        <f t="shared" si="718"/>
        <v>SPS1</v>
      </c>
      <c r="C1062" s="5" t="str">
        <f t="shared" si="719"/>
        <v>CH</v>
      </c>
      <c r="D1062" t="s">
        <v>1118</v>
      </c>
      <c r="E1062" t="s">
        <v>8</v>
      </c>
      <c r="F1062" s="13">
        <f>[1]Residential!B$107</f>
        <v>0</v>
      </c>
      <c r="G1062" s="13">
        <f>[1]Residential!C$107</f>
        <v>0</v>
      </c>
      <c r="H1062" s="13">
        <f>[1]Residential!D$107</f>
        <v>1.4952793954458197E-3</v>
      </c>
      <c r="I1062" s="13">
        <f>[1]Residential!E$107</f>
        <v>1.8234971019727333E-3</v>
      </c>
      <c r="J1062" s="13">
        <f>[1]Residential!F$107</f>
        <v>0.13574990120768557</v>
      </c>
      <c r="K1062" s="13">
        <f>[1]Residential!G$107</f>
        <v>0.14503413859518527</v>
      </c>
    </row>
    <row r="1063" spans="1:11">
      <c r="A1063" t="s">
        <v>5</v>
      </c>
      <c r="B1063" s="5" t="str">
        <f t="shared" si="718"/>
        <v>SPS1</v>
      </c>
      <c r="C1063" s="5" t="str">
        <f t="shared" si="719"/>
        <v>CH</v>
      </c>
      <c r="D1063" t="s">
        <v>1119</v>
      </c>
      <c r="E1063" t="s">
        <v>8</v>
      </c>
      <c r="F1063" s="13">
        <f>F1064</f>
        <v>7.2000012627716756E-2</v>
      </c>
      <c r="G1063" s="13">
        <f t="shared" ref="G1063:K1063" si="723">G1064</f>
        <v>7.2000003533001802E-2</v>
      </c>
      <c r="H1063" s="13">
        <f t="shared" si="723"/>
        <v>2.0842424876264509E-5</v>
      </c>
      <c r="I1063" s="13">
        <f t="shared" si="723"/>
        <v>1.102528424751542E-5</v>
      </c>
      <c r="J1063" s="13">
        <f t="shared" si="723"/>
        <v>0</v>
      </c>
      <c r="K1063" s="13">
        <f t="shared" si="723"/>
        <v>0</v>
      </c>
    </row>
    <row r="1064" spans="1:11">
      <c r="A1064" t="s">
        <v>5</v>
      </c>
      <c r="B1064" s="5" t="str">
        <f t="shared" si="718"/>
        <v>SPS1</v>
      </c>
      <c r="C1064" s="5" t="str">
        <f t="shared" si="719"/>
        <v>CH</v>
      </c>
      <c r="D1064" t="s">
        <v>1120</v>
      </c>
      <c r="E1064" t="s">
        <v>8</v>
      </c>
      <c r="F1064" s="13">
        <f>[1]Residential!B$108</f>
        <v>7.2000012627716756E-2</v>
      </c>
      <c r="G1064" s="13">
        <f>[1]Residential!C$108</f>
        <v>7.2000003533001802E-2</v>
      </c>
      <c r="H1064" s="13">
        <f>[1]Residential!D$108</f>
        <v>2.0842424876264509E-5</v>
      </c>
      <c r="I1064" s="13">
        <f>[1]Residential!E$108</f>
        <v>1.102528424751542E-5</v>
      </c>
      <c r="J1064" s="13">
        <f>[1]Residential!F$108</f>
        <v>0</v>
      </c>
      <c r="K1064" s="13">
        <f>[1]Residential!G$108</f>
        <v>0</v>
      </c>
    </row>
    <row r="1065" spans="1:11">
      <c r="A1065" t="s">
        <v>5</v>
      </c>
      <c r="B1065" s="5" t="str">
        <f t="shared" si="718"/>
        <v>SPS1</v>
      </c>
      <c r="C1065" s="5" t="str">
        <f t="shared" si="719"/>
        <v>CH</v>
      </c>
      <c r="D1065" t="s">
        <v>1121</v>
      </c>
      <c r="E1065" t="s">
        <v>8</v>
      </c>
      <c r="F1065" s="13">
        <f>SUM([1]Residential!B$109:B$110)</f>
        <v>3.8540710323604568</v>
      </c>
      <c r="G1065" s="13">
        <f>SUM([1]Residential!C$109:C$110)</f>
        <v>7.6289139783122231</v>
      </c>
      <c r="H1065" s="13">
        <f>SUM([1]Residential!D$109:D$110)</f>
        <v>7.4150035023660452</v>
      </c>
      <c r="I1065" s="13">
        <f>SUM([1]Residential!E$109:E$110)</f>
        <v>8.4416829659437607</v>
      </c>
      <c r="J1065" s="13">
        <f>SUM([1]Residential!F$109:F$110)</f>
        <v>7.7743414246161562</v>
      </c>
      <c r="K1065" s="13">
        <f>SUM([1]Residential!G$109:G$110)</f>
        <v>8.0844919781087974</v>
      </c>
    </row>
    <row r="1066" spans="1:11">
      <c r="A1066" t="s">
        <v>5</v>
      </c>
      <c r="B1066" s="5" t="str">
        <f t="shared" si="718"/>
        <v>SPS1</v>
      </c>
      <c r="C1066" s="5" t="str">
        <f t="shared" si="719"/>
        <v>CH</v>
      </c>
      <c r="D1066" t="s">
        <v>1122</v>
      </c>
      <c r="E1066" t="s">
        <v>8</v>
      </c>
      <c r="F1066" s="13">
        <f>[1]Residential!B$109</f>
        <v>7.3272035311738648E-2</v>
      </c>
      <c r="G1066" s="13">
        <f>[1]Residential!C$109</f>
        <v>3.4159449346945598E-3</v>
      </c>
      <c r="H1066" s="13">
        <f>[1]Residential!D$109</f>
        <v>4.3907363832371721E-3</v>
      </c>
      <c r="I1066" s="13">
        <f>[1]Residential!E$109</f>
        <v>0.50399910182129903</v>
      </c>
      <c r="J1066" s="13">
        <f>[1]Residential!F$109</f>
        <v>0.76746923535711065</v>
      </c>
      <c r="K1066" s="13">
        <f>[1]Residential!G$109</f>
        <v>0.76746915971655472</v>
      </c>
    </row>
    <row r="1067" spans="1:11">
      <c r="A1067" t="s">
        <v>5</v>
      </c>
      <c r="B1067" s="5" t="str">
        <f t="shared" si="718"/>
        <v>SPS1</v>
      </c>
      <c r="C1067" s="5" t="str">
        <f t="shared" si="719"/>
        <v>CH</v>
      </c>
      <c r="D1067" t="s">
        <v>1123</v>
      </c>
      <c r="E1067" t="s">
        <v>8</v>
      </c>
      <c r="F1067" s="13">
        <f>IFERROR(F$1066/F$1041,0)*F1042</f>
        <v>7.3264764018271714E-2</v>
      </c>
      <c r="G1067" s="13">
        <f t="shared" ref="G1067:K1067" si="724">IFERROR(G$1066/G$1041,0)*G1042</f>
        <v>3.4158825391132795E-3</v>
      </c>
      <c r="H1067" s="13">
        <f t="shared" si="724"/>
        <v>4.3787650126981305E-3</v>
      </c>
      <c r="I1067" s="13">
        <f t="shared" si="724"/>
        <v>0.50390459582963454</v>
      </c>
      <c r="J1067" s="13">
        <f t="shared" si="724"/>
        <v>0.7672759242236018</v>
      </c>
      <c r="K1067" s="13">
        <f t="shared" si="724"/>
        <v>0.7673342302470556</v>
      </c>
    </row>
    <row r="1068" spans="1:11">
      <c r="A1068" t="s">
        <v>5</v>
      </c>
      <c r="B1068" s="5" t="str">
        <f t="shared" si="718"/>
        <v>SPS1</v>
      </c>
      <c r="C1068" s="5" t="str">
        <f t="shared" si="719"/>
        <v>CH</v>
      </c>
      <c r="D1068" t="s">
        <v>1124</v>
      </c>
      <c r="E1068" t="s">
        <v>8</v>
      </c>
      <c r="F1068" s="13">
        <f t="shared" ref="F1068:K1068" si="725">IFERROR(F$1066/F$1041,0)*F1043</f>
        <v>0</v>
      </c>
      <c r="G1068" s="13">
        <f t="shared" si="725"/>
        <v>0</v>
      </c>
      <c r="H1068" s="13">
        <f t="shared" si="725"/>
        <v>0</v>
      </c>
      <c r="I1068" s="13">
        <f t="shared" si="725"/>
        <v>0</v>
      </c>
      <c r="J1068" s="13">
        <f t="shared" si="725"/>
        <v>0</v>
      </c>
      <c r="K1068" s="13">
        <f t="shared" si="725"/>
        <v>0</v>
      </c>
    </row>
    <row r="1069" spans="1:11">
      <c r="A1069" t="s">
        <v>5</v>
      </c>
      <c r="B1069" s="5" t="str">
        <f t="shared" si="718"/>
        <v>SPS1</v>
      </c>
      <c r="C1069" s="5" t="str">
        <f t="shared" si="719"/>
        <v>CH</v>
      </c>
      <c r="D1069" t="s">
        <v>1125</v>
      </c>
      <c r="E1069" t="s">
        <v>8</v>
      </c>
      <c r="F1069" s="13">
        <f t="shared" ref="F1069:K1069" si="726">IFERROR(F$1066/F$1041,0)*F1044</f>
        <v>7.2712934669359409E-6</v>
      </c>
      <c r="G1069" s="13">
        <f t="shared" si="726"/>
        <v>6.2395581280070544E-8</v>
      </c>
      <c r="H1069" s="13">
        <f t="shared" si="726"/>
        <v>1.1971370539041578E-5</v>
      </c>
      <c r="I1069" s="13">
        <f t="shared" si="726"/>
        <v>9.450599166450529E-5</v>
      </c>
      <c r="J1069" s="13">
        <f t="shared" si="726"/>
        <v>1.9331113350886341E-4</v>
      </c>
      <c r="K1069" s="13">
        <f t="shared" si="726"/>
        <v>1.3492946949913379E-4</v>
      </c>
    </row>
    <row r="1070" spans="1:11">
      <c r="A1070" t="s">
        <v>5</v>
      </c>
      <c r="B1070" s="5" t="str">
        <f t="shared" si="718"/>
        <v>SPS1</v>
      </c>
      <c r="C1070" s="5" t="str">
        <f t="shared" si="719"/>
        <v>CH</v>
      </c>
      <c r="D1070" t="s">
        <v>1126</v>
      </c>
      <c r="E1070" t="s">
        <v>8</v>
      </c>
      <c r="F1070" s="13">
        <f>F1065-F1066</f>
        <v>3.7807989970487181</v>
      </c>
      <c r="G1070" s="13">
        <f t="shared" ref="G1070:K1070" si="727">G1065-G1066</f>
        <v>7.6254980333775286</v>
      </c>
      <c r="H1070" s="13">
        <f t="shared" si="727"/>
        <v>7.4106127659828083</v>
      </c>
      <c r="I1070" s="13">
        <f t="shared" si="727"/>
        <v>7.9376838641224614</v>
      </c>
      <c r="J1070" s="13">
        <f t="shared" si="727"/>
        <v>7.0068721892590453</v>
      </c>
      <c r="K1070" s="13">
        <f t="shared" si="727"/>
        <v>7.3170228183922426</v>
      </c>
    </row>
    <row r="1071" spans="1:11">
      <c r="A1071" t="s">
        <v>5</v>
      </c>
      <c r="B1071" s="5" t="str">
        <f t="shared" si="718"/>
        <v>SPS1</v>
      </c>
      <c r="C1071" s="5" t="str">
        <f t="shared" si="719"/>
        <v>CH</v>
      </c>
      <c r="D1071" t="s">
        <v>1127</v>
      </c>
      <c r="E1071" t="s">
        <v>8</v>
      </c>
      <c r="F1071" s="13">
        <f>F1072</f>
        <v>9.1310717700783943</v>
      </c>
      <c r="G1071" s="13">
        <f t="shared" ref="G1071:K1071" si="728">G1072</f>
        <v>9.0348958713849736</v>
      </c>
      <c r="H1071" s="13">
        <f t="shared" si="728"/>
        <v>8.3854416914480296</v>
      </c>
      <c r="I1071" s="13">
        <f t="shared" si="728"/>
        <v>8.2681884938958472</v>
      </c>
      <c r="J1071" s="13">
        <f t="shared" si="728"/>
        <v>8.3344034968480845</v>
      </c>
      <c r="K1071" s="13">
        <f t="shared" si="728"/>
        <v>4.5838883181295795</v>
      </c>
    </row>
    <row r="1072" spans="1:11">
      <c r="A1072" t="s">
        <v>5</v>
      </c>
      <c r="B1072" s="5" t="str">
        <f t="shared" si="718"/>
        <v>SPS1</v>
      </c>
      <c r="C1072" s="5" t="str">
        <f t="shared" si="719"/>
        <v>CH</v>
      </c>
      <c r="D1072" t="s">
        <v>1128</v>
      </c>
      <c r="E1072" t="s">
        <v>8</v>
      </c>
      <c r="F1072" s="13">
        <f>[1]Residential!B$111</f>
        <v>9.1310717700783943</v>
      </c>
      <c r="G1072" s="13">
        <f>[1]Residential!C$111</f>
        <v>9.0348958713849736</v>
      </c>
      <c r="H1072" s="13">
        <f>[1]Residential!D$111</f>
        <v>8.3854416914480296</v>
      </c>
      <c r="I1072" s="13">
        <f>[1]Residential!E$111</f>
        <v>8.2681884938958472</v>
      </c>
      <c r="J1072" s="13">
        <f>[1]Residential!F$111</f>
        <v>8.3344034968480845</v>
      </c>
      <c r="K1072" s="13">
        <f>[1]Residential!G$111</f>
        <v>4.5838883181295795</v>
      </c>
    </row>
    <row r="1073" spans="1:11">
      <c r="A1073" t="s">
        <v>5</v>
      </c>
      <c r="B1073" s="5" t="str">
        <f t="shared" si="718"/>
        <v>SPS1</v>
      </c>
      <c r="C1073" s="5" t="str">
        <f t="shared" si="719"/>
        <v>CH</v>
      </c>
      <c r="D1073" t="s">
        <v>1129</v>
      </c>
      <c r="E1073" t="s">
        <v>8</v>
      </c>
      <c r="F1073" s="13">
        <f>F1074</f>
        <v>2.6968829410990436</v>
      </c>
      <c r="G1073" s="13">
        <f t="shared" ref="G1073:K1073" si="729">G1074</f>
        <v>3.1682190329416944</v>
      </c>
      <c r="H1073" s="13">
        <f t="shared" si="729"/>
        <v>3.1712705366020666</v>
      </c>
      <c r="I1073" s="13">
        <f t="shared" si="729"/>
        <v>3.3008450643699354</v>
      </c>
      <c r="J1073" s="13">
        <f t="shared" si="729"/>
        <v>3.4164999565333352</v>
      </c>
      <c r="K1073" s="13">
        <f t="shared" si="729"/>
        <v>3.6215656883001706</v>
      </c>
    </row>
    <row r="1074" spans="1:11">
      <c r="A1074" t="s">
        <v>5</v>
      </c>
      <c r="B1074" s="5" t="str">
        <f t="shared" si="718"/>
        <v>SPS1</v>
      </c>
      <c r="C1074" s="5" t="str">
        <f t="shared" si="719"/>
        <v>CH</v>
      </c>
      <c r="D1074" t="s">
        <v>1130</v>
      </c>
      <c r="E1074" t="s">
        <v>8</v>
      </c>
      <c r="F1074" s="13">
        <f>[1]Residential!B$112</f>
        <v>2.6968829410990436</v>
      </c>
      <c r="G1074" s="13">
        <f>[1]Residential!C$112</f>
        <v>3.1682190329416944</v>
      </c>
      <c r="H1074" s="13">
        <f>[1]Residential!D$112</f>
        <v>3.1712705366020666</v>
      </c>
      <c r="I1074" s="13">
        <f>[1]Residential!E$112</f>
        <v>3.3008450643699354</v>
      </c>
      <c r="J1074" s="13">
        <f>[1]Residential!F$112</f>
        <v>3.4164999565333352</v>
      </c>
      <c r="K1074" s="13">
        <f>[1]Residential!G$112</f>
        <v>3.6215656883001706</v>
      </c>
    </row>
    <row r="1075" spans="1:11">
      <c r="A1075" t="s">
        <v>5</v>
      </c>
      <c r="B1075" s="5" t="str">
        <f t="shared" si="718"/>
        <v>SPS1</v>
      </c>
      <c r="C1075" s="5" t="str">
        <f t="shared" si="719"/>
        <v>CH</v>
      </c>
      <c r="D1075" t="s">
        <v>1131</v>
      </c>
      <c r="E1075" t="s">
        <v>8</v>
      </c>
      <c r="F1075" s="13">
        <f>F1076</f>
        <v>0.78533647234855097</v>
      </c>
      <c r="G1075" s="13">
        <f t="shared" ref="G1075:K1075" si="730">G1076</f>
        <v>0.94126964318275208</v>
      </c>
      <c r="H1075" s="13">
        <f t="shared" si="730"/>
        <v>0.94127056635483342</v>
      </c>
      <c r="I1075" s="13">
        <f t="shared" si="730"/>
        <v>0.94127072419012736</v>
      </c>
      <c r="J1075" s="13">
        <f t="shared" si="730"/>
        <v>2.105140813550701</v>
      </c>
      <c r="K1075" s="13">
        <f t="shared" si="730"/>
        <v>2.4071117868740517</v>
      </c>
    </row>
    <row r="1076" spans="1:11">
      <c r="A1076" t="s">
        <v>5</v>
      </c>
      <c r="B1076" s="5" t="str">
        <f t="shared" si="718"/>
        <v>SPS1</v>
      </c>
      <c r="C1076" s="5" t="str">
        <f t="shared" si="719"/>
        <v>CH</v>
      </c>
      <c r="D1076" t="s">
        <v>1132</v>
      </c>
      <c r="E1076" t="s">
        <v>8</v>
      </c>
      <c r="F1076" s="13">
        <f>[1]Residential!B$113</f>
        <v>0.78533647234855097</v>
      </c>
      <c r="G1076" s="13">
        <f>[1]Residential!C$113</f>
        <v>0.94126964318275208</v>
      </c>
      <c r="H1076" s="13">
        <f>[1]Residential!D$113</f>
        <v>0.94127056635483342</v>
      </c>
      <c r="I1076" s="13">
        <f>[1]Residential!E$113</f>
        <v>0.94127072419012736</v>
      </c>
      <c r="J1076" s="13">
        <f>[1]Residential!F$113</f>
        <v>2.105140813550701</v>
      </c>
      <c r="K1076" s="13">
        <f>[1]Residential!G$113</f>
        <v>2.4071117868740517</v>
      </c>
    </row>
    <row r="1077" spans="1:11">
      <c r="A1077" t="s">
        <v>5</v>
      </c>
      <c r="B1077" s="5" t="str">
        <f t="shared" si="718"/>
        <v>SPS1</v>
      </c>
      <c r="C1077" s="5" t="str">
        <f t="shared" si="719"/>
        <v>CH</v>
      </c>
      <c r="D1077" t="s">
        <v>1133</v>
      </c>
      <c r="E1077" t="s">
        <v>8</v>
      </c>
      <c r="F1077" s="13">
        <f>F1078</f>
        <v>0</v>
      </c>
      <c r="G1077" s="13">
        <f t="shared" ref="G1077:K1077" si="731">G1078</f>
        <v>0</v>
      </c>
      <c r="H1077" s="13">
        <f t="shared" si="731"/>
        <v>0</v>
      </c>
      <c r="I1077" s="13">
        <f t="shared" si="731"/>
        <v>0</v>
      </c>
      <c r="J1077" s="13">
        <f t="shared" si="731"/>
        <v>0</v>
      </c>
      <c r="K1077" s="13">
        <f t="shared" si="731"/>
        <v>0</v>
      </c>
    </row>
    <row r="1078" spans="1:11">
      <c r="A1078" t="s">
        <v>5</v>
      </c>
      <c r="B1078" s="5" t="str">
        <f t="shared" si="718"/>
        <v>SPS1</v>
      </c>
      <c r="C1078" s="5" t="str">
        <f t="shared" si="719"/>
        <v>CH</v>
      </c>
      <c r="D1078" t="s">
        <v>1134</v>
      </c>
      <c r="E1078" t="s">
        <v>8</v>
      </c>
      <c r="F1078" s="13">
        <f>[1]Residential!B$114</f>
        <v>0</v>
      </c>
      <c r="G1078" s="13">
        <f>[1]Residential!C$114</f>
        <v>0</v>
      </c>
      <c r="H1078" s="13">
        <f>[1]Residential!D$114</f>
        <v>0</v>
      </c>
      <c r="I1078" s="13">
        <f>[1]Residential!E$114</f>
        <v>0</v>
      </c>
      <c r="J1078" s="13">
        <f>[1]Residential!F$114</f>
        <v>0</v>
      </c>
      <c r="K1078" s="13">
        <f>[1]Residential!G$114</f>
        <v>0</v>
      </c>
    </row>
    <row r="1079" spans="1:11">
      <c r="A1079" t="s">
        <v>5</v>
      </c>
      <c r="B1079" s="5" t="str">
        <f t="shared" si="718"/>
        <v>SPS1</v>
      </c>
      <c r="C1079" s="5" t="str">
        <f t="shared" si="719"/>
        <v>CH</v>
      </c>
      <c r="D1079" t="s">
        <v>1135</v>
      </c>
      <c r="E1079" t="s">
        <v>8</v>
      </c>
      <c r="F1079" s="13">
        <f>[1]Residential!B$10-[1]Residential!B$223</f>
        <v>3.6713940816539186</v>
      </c>
      <c r="G1079" s="13">
        <f>[1]Residential!C$10-[1]Residential!C$223</f>
        <v>8.5222603626053068</v>
      </c>
      <c r="H1079" s="13">
        <f>[1]Residential!D$10-[1]Residential!D$223</f>
        <v>8.5221964147863218</v>
      </c>
      <c r="I1079" s="13">
        <f>[1]Residential!E$10-[1]Residential!E$223</f>
        <v>10.725177483224229</v>
      </c>
      <c r="J1079" s="13">
        <f>[1]Residential!F$10-[1]Residential!F$223</f>
        <v>28.193795706833814</v>
      </c>
      <c r="K1079" s="13">
        <f>[1]Residential!G$10-[1]Residential!G$223</f>
        <v>37.713884409826306</v>
      </c>
    </row>
    <row r="1080" spans="1:11">
      <c r="A1080" t="s">
        <v>5</v>
      </c>
      <c r="B1080" s="5" t="str">
        <f t="shared" si="718"/>
        <v>SPS1</v>
      </c>
      <c r="C1080" s="5" t="str">
        <f t="shared" si="719"/>
        <v>CH</v>
      </c>
      <c r="D1080" t="s">
        <v>1136</v>
      </c>
      <c r="E1080" t="s">
        <v>8</v>
      </c>
      <c r="F1080" s="13">
        <f>[1]Residential!B$224</f>
        <v>26.978275619390377</v>
      </c>
      <c r="G1080" s="13">
        <f>[1]Residential!C$224</f>
        <v>26.144826035464103</v>
      </c>
      <c r="H1080" s="13">
        <f>[1]Residential!D$224</f>
        <v>26.122378587457504</v>
      </c>
      <c r="I1080" s="13">
        <f>[1]Residential!E$224</f>
        <v>26.211109118254154</v>
      </c>
      <c r="J1080" s="13">
        <f>[1]Residential!F$224</f>
        <v>26.4567574066837</v>
      </c>
      <c r="K1080" s="13">
        <f>[1]Residential!G$224</f>
        <v>26.322249325300213</v>
      </c>
    </row>
    <row r="1081" spans="1:11">
      <c r="A1081" t="s">
        <v>5</v>
      </c>
      <c r="B1081" s="5" t="str">
        <f t="shared" si="718"/>
        <v>SPS1</v>
      </c>
      <c r="C1081" s="5" t="str">
        <f t="shared" si="719"/>
        <v>CH</v>
      </c>
      <c r="D1081" t="s">
        <v>1186</v>
      </c>
      <c r="E1081" t="s">
        <v>8</v>
      </c>
      <c r="F1081" s="13">
        <f>SUM(F1082:F1083)</f>
        <v>9.8845842336913385</v>
      </c>
      <c r="G1081" s="13">
        <f t="shared" ref="G1081:K1081" si="732">SUM(G1082:G1083)</f>
        <v>10.604164429292158</v>
      </c>
      <c r="H1081" s="13">
        <f t="shared" si="732"/>
        <v>10.635623890357714</v>
      </c>
      <c r="I1081" s="13">
        <f t="shared" si="732"/>
        <v>17.17248452130287</v>
      </c>
      <c r="J1081" s="13">
        <f t="shared" si="732"/>
        <v>17.814894710739082</v>
      </c>
      <c r="K1081" s="13">
        <f t="shared" si="732"/>
        <v>18.765000385730463</v>
      </c>
    </row>
    <row r="1082" spans="1:11">
      <c r="A1082" t="s">
        <v>5</v>
      </c>
      <c r="B1082" s="5" t="str">
        <f t="shared" si="718"/>
        <v>SPS1</v>
      </c>
      <c r="C1082" s="5" t="str">
        <f t="shared" si="719"/>
        <v>CH</v>
      </c>
      <c r="D1082" t="s">
        <v>1187</v>
      </c>
      <c r="E1082" t="s">
        <v>8</v>
      </c>
      <c r="F1082" s="13">
        <f>[1]Residential!B$231-F1056</f>
        <v>6.6446945410531093</v>
      </c>
      <c r="G1082" s="13">
        <f>[1]Residential!C$231-G1056</f>
        <v>6.9687083727585977</v>
      </c>
      <c r="H1082" s="13">
        <f>[1]Residential!D$231-H1056</f>
        <v>5.8645064274243701</v>
      </c>
      <c r="I1082" s="13">
        <f>[1]Residential!E$231-I1056</f>
        <v>3.8446466429507113</v>
      </c>
      <c r="J1082" s="13">
        <f>[1]Residential!F$231-J1056</f>
        <v>1.6243874004835361</v>
      </c>
      <c r="K1082" s="13">
        <f>[1]Residential!G$231-K1056</f>
        <v>0.52630179980865366</v>
      </c>
    </row>
    <row r="1083" spans="1:11">
      <c r="A1083" t="s">
        <v>5</v>
      </c>
      <c r="B1083" s="5" t="str">
        <f t="shared" si="718"/>
        <v>SPS1</v>
      </c>
      <c r="C1083" s="5" t="str">
        <f t="shared" si="719"/>
        <v>CH</v>
      </c>
      <c r="D1083" t="s">
        <v>1188</v>
      </c>
      <c r="E1083" t="s">
        <v>8</v>
      </c>
      <c r="F1083" s="13">
        <f>[1]Residential!B$233-F1057</f>
        <v>3.2398896926382292</v>
      </c>
      <c r="G1083" s="13">
        <f>[1]Residential!C$233-G1057</f>
        <v>3.6354560565335596</v>
      </c>
      <c r="H1083" s="13">
        <f>[1]Residential!D$233-H1057</f>
        <v>4.7711174629333435</v>
      </c>
      <c r="I1083" s="13">
        <f>[1]Residential!E$233-I1057</f>
        <v>13.32783787835216</v>
      </c>
      <c r="J1083" s="13">
        <f>[1]Residential!F$233-J1057</f>
        <v>16.190507310255548</v>
      </c>
      <c r="K1083" s="13">
        <f>[1]Residential!G$233-K1057</f>
        <v>18.23869858592181</v>
      </c>
    </row>
    <row r="1084" spans="1:11">
      <c r="A1084" t="s">
        <v>5</v>
      </c>
      <c r="B1084" s="5" t="str">
        <f t="shared" si="718"/>
        <v>SPS1</v>
      </c>
      <c r="C1084" s="5" t="str">
        <f t="shared" si="719"/>
        <v>CH</v>
      </c>
      <c r="D1084" t="s">
        <v>1137</v>
      </c>
      <c r="E1084" t="s">
        <v>8</v>
      </c>
      <c r="F1084" s="13">
        <f>F1085</f>
        <v>6.9844555303072298</v>
      </c>
      <c r="G1084" s="13">
        <f t="shared" ref="G1084:K1084" si="733">G1085</f>
        <v>6.3978381922256844</v>
      </c>
      <c r="H1084" s="13">
        <f t="shared" si="733"/>
        <v>5.3562566635680184</v>
      </c>
      <c r="I1084" s="13">
        <f t="shared" si="733"/>
        <v>2.4067636978486462E-5</v>
      </c>
      <c r="J1084" s="13">
        <f t="shared" si="733"/>
        <v>7.0827241813731234E-6</v>
      </c>
      <c r="K1084" s="13">
        <f t="shared" si="733"/>
        <v>1.6987616204000577E-6</v>
      </c>
    </row>
    <row r="1085" spans="1:11">
      <c r="A1085" t="s">
        <v>5</v>
      </c>
      <c r="B1085" s="5" t="str">
        <f t="shared" si="718"/>
        <v>SPS1</v>
      </c>
      <c r="C1085" s="5" t="str">
        <f t="shared" si="719"/>
        <v>CH</v>
      </c>
      <c r="D1085" t="s">
        <v>1138</v>
      </c>
      <c r="E1085" t="s">
        <v>8</v>
      </c>
      <c r="F1085" s="13">
        <f>[1]Residential!B$234-F1059</f>
        <v>6.9844555303072298</v>
      </c>
      <c r="G1085" s="13">
        <f>[1]Residential!C$234-G1059</f>
        <v>6.3978381922256844</v>
      </c>
      <c r="H1085" s="13">
        <f>[1]Residential!D$234-H1059</f>
        <v>5.3562566635680184</v>
      </c>
      <c r="I1085" s="13">
        <f>[1]Residential!E$234-I1059</f>
        <v>2.4067636978486462E-5</v>
      </c>
      <c r="J1085" s="13">
        <f>[1]Residential!F$234-J1059</f>
        <v>7.0827241813731234E-6</v>
      </c>
      <c r="K1085" s="13">
        <f>[1]Residential!G$234-K1059</f>
        <v>1.6987616204000577E-6</v>
      </c>
    </row>
    <row r="1086" spans="1:11">
      <c r="A1086" t="s">
        <v>5</v>
      </c>
      <c r="B1086" s="5" t="str">
        <f t="shared" si="718"/>
        <v>SPS1</v>
      </c>
      <c r="C1086" s="5" t="str">
        <f t="shared" si="719"/>
        <v>CH</v>
      </c>
      <c r="D1086" t="s">
        <v>1139</v>
      </c>
      <c r="E1086" t="s">
        <v>8</v>
      </c>
      <c r="F1086" s="13">
        <f>SUM(F1087:F1088)</f>
        <v>6.380448657076677</v>
      </c>
      <c r="G1086" s="13">
        <f t="shared" ref="G1086:K1086" si="734">SUM(G1087:G1088)</f>
        <v>4.9006544783601385</v>
      </c>
      <c r="H1086" s="13">
        <f t="shared" si="734"/>
        <v>6.3806748900471018</v>
      </c>
      <c r="I1086" s="13">
        <f t="shared" si="734"/>
        <v>5.1092004555165991</v>
      </c>
      <c r="J1086" s="13">
        <f t="shared" si="734"/>
        <v>4.1289092833674035</v>
      </c>
      <c r="K1086" s="13">
        <f t="shared" si="734"/>
        <v>2.7499940220133783</v>
      </c>
    </row>
    <row r="1087" spans="1:11">
      <c r="A1087" t="s">
        <v>5</v>
      </c>
      <c r="B1087" s="5" t="str">
        <f t="shared" si="718"/>
        <v>SPS1</v>
      </c>
      <c r="C1087" s="5" t="str">
        <f t="shared" si="719"/>
        <v>CH</v>
      </c>
      <c r="D1087" t="s">
        <v>1140</v>
      </c>
      <c r="E1087" t="s">
        <v>8</v>
      </c>
      <c r="F1087" s="13">
        <f>[1]Residential!B$235-F1061</f>
        <v>6.380448657076677</v>
      </c>
      <c r="G1087" s="13">
        <f>[1]Residential!C$235-G1061</f>
        <v>4.9006544783601385</v>
      </c>
      <c r="H1087" s="13">
        <f>[1]Residential!D$235-H1061</f>
        <v>6.3803747079836484</v>
      </c>
      <c r="I1087" s="13">
        <f>[1]Residential!E$235-I1061</f>
        <v>5.1088326967430362</v>
      </c>
      <c r="J1087" s="13">
        <f>[1]Residential!F$235-J1061</f>
        <v>4.1016602602368621</v>
      </c>
      <c r="K1087" s="13">
        <f>[1]Residential!G$235-K1061</f>
        <v>2.7208822719316501</v>
      </c>
    </row>
    <row r="1088" spans="1:11">
      <c r="A1088" t="s">
        <v>5</v>
      </c>
      <c r="B1088" s="5" t="str">
        <f t="shared" si="718"/>
        <v>SPS1</v>
      </c>
      <c r="C1088" s="5" t="str">
        <f t="shared" si="719"/>
        <v>CH</v>
      </c>
      <c r="D1088" t="s">
        <v>1141</v>
      </c>
      <c r="E1088" t="s">
        <v>8</v>
      </c>
      <c r="F1088" s="13">
        <f>[1]Residential!B$236-F1062</f>
        <v>0</v>
      </c>
      <c r="G1088" s="13">
        <f>[1]Residential!C$236-G1062</f>
        <v>0</v>
      </c>
      <c r="H1088" s="13">
        <f>[1]Residential!D$236-H1062</f>
        <v>3.001820634535475E-4</v>
      </c>
      <c r="I1088" s="13">
        <f>[1]Residential!E$236-I1062</f>
        <v>3.6775877356262881E-4</v>
      </c>
      <c r="J1088" s="13">
        <f>[1]Residential!F$236-J1062</f>
        <v>2.7249023130541422E-2</v>
      </c>
      <c r="K1088" s="13">
        <f>[1]Residential!G$236-K1062</f>
        <v>2.9111750081728227E-2</v>
      </c>
    </row>
    <row r="1089" spans="1:11">
      <c r="A1089" t="s">
        <v>5</v>
      </c>
      <c r="B1089" s="5" t="str">
        <f t="shared" si="718"/>
        <v>SPS1</v>
      </c>
      <c r="C1089" s="5" t="str">
        <f t="shared" si="719"/>
        <v>CH</v>
      </c>
      <c r="D1089" t="s">
        <v>1142</v>
      </c>
      <c r="E1089" t="s">
        <v>8</v>
      </c>
      <c r="F1089" s="13">
        <v>0</v>
      </c>
      <c r="G1089" s="13">
        <v>0</v>
      </c>
      <c r="H1089" s="13">
        <v>0</v>
      </c>
      <c r="I1089" s="13">
        <v>0</v>
      </c>
      <c r="J1089" s="13">
        <v>0</v>
      </c>
      <c r="K1089" s="13">
        <v>0</v>
      </c>
    </row>
    <row r="1090" spans="1:11">
      <c r="A1090" t="s">
        <v>5</v>
      </c>
      <c r="B1090" s="5" t="str">
        <f t="shared" si="718"/>
        <v>SPS1</v>
      </c>
      <c r="C1090" s="5" t="str">
        <f t="shared" si="719"/>
        <v>CH</v>
      </c>
      <c r="D1090" t="s">
        <v>1143</v>
      </c>
      <c r="E1090" t="s">
        <v>8</v>
      </c>
      <c r="F1090" s="13">
        <v>0</v>
      </c>
      <c r="G1090" s="13">
        <v>0</v>
      </c>
      <c r="H1090" s="13">
        <v>0</v>
      </c>
      <c r="I1090" s="13">
        <v>0</v>
      </c>
      <c r="J1090" s="13">
        <v>0</v>
      </c>
      <c r="K1090" s="13">
        <v>0</v>
      </c>
    </row>
    <row r="1091" spans="1:11">
      <c r="A1091" t="s">
        <v>5</v>
      </c>
      <c r="B1091" s="5" t="str">
        <f t="shared" si="718"/>
        <v>SPS1</v>
      </c>
      <c r="C1091" s="5" t="str">
        <f t="shared" si="719"/>
        <v>CH</v>
      </c>
      <c r="D1091" t="s">
        <v>1144</v>
      </c>
      <c r="E1091" t="s">
        <v>8</v>
      </c>
      <c r="F1091" s="13">
        <f>SUM(F1092,F1096)</f>
        <v>1.3170384735167568</v>
      </c>
      <c r="G1091" s="13">
        <f t="shared" ref="G1091:K1091" si="735">SUM(G1092,G1096)</f>
        <v>1.4633755763240128</v>
      </c>
      <c r="H1091" s="13">
        <f t="shared" si="735"/>
        <v>1.2933445319793109</v>
      </c>
      <c r="I1091" s="13">
        <f t="shared" si="735"/>
        <v>1.4724207349019292</v>
      </c>
      <c r="J1091" s="13">
        <f t="shared" si="735"/>
        <v>1.3560214130706407</v>
      </c>
      <c r="K1091" s="13">
        <f t="shared" si="735"/>
        <v>1.4101187437644991</v>
      </c>
    </row>
    <row r="1092" spans="1:11">
      <c r="A1092" t="s">
        <v>5</v>
      </c>
      <c r="B1092" s="5" t="str">
        <f t="shared" si="718"/>
        <v>SPS1</v>
      </c>
      <c r="C1092" s="5" t="str">
        <f t="shared" si="719"/>
        <v>CH</v>
      </c>
      <c r="D1092" t="s">
        <v>1145</v>
      </c>
      <c r="E1092" t="s">
        <v>8</v>
      </c>
      <c r="F1092" s="13">
        <f>[1]Residential!B$238-F1066</f>
        <v>2.5039001286734114E-2</v>
      </c>
      <c r="G1092" s="13">
        <f>[1]Residential!C$238-G1066</f>
        <v>6.5524534707175333E-4</v>
      </c>
      <c r="H1092" s="13">
        <f>[1]Residential!D$238-H1066</f>
        <v>7.6584385844327522E-4</v>
      </c>
      <c r="I1092" s="13">
        <f>[1]Residential!E$238-I1066</f>
        <v>8.7908860222241647E-2</v>
      </c>
      <c r="J1092" s="13">
        <f>[1]Residential!F$238-J1066</f>
        <v>0.13386403557245052</v>
      </c>
      <c r="K1092" s="13">
        <f>[1]Residential!G$238-K1066</f>
        <v>0.13386402637394512</v>
      </c>
    </row>
    <row r="1093" spans="1:11">
      <c r="A1093" t="s">
        <v>5</v>
      </c>
      <c r="B1093" s="5" t="str">
        <f t="shared" si="718"/>
        <v>SPS1</v>
      </c>
      <c r="C1093" s="5" t="str">
        <f t="shared" si="719"/>
        <v>CH</v>
      </c>
      <c r="D1093" t="s">
        <v>1146</v>
      </c>
      <c r="E1093" t="s">
        <v>8</v>
      </c>
      <c r="F1093" s="13">
        <f>IFERROR(F$1092/F$1041,0)*F1042</f>
        <v>2.5036516492559911E-2</v>
      </c>
      <c r="G1093" s="13">
        <f t="shared" ref="G1093:K1095" si="736">IFERROR(G$1092/G$1041,0)*G1042</f>
        <v>6.5523337837345948E-4</v>
      </c>
      <c r="H1093" s="13">
        <f t="shared" si="736"/>
        <v>7.6375578031599896E-4</v>
      </c>
      <c r="I1093" s="13">
        <f t="shared" si="736"/>
        <v>8.7892376236493694E-2</v>
      </c>
      <c r="J1093" s="13">
        <f t="shared" si="736"/>
        <v>0.13383031772779902</v>
      </c>
      <c r="K1093" s="13">
        <f t="shared" si="736"/>
        <v>0.13384049161448935</v>
      </c>
    </row>
    <row r="1094" spans="1:11">
      <c r="A1094" t="s">
        <v>5</v>
      </c>
      <c r="B1094" s="5" t="str">
        <f t="shared" si="718"/>
        <v>SPS1</v>
      </c>
      <c r="C1094" s="5" t="str">
        <f t="shared" si="719"/>
        <v>CH</v>
      </c>
      <c r="D1094" t="s">
        <v>1147</v>
      </c>
      <c r="E1094" t="s">
        <v>8</v>
      </c>
      <c r="F1094" s="13">
        <f>IFERROR(F$1092/F$1041,0)*F1043</f>
        <v>0</v>
      </c>
      <c r="G1094" s="13">
        <f t="shared" si="736"/>
        <v>0</v>
      </c>
      <c r="H1094" s="13">
        <f t="shared" si="736"/>
        <v>0</v>
      </c>
      <c r="I1094" s="13">
        <f t="shared" si="736"/>
        <v>0</v>
      </c>
      <c r="J1094" s="13">
        <f t="shared" si="736"/>
        <v>0</v>
      </c>
      <c r="K1094" s="13">
        <f t="shared" si="736"/>
        <v>0</v>
      </c>
    </row>
    <row r="1095" spans="1:11">
      <c r="A1095" t="s">
        <v>5</v>
      </c>
      <c r="B1095" s="5" t="str">
        <f t="shared" si="718"/>
        <v>SPS1</v>
      </c>
      <c r="C1095" s="5" t="str">
        <f t="shared" si="719"/>
        <v>CH</v>
      </c>
      <c r="D1095" t="s">
        <v>1148</v>
      </c>
      <c r="E1095" t="s">
        <v>8</v>
      </c>
      <c r="F1095" s="13">
        <f>IFERROR(F$1092/F$1041,0)*F1044</f>
        <v>2.4847941742060803E-6</v>
      </c>
      <c r="G1095" s="13">
        <f t="shared" si="736"/>
        <v>1.1968698293802952E-8</v>
      </c>
      <c r="H1095" s="13">
        <f t="shared" si="736"/>
        <v>2.0880781272762919E-6</v>
      </c>
      <c r="I1095" s="13">
        <f t="shared" si="736"/>
        <v>1.6483985747944911E-5</v>
      </c>
      <c r="J1095" s="13">
        <f t="shared" si="736"/>
        <v>3.3717844651506096E-5</v>
      </c>
      <c r="K1095" s="13">
        <f t="shared" si="736"/>
        <v>2.3534759455774465E-5</v>
      </c>
    </row>
    <row r="1096" spans="1:11">
      <c r="A1096" t="s">
        <v>5</v>
      </c>
      <c r="B1096" s="5" t="str">
        <f t="shared" si="718"/>
        <v>SPS1</v>
      </c>
      <c r="C1096" s="5" t="str">
        <f t="shared" si="719"/>
        <v>CH</v>
      </c>
      <c r="D1096" t="s">
        <v>1149</v>
      </c>
      <c r="E1096" t="s">
        <v>8</v>
      </c>
      <c r="F1096" s="13">
        <f>[1]Residential!B$239-F1070</f>
        <v>1.2919994722300228</v>
      </c>
      <c r="G1096" s="13">
        <f>[1]Residential!C$239-G1070</f>
        <v>1.462720330976941</v>
      </c>
      <c r="H1096" s="13">
        <f>[1]Residential!D$239-H1070</f>
        <v>1.2925786881208676</v>
      </c>
      <c r="I1096" s="13">
        <f>[1]Residential!E$239-I1070</f>
        <v>1.3845118746796876</v>
      </c>
      <c r="J1096" s="13">
        <f>[1]Residential!F$239-J1070</f>
        <v>1.2221573774981902</v>
      </c>
      <c r="K1096" s="13">
        <f>[1]Residential!G$239-K1070</f>
        <v>1.2762547173905539</v>
      </c>
    </row>
    <row r="1097" spans="1:11">
      <c r="A1097" t="s">
        <v>5</v>
      </c>
      <c r="B1097" s="5" t="str">
        <f t="shared" si="718"/>
        <v>SPS1</v>
      </c>
      <c r="C1097" s="5" t="str">
        <f t="shared" si="719"/>
        <v>CH</v>
      </c>
      <c r="D1097" t="s">
        <v>1150</v>
      </c>
      <c r="E1097" t="s">
        <v>8</v>
      </c>
      <c r="F1097" s="13">
        <f>F1098</f>
        <v>0.52046945369871622</v>
      </c>
      <c r="G1097" s="13">
        <f t="shared" ref="G1097:K1097" si="737">G1098</f>
        <v>0.59724017464104406</v>
      </c>
      <c r="H1097" s="13">
        <f t="shared" si="737"/>
        <v>0.34085431464173865</v>
      </c>
      <c r="I1097" s="13">
        <f t="shared" si="737"/>
        <v>0.33608809944732521</v>
      </c>
      <c r="J1097" s="13">
        <f t="shared" si="737"/>
        <v>0.33877964060664389</v>
      </c>
      <c r="K1097" s="13">
        <f t="shared" si="737"/>
        <v>0.18632742768744048</v>
      </c>
    </row>
    <row r="1098" spans="1:11">
      <c r="A1098" t="s">
        <v>5</v>
      </c>
      <c r="B1098" s="5" t="str">
        <f t="shared" si="718"/>
        <v>SPS1</v>
      </c>
      <c r="C1098" s="5" t="str">
        <f t="shared" si="719"/>
        <v>CH</v>
      </c>
      <c r="D1098" t="s">
        <v>1151</v>
      </c>
      <c r="E1098" t="s">
        <v>8</v>
      </c>
      <c r="F1098" s="13">
        <f>[1]Residential!B$240-F1072</f>
        <v>0.52046945369871622</v>
      </c>
      <c r="G1098" s="13">
        <f>[1]Residential!C$240-G1072</f>
        <v>0.59724017464104406</v>
      </c>
      <c r="H1098" s="13">
        <f>[1]Residential!D$240-H1072</f>
        <v>0.34085431464173865</v>
      </c>
      <c r="I1098" s="13">
        <f>[1]Residential!E$240-I1072</f>
        <v>0.33608809944732521</v>
      </c>
      <c r="J1098" s="13">
        <f>[1]Residential!F$240-J1072</f>
        <v>0.33877964060664389</v>
      </c>
      <c r="K1098" s="13">
        <f>[1]Residential!G$240-K1072</f>
        <v>0.18632742768744048</v>
      </c>
    </row>
    <row r="1099" spans="1:11">
      <c r="A1099" t="s">
        <v>5</v>
      </c>
      <c r="B1099" s="5" t="str">
        <f t="shared" si="718"/>
        <v>SPS1</v>
      </c>
      <c r="C1099" s="5" t="str">
        <f t="shared" si="719"/>
        <v>CH</v>
      </c>
      <c r="D1099" t="s">
        <v>1152</v>
      </c>
      <c r="E1099" t="s">
        <v>8</v>
      </c>
      <c r="F1099" s="13">
        <f>F1100</f>
        <v>0.16979124643980281</v>
      </c>
      <c r="G1099" s="13">
        <f t="shared" ref="G1099" si="738">G1100</f>
        <v>0.1948359003479232</v>
      </c>
      <c r="H1099" s="13">
        <f t="shared" ref="H1099" si="739">H1100</f>
        <v>0.12890697872443546</v>
      </c>
      <c r="I1099" s="13">
        <f t="shared" ref="I1099" si="740">I1100</f>
        <v>0.13417387505845291</v>
      </c>
      <c r="J1099" s="13">
        <f t="shared" ref="J1099" si="741">J1100</f>
        <v>0.13887505892616714</v>
      </c>
      <c r="K1099" s="13">
        <f t="shared" ref="K1099" si="742">K1100</f>
        <v>0.1472106212811588</v>
      </c>
    </row>
    <row r="1100" spans="1:11">
      <c r="A1100" t="s">
        <v>5</v>
      </c>
      <c r="B1100" s="5" t="str">
        <f t="shared" si="718"/>
        <v>SPS1</v>
      </c>
      <c r="C1100" s="5" t="str">
        <f t="shared" si="719"/>
        <v>CH</v>
      </c>
      <c r="D1100" t="s">
        <v>1153</v>
      </c>
      <c r="E1100" t="s">
        <v>8</v>
      </c>
      <c r="F1100" s="13">
        <f>[1]Residential!B$241-F1074</f>
        <v>0.16979124643980281</v>
      </c>
      <c r="G1100" s="13">
        <f>[1]Residential!C$241-G1074</f>
        <v>0.1948359003479232</v>
      </c>
      <c r="H1100" s="13">
        <f>[1]Residential!D$241-H1074</f>
        <v>0.12890697872443546</v>
      </c>
      <c r="I1100" s="13">
        <f>[1]Residential!E$241-I1074</f>
        <v>0.13417387505845291</v>
      </c>
      <c r="J1100" s="13">
        <f>[1]Residential!F$241-J1074</f>
        <v>0.13887505892616714</v>
      </c>
      <c r="K1100" s="13">
        <f>[1]Residential!G$241-K1074</f>
        <v>0.1472106212811588</v>
      </c>
    </row>
    <row r="1101" spans="1:11">
      <c r="A1101" t="s">
        <v>5</v>
      </c>
      <c r="B1101" s="5" t="str">
        <f t="shared" si="718"/>
        <v>SPS1</v>
      </c>
      <c r="C1101" s="5" t="str">
        <f t="shared" si="719"/>
        <v>CH</v>
      </c>
      <c r="D1101" t="s">
        <v>1154</v>
      </c>
      <c r="E1101" t="s">
        <v>8</v>
      </c>
      <c r="F1101" s="13">
        <f>F1102</f>
        <v>1.721488024659851</v>
      </c>
      <c r="G1101" s="13">
        <f t="shared" ref="G1101" si="743">G1102</f>
        <v>1.9867172842731415</v>
      </c>
      <c r="H1101" s="13">
        <f t="shared" ref="H1101" si="744">H1102</f>
        <v>1.9867173181391848</v>
      </c>
      <c r="I1101" s="13">
        <f t="shared" ref="I1101" si="745">I1102</f>
        <v>1.9867173643900085</v>
      </c>
      <c r="J1101" s="13">
        <f t="shared" ref="J1101" si="746">J1102</f>
        <v>2.6792702172495844</v>
      </c>
      <c r="K1101" s="13">
        <f t="shared" ref="K1101" si="747">K1102</f>
        <v>3.0635964260616566</v>
      </c>
    </row>
    <row r="1102" spans="1:11">
      <c r="A1102" t="s">
        <v>5</v>
      </c>
      <c r="B1102" s="5" t="str">
        <f t="shared" si="718"/>
        <v>SPS1</v>
      </c>
      <c r="C1102" s="5" t="str">
        <f t="shared" si="719"/>
        <v>CH</v>
      </c>
      <c r="D1102" t="s">
        <v>1155</v>
      </c>
      <c r="E1102" t="s">
        <v>8</v>
      </c>
      <c r="F1102" s="13">
        <f>[1]Residential!B$242-F1076</f>
        <v>1.721488024659851</v>
      </c>
      <c r="G1102" s="13">
        <f>[1]Residential!C$242-G1076</f>
        <v>1.9867172842731415</v>
      </c>
      <c r="H1102" s="13">
        <f>[1]Residential!D$242-H1076</f>
        <v>1.9867173181391848</v>
      </c>
      <c r="I1102" s="13">
        <f>[1]Residential!E$242-I1076</f>
        <v>1.9867173643900085</v>
      </c>
      <c r="J1102" s="13">
        <f>[1]Residential!F$242-J1076</f>
        <v>2.6792702172495844</v>
      </c>
      <c r="K1102" s="13">
        <f>[1]Residential!G$242-K1076</f>
        <v>3.0635964260616566</v>
      </c>
    </row>
    <row r="1103" spans="1:11">
      <c r="A1103" t="s">
        <v>5</v>
      </c>
      <c r="B1103" s="5" t="str">
        <f t="shared" si="718"/>
        <v>SPS1</v>
      </c>
      <c r="C1103" s="5" t="str">
        <f t="shared" si="719"/>
        <v>CH</v>
      </c>
      <c r="D1103" t="s">
        <v>1156</v>
      </c>
      <c r="E1103" t="s">
        <v>8</v>
      </c>
      <c r="F1103" s="13">
        <f>F1104</f>
        <v>0</v>
      </c>
      <c r="G1103" s="13">
        <f t="shared" ref="G1103" si="748">G1104</f>
        <v>0</v>
      </c>
      <c r="H1103" s="13">
        <f t="shared" ref="H1103" si="749">H1104</f>
        <v>0</v>
      </c>
      <c r="I1103" s="13">
        <f t="shared" ref="I1103" si="750">I1104</f>
        <v>0</v>
      </c>
      <c r="J1103" s="13">
        <f t="shared" ref="J1103" si="751">J1104</f>
        <v>0</v>
      </c>
      <c r="K1103" s="13">
        <f t="shared" ref="K1103" si="752">K1104</f>
        <v>0</v>
      </c>
    </row>
    <row r="1104" spans="1:11">
      <c r="A1104" t="s">
        <v>5</v>
      </c>
      <c r="B1104" s="5" t="str">
        <f t="shared" si="718"/>
        <v>SPS1</v>
      </c>
      <c r="C1104" s="5" t="str">
        <f t="shared" si="719"/>
        <v>CH</v>
      </c>
      <c r="D1104" t="s">
        <v>1157</v>
      </c>
      <c r="E1104" t="s">
        <v>8</v>
      </c>
      <c r="F1104" s="13">
        <f>[1]Residential!B$243-F1078</f>
        <v>0</v>
      </c>
      <c r="G1104" s="13">
        <f>[1]Residential!C$243-G1078</f>
        <v>0</v>
      </c>
      <c r="H1104" s="13">
        <f>[1]Residential!D$243-H1078</f>
        <v>0</v>
      </c>
      <c r="I1104" s="13">
        <f>[1]Residential!E$243-I1078</f>
        <v>0</v>
      </c>
      <c r="J1104" s="13">
        <f>[1]Residential!F$243-J1078</f>
        <v>0</v>
      </c>
      <c r="K1104" s="13">
        <f>[1]Residential!G$243-K1078</f>
        <v>0</v>
      </c>
    </row>
    <row r="1105" spans="1:11">
      <c r="A1105" t="s">
        <v>5</v>
      </c>
      <c r="B1105" s="5" t="str">
        <f t="shared" si="718"/>
        <v>SPS1</v>
      </c>
      <c r="C1105" s="5" t="str">
        <f t="shared" si="719"/>
        <v>CH</v>
      </c>
      <c r="D1105" t="s">
        <v>1158</v>
      </c>
      <c r="E1105" t="s">
        <v>8</v>
      </c>
      <c r="F1105" s="13">
        <f>[1]Residential!B$244-F1079</f>
        <v>0</v>
      </c>
      <c r="G1105" s="13">
        <f>[1]Residential!C$244-G1079</f>
        <v>0</v>
      </c>
      <c r="H1105" s="13">
        <f>[1]Residential!D$244-H1079</f>
        <v>0</v>
      </c>
      <c r="I1105" s="13">
        <f>[1]Residential!E$244-I1079</f>
        <v>0</v>
      </c>
      <c r="J1105" s="13">
        <f>[1]Residential!F$244-J1079</f>
        <v>0</v>
      </c>
      <c r="K1105" s="13">
        <f>[1]Residential!G$244-K1079</f>
        <v>0</v>
      </c>
    </row>
    <row r="1106" spans="1:11">
      <c r="A1106" t="s">
        <v>5</v>
      </c>
      <c r="B1106" s="5" t="str">
        <f t="shared" ref="B1106:B1133" si="753">B1105</f>
        <v>SPS1</v>
      </c>
      <c r="C1106" s="5" t="str">
        <f t="shared" ref="C1106:C1133" si="754">C1105</f>
        <v>CH</v>
      </c>
      <c r="D1106" s="1" t="s">
        <v>1159</v>
      </c>
      <c r="E1106" s="1" t="s">
        <v>242</v>
      </c>
      <c r="F1106" s="13" t="s">
        <v>295</v>
      </c>
      <c r="G1106" s="13" t="s">
        <v>295</v>
      </c>
      <c r="H1106" s="13" t="s">
        <v>295</v>
      </c>
      <c r="I1106" s="13" t="s">
        <v>295</v>
      </c>
      <c r="J1106" s="13" t="s">
        <v>295</v>
      </c>
      <c r="K1106" s="13" t="s">
        <v>295</v>
      </c>
    </row>
    <row r="1107" spans="1:11">
      <c r="A1107" t="s">
        <v>5</v>
      </c>
      <c r="B1107" s="5" t="str">
        <f>B1106</f>
        <v>SPS1</v>
      </c>
      <c r="C1107" s="5" t="str">
        <f>C1106</f>
        <v>CH</v>
      </c>
      <c r="D1107" t="s">
        <v>1189</v>
      </c>
      <c r="E1107" t="s">
        <v>242</v>
      </c>
      <c r="F1107" s="21">
        <f>IFERROR(F1056/F973,"-")</f>
        <v>0.95000000000000073</v>
      </c>
      <c r="G1107" s="21">
        <f t="shared" ref="G1107:K1108" si="755">IFERROR(G1056/G973,"-")</f>
        <v>0.9499999999999994</v>
      </c>
      <c r="H1107" s="21">
        <f t="shared" si="755"/>
        <v>0.94999999999999984</v>
      </c>
      <c r="I1107" s="21">
        <f t="shared" si="755"/>
        <v>0.95</v>
      </c>
      <c r="J1107" s="21">
        <f t="shared" si="755"/>
        <v>0.94999999999999962</v>
      </c>
      <c r="K1107" s="21">
        <f t="shared" si="755"/>
        <v>0.95000000000000073</v>
      </c>
    </row>
    <row r="1108" spans="1:11">
      <c r="A1108" t="s">
        <v>5</v>
      </c>
      <c r="B1108" s="5" t="str">
        <f t="shared" si="753"/>
        <v>SPS1</v>
      </c>
      <c r="C1108" s="5" t="str">
        <f t="shared" si="754"/>
        <v>CH</v>
      </c>
      <c r="D1108" t="s">
        <v>1190</v>
      </c>
      <c r="E1108" t="s">
        <v>242</v>
      </c>
      <c r="F1108" s="21">
        <f>IFERROR(F1057/F974,"-")</f>
        <v>3.2000000199513372</v>
      </c>
      <c r="G1108" s="21">
        <f t="shared" si="755"/>
        <v>3.2533333765434169</v>
      </c>
      <c r="H1108" s="21">
        <f t="shared" si="755"/>
        <v>3.3333333333333335</v>
      </c>
      <c r="I1108" s="21">
        <f t="shared" si="755"/>
        <v>3.4666666666666699</v>
      </c>
      <c r="J1108" s="21">
        <f t="shared" si="755"/>
        <v>3.7000000000000006</v>
      </c>
      <c r="K1108" s="21">
        <f t="shared" si="755"/>
        <v>3.9000000000000008</v>
      </c>
    </row>
    <row r="1109" spans="1:11">
      <c r="A1109" t="s">
        <v>5</v>
      </c>
      <c r="B1109" s="5" t="str">
        <f t="shared" si="753"/>
        <v>SPS1</v>
      </c>
      <c r="C1109" s="5" t="str">
        <f t="shared" si="754"/>
        <v>CH</v>
      </c>
      <c r="D1109" t="s">
        <v>1160</v>
      </c>
      <c r="E1109" t="s">
        <v>242</v>
      </c>
      <c r="F1109" s="21">
        <f>IFERROR(F1059/F983,"-")</f>
        <v>0.89583333333333326</v>
      </c>
      <c r="G1109" s="21">
        <f t="shared" ref="G1109:K1109" si="756">IFERROR(G1059/G983,"-")</f>
        <v>0.8958333333333337</v>
      </c>
      <c r="H1109" s="21">
        <f t="shared" si="756"/>
        <v>0.89583333333333404</v>
      </c>
      <c r="I1109" s="21">
        <f t="shared" si="756"/>
        <v>0.89583333333333437</v>
      </c>
      <c r="J1109" s="21">
        <f t="shared" si="756"/>
        <v>0.89583333333333381</v>
      </c>
      <c r="K1109" s="21">
        <f t="shared" si="756"/>
        <v>0.89583333333333426</v>
      </c>
    </row>
    <row r="1110" spans="1:11">
      <c r="A1110" t="s">
        <v>5</v>
      </c>
      <c r="B1110" s="5" t="str">
        <f t="shared" si="753"/>
        <v>SPS1</v>
      </c>
      <c r="C1110" s="5" t="str">
        <f t="shared" si="754"/>
        <v>CH</v>
      </c>
      <c r="D1110" t="s">
        <v>1161</v>
      </c>
      <c r="E1110" t="s">
        <v>242</v>
      </c>
      <c r="F1110" s="21">
        <f>IFERROR(F1061/F996,"-")</f>
        <v>0.94999999999999984</v>
      </c>
      <c r="G1110" s="21">
        <f t="shared" ref="G1110:K1110" si="757">IFERROR(G1061/G996,"-")</f>
        <v>0.94999999999999929</v>
      </c>
      <c r="H1110" s="21">
        <f t="shared" si="757"/>
        <v>0.94999999999999984</v>
      </c>
      <c r="I1110" s="21">
        <f t="shared" si="757"/>
        <v>0.95</v>
      </c>
      <c r="J1110" s="21">
        <f t="shared" si="757"/>
        <v>0.94999999999999984</v>
      </c>
      <c r="K1110" s="21">
        <f t="shared" si="757"/>
        <v>0.95000000000000018</v>
      </c>
    </row>
    <row r="1111" spans="1:11">
      <c r="A1111" t="s">
        <v>5</v>
      </c>
      <c r="B1111" s="5" t="str">
        <f t="shared" si="753"/>
        <v>SPS1</v>
      </c>
      <c r="C1111" s="5" t="str">
        <f t="shared" si="754"/>
        <v>CH</v>
      </c>
      <c r="D1111" t="s">
        <v>1162</v>
      </c>
      <c r="E1111" t="s">
        <v>242</v>
      </c>
      <c r="F1111" s="21" t="str">
        <f>IFERROR(F1062/F997,"-")</f>
        <v>-</v>
      </c>
      <c r="G1111" s="21" t="str">
        <f t="shared" ref="G1111:K1111" si="758">IFERROR(G1062/G997,"-")</f>
        <v>-</v>
      </c>
      <c r="H1111" s="21">
        <f t="shared" si="758"/>
        <v>2.0012847672042033</v>
      </c>
      <c r="I1111" s="21">
        <f t="shared" si="758"/>
        <v>2.0812017450741163</v>
      </c>
      <c r="J1111" s="21">
        <f t="shared" si="758"/>
        <v>2.220005523497683</v>
      </c>
      <c r="K1111" s="21">
        <f t="shared" si="758"/>
        <v>2.340028291057715</v>
      </c>
    </row>
    <row r="1112" spans="1:11">
      <c r="A1112" t="s">
        <v>5</v>
      </c>
      <c r="B1112" s="5" t="str">
        <f t="shared" si="753"/>
        <v>SPS1</v>
      </c>
      <c r="C1112" s="5" t="str">
        <f t="shared" si="754"/>
        <v>CH</v>
      </c>
      <c r="D1112" t="s">
        <v>1163</v>
      </c>
      <c r="E1112" t="s">
        <v>242</v>
      </c>
      <c r="F1112" s="21">
        <f>IFERROR(F1064/F1015,"-")</f>
        <v>0.72</v>
      </c>
      <c r="G1112" s="21">
        <f t="shared" ref="G1112:K1112" si="759">IFERROR(G1064/G1015,"-")</f>
        <v>0.72000000000000008</v>
      </c>
      <c r="H1112" s="21">
        <f t="shared" si="759"/>
        <v>0.7199999999999992</v>
      </c>
      <c r="I1112" s="21">
        <f t="shared" si="759"/>
        <v>0.71999999999999964</v>
      </c>
      <c r="J1112" s="21" t="str">
        <f t="shared" si="759"/>
        <v>-</v>
      </c>
      <c r="K1112" s="21" t="str">
        <f t="shared" si="759"/>
        <v>-</v>
      </c>
    </row>
    <row r="1113" spans="1:11">
      <c r="A1113" t="s">
        <v>5</v>
      </c>
      <c r="B1113" s="5" t="str">
        <f t="shared" si="753"/>
        <v>SPS1</v>
      </c>
      <c r="C1113" s="5" t="str">
        <f t="shared" si="754"/>
        <v>CH</v>
      </c>
      <c r="D1113" t="s">
        <v>1164</v>
      </c>
      <c r="E1113" t="s">
        <v>242</v>
      </c>
      <c r="F1113" s="21">
        <v>0.99</v>
      </c>
      <c r="G1113" s="21">
        <v>0.99</v>
      </c>
      <c r="H1113" s="21">
        <v>0.99</v>
      </c>
      <c r="I1113" s="21">
        <v>0.99</v>
      </c>
      <c r="J1113" s="21">
        <v>0.99</v>
      </c>
      <c r="K1113" s="21">
        <v>0.99</v>
      </c>
    </row>
    <row r="1114" spans="1:11">
      <c r="A1114" t="s">
        <v>5</v>
      </c>
      <c r="B1114" s="5" t="str">
        <f t="shared" si="753"/>
        <v>SPS1</v>
      </c>
      <c r="C1114" s="5" t="str">
        <f t="shared" si="754"/>
        <v>CH</v>
      </c>
      <c r="D1114" t="s">
        <v>1165</v>
      </c>
      <c r="E1114" t="s">
        <v>242</v>
      </c>
      <c r="F1114" s="21">
        <v>0.99</v>
      </c>
      <c r="G1114" s="21">
        <v>0.99</v>
      </c>
      <c r="H1114" s="21">
        <v>0.99</v>
      </c>
      <c r="I1114" s="21">
        <v>0.99</v>
      </c>
      <c r="J1114" s="21">
        <v>0.99</v>
      </c>
      <c r="K1114" s="21">
        <v>0.99</v>
      </c>
    </row>
    <row r="1115" spans="1:11">
      <c r="A1115" t="s">
        <v>5</v>
      </c>
      <c r="B1115" s="5" t="str">
        <f t="shared" si="753"/>
        <v>SPS1</v>
      </c>
      <c r="C1115" s="5" t="str">
        <f t="shared" si="754"/>
        <v>CH</v>
      </c>
      <c r="D1115" t="s">
        <v>1166</v>
      </c>
      <c r="E1115" t="s">
        <v>242</v>
      </c>
      <c r="F1115" s="21">
        <v>0.99</v>
      </c>
      <c r="G1115" s="21">
        <v>0.99</v>
      </c>
      <c r="H1115" s="21">
        <v>0.99</v>
      </c>
      <c r="I1115" s="21">
        <v>0.99</v>
      </c>
      <c r="J1115" s="21">
        <v>0.99</v>
      </c>
      <c r="K1115" s="21">
        <v>0.99</v>
      </c>
    </row>
    <row r="1116" spans="1:11">
      <c r="A1116" t="s">
        <v>5</v>
      </c>
      <c r="B1116" s="5" t="str">
        <f t="shared" si="753"/>
        <v>SPS1</v>
      </c>
      <c r="C1116" s="5" t="str">
        <f t="shared" si="754"/>
        <v>CH</v>
      </c>
      <c r="D1116" t="s">
        <v>1167</v>
      </c>
      <c r="E1116" t="s">
        <v>242</v>
      </c>
      <c r="F1116" s="21">
        <v>0.99</v>
      </c>
      <c r="G1116" s="21">
        <v>0.99</v>
      </c>
      <c r="H1116" s="21">
        <v>0.99</v>
      </c>
      <c r="I1116" s="21">
        <v>0.99</v>
      </c>
      <c r="J1116" s="21">
        <v>0.99</v>
      </c>
      <c r="K1116" s="21">
        <v>0.99</v>
      </c>
    </row>
    <row r="1117" spans="1:11">
      <c r="A1117" t="s">
        <v>5</v>
      </c>
      <c r="B1117" s="5" t="str">
        <f t="shared" si="753"/>
        <v>SPS1</v>
      </c>
      <c r="C1117" s="5" t="str">
        <f t="shared" si="754"/>
        <v>CH</v>
      </c>
      <c r="D1117" t="s">
        <v>1168</v>
      </c>
      <c r="E1117" t="s">
        <v>242</v>
      </c>
      <c r="F1117" s="21">
        <f>IFERROR(F1072/F1020,"-")</f>
        <v>0.72000000000000031</v>
      </c>
      <c r="G1117" s="21">
        <f t="shared" ref="G1117:K1117" si="760">IFERROR(G1072/G1020,"-")</f>
        <v>0.7200000000000002</v>
      </c>
      <c r="H1117" s="21">
        <f t="shared" si="760"/>
        <v>0.71999999999999953</v>
      </c>
      <c r="I1117" s="21">
        <f t="shared" si="760"/>
        <v>0.72</v>
      </c>
      <c r="J1117" s="21">
        <f t="shared" si="760"/>
        <v>0.72000000000000008</v>
      </c>
      <c r="K1117" s="21">
        <f t="shared" si="760"/>
        <v>0.71999999999999964</v>
      </c>
    </row>
    <row r="1118" spans="1:11">
      <c r="A1118" t="s">
        <v>5</v>
      </c>
      <c r="B1118" s="5" t="str">
        <f t="shared" si="753"/>
        <v>SPS1</v>
      </c>
      <c r="C1118" s="5" t="str">
        <f t="shared" si="754"/>
        <v>CH</v>
      </c>
      <c r="D1118" t="s">
        <v>1169</v>
      </c>
      <c r="E1118" t="s">
        <v>242</v>
      </c>
      <c r="F1118" s="21">
        <f>IFERROR(F1074/F1025,"-")</f>
        <v>0.90000000000000058</v>
      </c>
      <c r="G1118" s="21">
        <f t="shared" ref="G1118:K1118" si="761">IFERROR(G1074/G1025,"-")</f>
        <v>0.8999999999999998</v>
      </c>
      <c r="H1118" s="21">
        <f t="shared" si="761"/>
        <v>0.89999999999999969</v>
      </c>
      <c r="I1118" s="21">
        <f t="shared" si="761"/>
        <v>0.9</v>
      </c>
      <c r="J1118" s="21">
        <f t="shared" si="761"/>
        <v>0.90000000000000013</v>
      </c>
      <c r="K1118" s="21">
        <f t="shared" si="761"/>
        <v>0.90000000000000013</v>
      </c>
    </row>
    <row r="1119" spans="1:11">
      <c r="A1119" t="s">
        <v>5</v>
      </c>
      <c r="B1119" s="5" t="str">
        <f t="shared" si="753"/>
        <v>SPS1</v>
      </c>
      <c r="C1119" s="5" t="str">
        <f t="shared" si="754"/>
        <v>CH</v>
      </c>
      <c r="D1119" t="s">
        <v>1170</v>
      </c>
      <c r="E1119" t="s">
        <v>242</v>
      </c>
      <c r="F1119" s="21">
        <v>1</v>
      </c>
      <c r="G1119" s="21">
        <v>1</v>
      </c>
      <c r="H1119" s="21">
        <v>1</v>
      </c>
      <c r="I1119" s="21">
        <v>1</v>
      </c>
      <c r="J1119" s="21">
        <v>1</v>
      </c>
      <c r="K1119" s="21">
        <v>1</v>
      </c>
    </row>
    <row r="1120" spans="1:11">
      <c r="A1120" t="s">
        <v>5</v>
      </c>
      <c r="B1120" s="5" t="str">
        <f t="shared" si="753"/>
        <v>SPS1</v>
      </c>
      <c r="C1120" s="5" t="str">
        <f t="shared" si="754"/>
        <v>CH</v>
      </c>
      <c r="D1120" t="s">
        <v>1171</v>
      </c>
      <c r="E1120" t="s">
        <v>242</v>
      </c>
      <c r="F1120" s="21" t="str">
        <f>IFERROR(F1078/F1037,"-")</f>
        <v>-</v>
      </c>
      <c r="G1120" s="21" t="str">
        <f t="shared" ref="G1120:K1120" si="762">IFERROR(G1078/G1037,"-")</f>
        <v>-</v>
      </c>
      <c r="H1120" s="21" t="str">
        <f t="shared" si="762"/>
        <v>-</v>
      </c>
      <c r="I1120" s="21" t="str">
        <f t="shared" si="762"/>
        <v>-</v>
      </c>
      <c r="J1120" s="21" t="str">
        <f t="shared" si="762"/>
        <v>-</v>
      </c>
      <c r="K1120" s="21" t="str">
        <f t="shared" si="762"/>
        <v>-</v>
      </c>
    </row>
    <row r="1121" spans="1:11">
      <c r="A1121" t="s">
        <v>5</v>
      </c>
      <c r="B1121" s="5" t="str">
        <f t="shared" si="753"/>
        <v>SPS1</v>
      </c>
      <c r="C1121" s="5" t="str">
        <f t="shared" si="754"/>
        <v>CH</v>
      </c>
      <c r="D1121" t="s">
        <v>1191</v>
      </c>
      <c r="E1121" t="s">
        <v>242</v>
      </c>
      <c r="F1121" s="21">
        <f>IFERROR(F1082/F976,"-")</f>
        <v>0.79000000000000103</v>
      </c>
      <c r="G1121" s="21">
        <f t="shared" ref="G1121:K1122" si="763">IFERROR(G1082/G976,"-")</f>
        <v>0.79199999999999882</v>
      </c>
      <c r="H1121" s="21">
        <f t="shared" si="763"/>
        <v>0.79500000000000004</v>
      </c>
      <c r="I1121" s="21">
        <f t="shared" si="763"/>
        <v>0.80000000000000093</v>
      </c>
      <c r="J1121" s="21">
        <f t="shared" si="763"/>
        <v>0.81</v>
      </c>
      <c r="K1121" s="21">
        <f t="shared" si="763"/>
        <v>0.81999999999999984</v>
      </c>
    </row>
    <row r="1122" spans="1:11">
      <c r="A1122" t="s">
        <v>5</v>
      </c>
      <c r="B1122" s="5" t="str">
        <f t="shared" si="753"/>
        <v>SPS1</v>
      </c>
      <c r="C1122" s="5" t="str">
        <f t="shared" si="754"/>
        <v>CH</v>
      </c>
      <c r="D1122" t="s">
        <v>1192</v>
      </c>
      <c r="E1122" t="s">
        <v>242</v>
      </c>
      <c r="F1122" s="21">
        <f>IFERROR(F1083/F977,"-")</f>
        <v>2.8199999999999985</v>
      </c>
      <c r="G1122" s="21">
        <f t="shared" si="763"/>
        <v>2.8260000000000005</v>
      </c>
      <c r="H1122" s="21">
        <f t="shared" si="763"/>
        <v>2.8350000000000013</v>
      </c>
      <c r="I1122" s="21">
        <f t="shared" si="763"/>
        <v>2.85</v>
      </c>
      <c r="J1122" s="21">
        <f t="shared" si="763"/>
        <v>3.0099999999999993</v>
      </c>
      <c r="K1122" s="21">
        <f t="shared" si="763"/>
        <v>3.12</v>
      </c>
    </row>
    <row r="1123" spans="1:11">
      <c r="A1123" t="s">
        <v>5</v>
      </c>
      <c r="B1123" s="5" t="str">
        <f t="shared" si="753"/>
        <v>SPS1</v>
      </c>
      <c r="C1123" s="5" t="str">
        <f t="shared" si="754"/>
        <v>CH</v>
      </c>
      <c r="D1123" t="s">
        <v>1172</v>
      </c>
      <c r="E1123" t="s">
        <v>242</v>
      </c>
      <c r="F1123" s="21">
        <f>IFERROR(F1085/F989,"-")</f>
        <v>0.70833333333333237</v>
      </c>
      <c r="G1123" s="21">
        <f t="shared" ref="G1123:K1123" si="764">IFERROR(G1085/G989,"-")</f>
        <v>0.71458333333333379</v>
      </c>
      <c r="H1123" s="21">
        <f t="shared" si="764"/>
        <v>0.72395833333333282</v>
      </c>
      <c r="I1123" s="21">
        <f t="shared" si="764"/>
        <v>0.73958333343278948</v>
      </c>
      <c r="J1123" s="21">
        <f t="shared" si="764"/>
        <v>0.75520833341483939</v>
      </c>
      <c r="K1123" s="21">
        <f t="shared" si="764"/>
        <v>0.75520833332878468</v>
      </c>
    </row>
    <row r="1124" spans="1:11">
      <c r="A1124" t="s">
        <v>5</v>
      </c>
      <c r="B1124" s="5" t="str">
        <f t="shared" si="753"/>
        <v>SPS1</v>
      </c>
      <c r="C1124" s="5" t="str">
        <f t="shared" si="754"/>
        <v>CH</v>
      </c>
      <c r="D1124" t="s">
        <v>1173</v>
      </c>
      <c r="E1124" t="s">
        <v>242</v>
      </c>
      <c r="F1124" s="21">
        <f>IFERROR(F1087/F1005,"-")</f>
        <v>0.749999999999999</v>
      </c>
      <c r="G1124" s="21">
        <f t="shared" ref="G1124:K1124" si="765">IFERROR(G1087/G1005,"-")</f>
        <v>0.75399999999999912</v>
      </c>
      <c r="H1124" s="21">
        <f t="shared" si="765"/>
        <v>0.76010879489664351</v>
      </c>
      <c r="I1124" s="21">
        <f t="shared" si="765"/>
        <v>0.77000082169957085</v>
      </c>
      <c r="J1124" s="21">
        <f t="shared" si="765"/>
        <v>0.79000149472744008</v>
      </c>
      <c r="K1124" s="21">
        <f t="shared" si="765"/>
        <v>0.92276637310001386</v>
      </c>
    </row>
    <row r="1125" spans="1:11">
      <c r="A1125" t="s">
        <v>5</v>
      </c>
      <c r="B1125" s="5" t="str">
        <f t="shared" si="753"/>
        <v>SPS1</v>
      </c>
      <c r="C1125" s="5" t="str">
        <f t="shared" si="754"/>
        <v>CH</v>
      </c>
      <c r="D1125" t="s">
        <v>1174</v>
      </c>
      <c r="E1125" t="s">
        <v>242</v>
      </c>
      <c r="F1125" s="21" t="str">
        <f>IFERROR(F1088/F1006,"-")</f>
        <v>-</v>
      </c>
      <c r="G1125" s="21" t="str">
        <f t="shared" ref="G1125:K1125" si="766">IFERROR(G1088/G1006,"-")</f>
        <v>-</v>
      </c>
      <c r="H1125" s="21">
        <f t="shared" si="766"/>
        <v>1.7010000000000016</v>
      </c>
      <c r="I1125" s="21">
        <f t="shared" si="766"/>
        <v>1.7099999999999989</v>
      </c>
      <c r="J1125" s="21">
        <f t="shared" si="766"/>
        <v>1.8059999999999992</v>
      </c>
      <c r="K1125" s="21">
        <f t="shared" si="766"/>
        <v>1.8720000000000021</v>
      </c>
    </row>
    <row r="1126" spans="1:11">
      <c r="A1126" t="s">
        <v>5</v>
      </c>
      <c r="B1126" s="5" t="str">
        <f t="shared" si="753"/>
        <v>SPS1</v>
      </c>
      <c r="C1126" s="5" t="str">
        <f t="shared" si="754"/>
        <v>CH</v>
      </c>
      <c r="D1126" t="s">
        <v>1175</v>
      </c>
      <c r="E1126" t="s">
        <v>242</v>
      </c>
      <c r="F1126" s="21">
        <v>0.77</v>
      </c>
      <c r="G1126" s="21">
        <f>AVERAGE(F1126,H1126)</f>
        <v>0.77500000000000002</v>
      </c>
      <c r="H1126" s="21">
        <v>0.78</v>
      </c>
      <c r="I1126" s="21">
        <v>0.79</v>
      </c>
      <c r="J1126" s="21">
        <v>0.79</v>
      </c>
      <c r="K1126" s="21">
        <v>0.79</v>
      </c>
    </row>
    <row r="1127" spans="1:11">
      <c r="A1127" t="s">
        <v>5</v>
      </c>
      <c r="B1127" s="5" t="str">
        <f t="shared" si="753"/>
        <v>SPS1</v>
      </c>
      <c r="C1127" s="5" t="str">
        <f t="shared" si="754"/>
        <v>CH</v>
      </c>
      <c r="D1127" t="s">
        <v>1176</v>
      </c>
      <c r="E1127" t="s">
        <v>242</v>
      </c>
      <c r="F1127" s="21">
        <v>0.77</v>
      </c>
      <c r="G1127" s="21">
        <f>AVERAGE(F1127,H1127)</f>
        <v>0.77500000000000002</v>
      </c>
      <c r="H1127" s="21">
        <v>0.78</v>
      </c>
      <c r="I1127" s="21">
        <v>0.79</v>
      </c>
      <c r="J1127" s="21">
        <v>0.79</v>
      </c>
      <c r="K1127" s="21">
        <v>0.79</v>
      </c>
    </row>
    <row r="1128" spans="1:11">
      <c r="A1128" t="s">
        <v>5</v>
      </c>
      <c r="B1128" s="5" t="str">
        <f t="shared" si="753"/>
        <v>SPS1</v>
      </c>
      <c r="C1128" s="5" t="str">
        <f t="shared" si="754"/>
        <v>CH</v>
      </c>
      <c r="D1128" t="s">
        <v>1177</v>
      </c>
      <c r="E1128" t="s">
        <v>242</v>
      </c>
      <c r="F1128" s="21">
        <v>0.77</v>
      </c>
      <c r="G1128" s="21">
        <f>AVERAGE(F1128,H1128)</f>
        <v>0.77500000000000002</v>
      </c>
      <c r="H1128" s="21">
        <v>0.78</v>
      </c>
      <c r="I1128" s="21">
        <v>0.79</v>
      </c>
      <c r="J1128" s="21">
        <v>0.79</v>
      </c>
      <c r="K1128" s="21">
        <v>0.79</v>
      </c>
    </row>
    <row r="1129" spans="1:11">
      <c r="A1129" t="s">
        <v>5</v>
      </c>
      <c r="B1129" s="5" t="str">
        <f t="shared" si="753"/>
        <v>SPS1</v>
      </c>
      <c r="C1129" s="5" t="str">
        <f t="shared" si="754"/>
        <v>CH</v>
      </c>
      <c r="D1129" t="s">
        <v>1178</v>
      </c>
      <c r="E1129" t="s">
        <v>242</v>
      </c>
      <c r="F1129" s="21">
        <v>0.77</v>
      </c>
      <c r="G1129" s="21">
        <f>AVERAGE(F1129,H1129)</f>
        <v>0.77500000000000002</v>
      </c>
      <c r="H1129" s="21">
        <v>0.78</v>
      </c>
      <c r="I1129" s="21">
        <v>0.79</v>
      </c>
      <c r="J1129" s="21">
        <v>0.79</v>
      </c>
      <c r="K1129" s="21">
        <v>0.79</v>
      </c>
    </row>
    <row r="1130" spans="1:11">
      <c r="A1130" t="s">
        <v>5</v>
      </c>
      <c r="B1130" s="5" t="str">
        <f t="shared" si="753"/>
        <v>SPS1</v>
      </c>
      <c r="C1130" s="5" t="str">
        <f t="shared" si="754"/>
        <v>CH</v>
      </c>
      <c r="D1130" t="s">
        <v>1179</v>
      </c>
      <c r="E1130" t="s">
        <v>242</v>
      </c>
      <c r="F1130" s="21">
        <f>IFERROR(F1098/F1022,"-")</f>
        <v>0.49999999999999989</v>
      </c>
      <c r="G1130" s="21">
        <f t="shared" ref="G1130:K1130" si="767">IFERROR(G1098/G1022,"-")</f>
        <v>0.50000000000000033</v>
      </c>
      <c r="H1130" s="21">
        <f t="shared" si="767"/>
        <v>0.49999999999999983</v>
      </c>
      <c r="I1130" s="21">
        <f t="shared" si="767"/>
        <v>0.50000000000000044</v>
      </c>
      <c r="J1130" s="21">
        <f t="shared" si="767"/>
        <v>0.49999999999999861</v>
      </c>
      <c r="K1130" s="21">
        <f t="shared" si="767"/>
        <v>0.49999999999999972</v>
      </c>
    </row>
    <row r="1131" spans="1:11">
      <c r="A1131" t="s">
        <v>5</v>
      </c>
      <c r="B1131" s="5" t="str">
        <f t="shared" si="753"/>
        <v>SPS1</v>
      </c>
      <c r="C1131" s="5" t="str">
        <f t="shared" si="754"/>
        <v>CH</v>
      </c>
      <c r="D1131" t="s">
        <v>1180</v>
      </c>
      <c r="E1131" t="s">
        <v>242</v>
      </c>
      <c r="F1131" s="21">
        <f>IFERROR(F1100/F1027,"-")</f>
        <v>0.62500000000000011</v>
      </c>
      <c r="G1131" s="21">
        <f t="shared" ref="G1131:K1131" si="768">IFERROR(G1100/G1027,"-")</f>
        <v>0.62500000000000044</v>
      </c>
      <c r="H1131" s="21">
        <f t="shared" si="768"/>
        <v>0.62500000000000067</v>
      </c>
      <c r="I1131" s="21">
        <f t="shared" si="768"/>
        <v>0.62500000000000033</v>
      </c>
      <c r="J1131" s="21">
        <f t="shared" si="768"/>
        <v>0.62499999999999922</v>
      </c>
      <c r="K1131" s="21">
        <f t="shared" si="768"/>
        <v>0.62500000000000011</v>
      </c>
    </row>
    <row r="1132" spans="1:11">
      <c r="A1132" t="s">
        <v>5</v>
      </c>
      <c r="B1132" s="5" t="str">
        <f t="shared" si="753"/>
        <v>SPS1</v>
      </c>
      <c r="C1132" s="5" t="str">
        <f t="shared" si="754"/>
        <v>CH</v>
      </c>
      <c r="D1132" t="s">
        <v>1181</v>
      </c>
      <c r="E1132" t="s">
        <v>242</v>
      </c>
      <c r="F1132" s="21">
        <v>1</v>
      </c>
      <c r="G1132" s="21">
        <v>1</v>
      </c>
      <c r="H1132" s="21">
        <v>1</v>
      </c>
      <c r="I1132" s="21">
        <v>1</v>
      </c>
      <c r="J1132" s="21">
        <v>1</v>
      </c>
      <c r="K1132" s="21">
        <v>1</v>
      </c>
    </row>
    <row r="1133" spans="1:11">
      <c r="A1133" t="s">
        <v>5</v>
      </c>
      <c r="B1133" s="5" t="str">
        <f t="shared" si="753"/>
        <v>SPS1</v>
      </c>
      <c r="C1133" s="5" t="str">
        <f t="shared" si="754"/>
        <v>CH</v>
      </c>
      <c r="D1133" t="s">
        <v>1182</v>
      </c>
      <c r="E1133" t="s">
        <v>242</v>
      </c>
      <c r="F1133" s="21" t="str">
        <f>IFERROR(F1104/F1039,"-")</f>
        <v>-</v>
      </c>
      <c r="G1133" s="21" t="str">
        <f t="shared" ref="G1133:K1133" si="769">IFERROR(G1104/G1039,"-")</f>
        <v>-</v>
      </c>
      <c r="H1133" s="21" t="str">
        <f t="shared" si="769"/>
        <v>-</v>
      </c>
      <c r="I1133" s="21" t="str">
        <f t="shared" si="769"/>
        <v>-</v>
      </c>
      <c r="J1133" s="21" t="str">
        <f t="shared" si="769"/>
        <v>-</v>
      </c>
      <c r="K1133" s="21" t="str">
        <f t="shared" si="769"/>
        <v>-</v>
      </c>
    </row>
    <row r="1134" spans="1:11">
      <c r="A1134" t="s">
        <v>5</v>
      </c>
      <c r="B1134" s="8" t="str">
        <f>B1133</f>
        <v>SPS1</v>
      </c>
      <c r="C1134" s="8" t="str">
        <f>C1133</f>
        <v>CH</v>
      </c>
      <c r="D1134" s="1" t="s">
        <v>1304</v>
      </c>
      <c r="E1134" s="1" t="s">
        <v>8</v>
      </c>
      <c r="F1134" s="16">
        <f t="shared" ref="F1134:K1134" si="770">F1135+F1150+F1155+F1178+F1201</f>
        <v>139.87657397567838</v>
      </c>
      <c r="G1134" s="16">
        <f t="shared" si="770"/>
        <v>141.50682662889099</v>
      </c>
      <c r="H1134" s="16">
        <f t="shared" si="770"/>
        <v>125.99792597876761</v>
      </c>
      <c r="I1134" s="16">
        <f t="shared" si="770"/>
        <v>84.954091460148319</v>
      </c>
      <c r="J1134" s="16">
        <f t="shared" si="770"/>
        <v>52.85598855309955</v>
      </c>
      <c r="K1134" s="16">
        <f t="shared" si="770"/>
        <v>44.571542138044663</v>
      </c>
    </row>
    <row r="1135" spans="1:11">
      <c r="A1135" t="s">
        <v>5</v>
      </c>
      <c r="B1135" s="5" t="str">
        <f>B1134</f>
        <v>SPS1</v>
      </c>
      <c r="C1135" s="5" t="str">
        <f>C1134</f>
        <v>CH</v>
      </c>
      <c r="D1135" t="s">
        <v>1305</v>
      </c>
      <c r="E1135" t="s">
        <v>8</v>
      </c>
      <c r="F1135" s="13">
        <f>SUM(F1136:F1149)</f>
        <v>0.57202854788168556</v>
      </c>
      <c r="G1135" s="13">
        <f t="shared" ref="G1135:K1135" si="771">SUM(G1136:G1149)</f>
        <v>0.36690102828932608</v>
      </c>
      <c r="H1135" s="13">
        <f t="shared" si="771"/>
        <v>3.7222938101858412</v>
      </c>
      <c r="I1135" s="13">
        <f t="shared" si="771"/>
        <v>17.834611789414833</v>
      </c>
      <c r="J1135" s="13">
        <f t="shared" si="771"/>
        <v>35.097122155525319</v>
      </c>
      <c r="K1135" s="13">
        <f t="shared" si="771"/>
        <v>34.014531269334796</v>
      </c>
    </row>
    <row r="1136" spans="1:11">
      <c r="A1136" t="s">
        <v>5</v>
      </c>
      <c r="B1136" s="5" t="str">
        <f t="shared" ref="B1136:B1215" si="772">B1135</f>
        <v>SPS1</v>
      </c>
      <c r="C1136" s="5" t="str">
        <f t="shared" ref="C1136:C1215" si="773">C1135</f>
        <v>CH</v>
      </c>
      <c r="D1136" t="s">
        <v>1306</v>
      </c>
      <c r="E1136" t="s">
        <v>8</v>
      </c>
      <c r="F1136" s="13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0.46789254058017565</v>
      </c>
      <c r="G1136" s="13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</v>
      </c>
      <c r="H1136" s="13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0.26222969022918718</v>
      </c>
      <c r="I1136" s="13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0.11309562850438591</v>
      </c>
      <c r="J1136" s="13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3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1:11">
      <c r="A1137" t="s">
        <v>5</v>
      </c>
      <c r="B1137" s="5" t="str">
        <f t="shared" si="772"/>
        <v>SPS1</v>
      </c>
      <c r="C1137" s="5" t="str">
        <f t="shared" si="773"/>
        <v>CH</v>
      </c>
      <c r="D1137" t="s">
        <v>1307</v>
      </c>
      <c r="E1137" t="s">
        <v>8</v>
      </c>
      <c r="F1137" s="13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7.6409074465788561E-3</v>
      </c>
      <c r="G1137" s="13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0.36636344573735685</v>
      </c>
      <c r="H1137" s="13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0.56311616390375396</v>
      </c>
      <c r="I1137" s="13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0.99848864977646323</v>
      </c>
      <c r="J1137" s="13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0.83968330683342896</v>
      </c>
      <c r="K1137" s="13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0.85871066268774043</v>
      </c>
    </row>
    <row r="1138" spans="1:11">
      <c r="A1138" t="s">
        <v>5</v>
      </c>
      <c r="B1138" s="5" t="str">
        <f t="shared" si="772"/>
        <v>SPS1</v>
      </c>
      <c r="C1138" s="5" t="str">
        <f t="shared" si="773"/>
        <v>CH</v>
      </c>
      <c r="D1138" t="s">
        <v>1308</v>
      </c>
      <c r="E1138" t="s">
        <v>8</v>
      </c>
      <c r="F1138" s="13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2.7067311618593805E-2</v>
      </c>
      <c r="G1138" s="13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2.4698459629647849E-5</v>
      </c>
      <c r="H1138" s="13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2.305306196349527E-4</v>
      </c>
      <c r="I1138" s="13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4.6184364175026387</v>
      </c>
      <c r="J1138" s="13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11.596232774612538</v>
      </c>
      <c r="K1138" s="13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10.352751391503508</v>
      </c>
    </row>
    <row r="1139" spans="1:11">
      <c r="A1139" t="s">
        <v>5</v>
      </c>
      <c r="B1139" s="5" t="str">
        <f t="shared" si="772"/>
        <v>SPS1</v>
      </c>
      <c r="C1139" s="5" t="str">
        <f t="shared" si="773"/>
        <v>CH</v>
      </c>
      <c r="D1139" t="s">
        <v>1309</v>
      </c>
      <c r="E1139" t="s">
        <v>8</v>
      </c>
      <c r="F1139" s="13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1.2064993062675491E-2</v>
      </c>
      <c r="G1139" s="13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3.5782977260133473E-4</v>
      </c>
      <c r="H1139" s="13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9.0092310019881223E-4</v>
      </c>
      <c r="I1139" s="13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0.12940983639536568</v>
      </c>
      <c r="J1139" s="13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0.72854322828506834</v>
      </c>
      <c r="K1139" s="13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0.93495589158393766</v>
      </c>
    </row>
    <row r="1140" spans="1:11">
      <c r="A1140" t="s">
        <v>5</v>
      </c>
      <c r="B1140" s="5" t="str">
        <f t="shared" si="772"/>
        <v>SPS1</v>
      </c>
      <c r="C1140" s="5" t="str">
        <f t="shared" si="773"/>
        <v>CH</v>
      </c>
      <c r="D1140" t="s">
        <v>1310</v>
      </c>
      <c r="E1140" t="s">
        <v>8</v>
      </c>
      <c r="F1140" s="13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5.7336160249426824E-2</v>
      </c>
      <c r="G1140" s="13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1.5505431973821646E-4</v>
      </c>
      <c r="H1140" s="13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2.5319182009535663</v>
      </c>
      <c r="I1140" s="13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9.9580703294630659</v>
      </c>
      <c r="J1140" s="13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15.80232919165681</v>
      </c>
      <c r="K1140" s="13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14.100429538929669</v>
      </c>
    </row>
    <row r="1141" spans="1:11">
      <c r="A1141" t="s">
        <v>5</v>
      </c>
      <c r="B1141" s="5" t="str">
        <f t="shared" si="772"/>
        <v>SPS1</v>
      </c>
      <c r="C1141" s="5" t="str">
        <f t="shared" si="773"/>
        <v>CH</v>
      </c>
      <c r="D1141" t="s">
        <v>1311</v>
      </c>
      <c r="E1141" t="s">
        <v>8</v>
      </c>
      <c r="F1141" s="13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3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0</v>
      </c>
      <c r="H1141" s="13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5.553345198922134E-6</v>
      </c>
      <c r="I1141" s="13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8.4751487243306187E-6</v>
      </c>
      <c r="J1141" s="13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4.1840838414097637E-6</v>
      </c>
      <c r="K1141" s="13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3.3836066304385998E-6</v>
      </c>
    </row>
    <row r="1142" spans="1:11">
      <c r="A1142" t="s">
        <v>5</v>
      </c>
      <c r="B1142" s="5" t="str">
        <f t="shared" si="772"/>
        <v>SPS1</v>
      </c>
      <c r="C1142" s="5" t="str">
        <f t="shared" si="773"/>
        <v>CH</v>
      </c>
      <c r="D1142" t="s">
        <v>1312</v>
      </c>
      <c r="E1142" t="s">
        <v>8</v>
      </c>
      <c r="F1142" s="13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2.6634924234883273E-5</v>
      </c>
      <c r="G1142" s="13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0</v>
      </c>
      <c r="H1142" s="13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2.5666572463222508E-5</v>
      </c>
      <c r="I1142" s="13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1.2001981337240824E-2</v>
      </c>
      <c r="J1142" s="13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2.8455110244986945E-5</v>
      </c>
      <c r="K1142" s="13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2.3937646390008096E-5</v>
      </c>
    </row>
    <row r="1143" spans="1:11">
      <c r="A1143" t="s">
        <v>5</v>
      </c>
      <c r="B1143" s="5" t="str">
        <f t="shared" si="772"/>
        <v>SPS1</v>
      </c>
      <c r="C1143" s="5" t="str">
        <f t="shared" si="773"/>
        <v>CH</v>
      </c>
      <c r="D1143" t="s">
        <v>1313</v>
      </c>
      <c r="E1143" t="s">
        <v>8</v>
      </c>
      <c r="F1143" s="13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3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0</v>
      </c>
      <c r="H1143" s="13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0.19099339936402784</v>
      </c>
      <c r="I1143" s="13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1.1497381660013151</v>
      </c>
      <c r="J1143" s="13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3.1061390400977378</v>
      </c>
      <c r="K1143" s="13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3.5522213431405083</v>
      </c>
    </row>
    <row r="1144" spans="1:11">
      <c r="A1144" t="s">
        <v>5</v>
      </c>
      <c r="B1144" s="5" t="str">
        <f t="shared" si="772"/>
        <v>SPS1</v>
      </c>
      <c r="C1144" s="5" t="str">
        <f t="shared" si="773"/>
        <v>CH</v>
      </c>
      <c r="D1144" t="s">
        <v>1314</v>
      </c>
      <c r="E1144" t="s">
        <v>8</v>
      </c>
      <c r="F1144" s="13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3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0</v>
      </c>
      <c r="H1144" s="13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2.0288175275274573E-2</v>
      </c>
      <c r="I1144" s="13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2.4994171977799726E-2</v>
      </c>
      <c r="J1144" s="13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3.9724361599169872E-5</v>
      </c>
      <c r="K1144" s="13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3.2202016239257763E-5</v>
      </c>
    </row>
    <row r="1145" spans="1:11">
      <c r="A1145" t="s">
        <v>5</v>
      </c>
      <c r="B1145" s="5" t="str">
        <f t="shared" ref="B1145:B1149" si="774">B1144</f>
        <v>SPS1</v>
      </c>
      <c r="C1145" s="5" t="str">
        <f t="shared" ref="C1145:C1149" si="775">C1144</f>
        <v>CH</v>
      </c>
      <c r="D1145" t="s">
        <v>1315</v>
      </c>
      <c r="E1145" t="s">
        <v>8</v>
      </c>
      <c r="F1145" s="13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3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0</v>
      </c>
      <c r="H1145" s="13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1.2060276044143073E-6</v>
      </c>
      <c r="I1145" s="13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2.8257806870017585E-6</v>
      </c>
      <c r="J1145" s="13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4.3351781135058092E-6</v>
      </c>
      <c r="K1145" s="13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3.4010779476137263E-6</v>
      </c>
    </row>
    <row r="1146" spans="1:11">
      <c r="A1146" t="s">
        <v>5</v>
      </c>
      <c r="B1146" s="5" t="str">
        <f t="shared" si="774"/>
        <v>SPS1</v>
      </c>
      <c r="C1146" s="5" t="str">
        <f t="shared" si="775"/>
        <v>CH</v>
      </c>
      <c r="D1146" t="s">
        <v>1316</v>
      </c>
      <c r="E1146" t="s">
        <v>8</v>
      </c>
      <c r="F1146" s="13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3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0</v>
      </c>
      <c r="H1146" s="13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3.5077831803626797E-6</v>
      </c>
      <c r="I1146" s="13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9.4730220344087254E-6</v>
      </c>
      <c r="J1146" s="13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3.0883556322348529E-5</v>
      </c>
      <c r="K1146" s="13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2.374775542540056E-5</v>
      </c>
    </row>
    <row r="1147" spans="1:11">
      <c r="A1147" t="s">
        <v>5</v>
      </c>
      <c r="B1147" s="5" t="str">
        <f t="shared" si="774"/>
        <v>SPS1</v>
      </c>
      <c r="C1147" s="5" t="str">
        <f t="shared" si="775"/>
        <v>CH</v>
      </c>
      <c r="D1147" t="s">
        <v>1317</v>
      </c>
      <c r="E1147" t="s">
        <v>8</v>
      </c>
      <c r="F1147" s="13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3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0</v>
      </c>
      <c r="H1147" s="13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8.0532842590059564E-2</v>
      </c>
      <c r="I1147" s="13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0.74056119200942949</v>
      </c>
      <c r="J1147" s="13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2.366763825781836</v>
      </c>
      <c r="K1147" s="13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2.479428766277378</v>
      </c>
    </row>
    <row r="1148" spans="1:11">
      <c r="A1148" t="s">
        <v>5</v>
      </c>
      <c r="B1148" s="5" t="str">
        <f t="shared" si="774"/>
        <v>SPS1</v>
      </c>
      <c r="C1148" s="5" t="str">
        <f t="shared" si="775"/>
        <v>CH</v>
      </c>
      <c r="D1148" t="s">
        <v>1318</v>
      </c>
      <c r="E1148" t="s">
        <v>8</v>
      </c>
      <c r="F1148" s="13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3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0</v>
      </c>
      <c r="H1148" s="13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7.2047950421690488E-2</v>
      </c>
      <c r="I1148" s="13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8.9097400719900702E-2</v>
      </c>
      <c r="J1148" s="13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3.9935104430481593E-5</v>
      </c>
      <c r="K1148" s="13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3.0476547839987131E-5</v>
      </c>
    </row>
    <row r="1149" spans="1:11">
      <c r="A1149" t="s">
        <v>5</v>
      </c>
      <c r="B1149" s="5" t="str">
        <f t="shared" si="774"/>
        <v>SPS1</v>
      </c>
      <c r="C1149" s="5" t="str">
        <f t="shared" si="775"/>
        <v>CH</v>
      </c>
      <c r="D1149" t="s">
        <v>1319</v>
      </c>
      <c r="E1149" t="s">
        <v>8</v>
      </c>
      <c r="F1149" s="13">
        <f>[1]Transport!B$32</f>
        <v>0</v>
      </c>
      <c r="G1149" s="13">
        <f>[1]Transport!C$32</f>
        <v>0</v>
      </c>
      <c r="H1149" s="13">
        <f>[1]Transport!D$32</f>
        <v>0</v>
      </c>
      <c r="I1149" s="13">
        <f>[1]Transport!E$32</f>
        <v>6.9724177578135726E-4</v>
      </c>
      <c r="J1149" s="13">
        <f>[1]Transport!F$32</f>
        <v>0.65728327086334526</v>
      </c>
      <c r="K1149" s="13">
        <f>[1]Transport!G$32</f>
        <v>1.7359165265615843</v>
      </c>
    </row>
    <row r="1150" spans="1:11">
      <c r="A1150" t="s">
        <v>5</v>
      </c>
      <c r="B1150" s="5" t="str">
        <f>B1144</f>
        <v>SPS1</v>
      </c>
      <c r="C1150" s="5" t="str">
        <f>C1144</f>
        <v>CH</v>
      </c>
      <c r="D1150" t="s">
        <v>1320</v>
      </c>
      <c r="E1150" t="s">
        <v>8</v>
      </c>
      <c r="F1150" s="13">
        <f>SUM(F1151:F1154)</f>
        <v>9.7131154273140852E-4</v>
      </c>
      <c r="G1150" s="13">
        <f t="shared" ref="G1150:K1150" si="776">SUM(G1151:G1154)</f>
        <v>1.974988136402235E-3</v>
      </c>
      <c r="H1150" s="13">
        <f t="shared" si="776"/>
        <v>1.8933051204682262E-3</v>
      </c>
      <c r="I1150" s="13">
        <f t="shared" si="776"/>
        <v>1.5547296910420206E-3</v>
      </c>
      <c r="J1150" s="13">
        <f t="shared" si="776"/>
        <v>0.3645894239064229</v>
      </c>
      <c r="K1150" s="13">
        <f t="shared" si="776"/>
        <v>1.0100694659835221</v>
      </c>
    </row>
    <row r="1151" spans="1:11">
      <c r="A1151" t="s">
        <v>5</v>
      </c>
      <c r="B1151" s="5" t="str">
        <f t="shared" si="772"/>
        <v>SPS1</v>
      </c>
      <c r="C1151" s="5" t="str">
        <f t="shared" si="773"/>
        <v>CH</v>
      </c>
      <c r="D1151" t="s">
        <v>1321</v>
      </c>
      <c r="E1151" t="s">
        <v>8</v>
      </c>
      <c r="F1151" s="13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3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9.7483547307789005E-9</v>
      </c>
      <c r="H1151" s="13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1.3221299950903181E-6</v>
      </c>
      <c r="I1151" s="13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2.635059192353312E-6</v>
      </c>
      <c r="J1151" s="13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0.36450711792333979</v>
      </c>
      <c r="K1151" s="13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0.18430653690092019</v>
      </c>
    </row>
    <row r="1152" spans="1:11">
      <c r="A1152" t="s">
        <v>5</v>
      </c>
      <c r="B1152" s="5" t="str">
        <f t="shared" si="772"/>
        <v>SPS1</v>
      </c>
      <c r="C1152" s="5" t="str">
        <f t="shared" si="773"/>
        <v>CH</v>
      </c>
      <c r="D1152" t="s">
        <v>1322</v>
      </c>
      <c r="E1152" t="s">
        <v>8</v>
      </c>
      <c r="F1152" s="13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8.9844672825046656E-5</v>
      </c>
      <c r="G1152" s="13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9.3705619350752648E-5</v>
      </c>
      <c r="H1152" s="13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8.9764960261876162E-5</v>
      </c>
      <c r="I1152" s="13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7.950691514573226E-5</v>
      </c>
      <c r="J1152" s="13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1.1391634743962521E-5</v>
      </c>
      <c r="K1152" s="13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5.0291099026262263E-6</v>
      </c>
    </row>
    <row r="1153" spans="1:11">
      <c r="A1153" t="s">
        <v>5</v>
      </c>
      <c r="B1153" s="5" t="str">
        <f t="shared" si="772"/>
        <v>SPS1</v>
      </c>
      <c r="C1153" s="5" t="str">
        <f t="shared" si="773"/>
        <v>CH</v>
      </c>
      <c r="D1153" t="s">
        <v>1323</v>
      </c>
      <c r="E1153" t="s">
        <v>8</v>
      </c>
      <c r="F1153" s="13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8.8146686990636181E-4</v>
      </c>
      <c r="G1153" s="13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1.8805675129056271E-3</v>
      </c>
      <c r="H1153" s="13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1.8001393117596635E-3</v>
      </c>
      <c r="I1153" s="13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1.4693450325556766E-3</v>
      </c>
      <c r="J1153" s="13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9.6280122799513088E-6</v>
      </c>
      <c r="K1153" s="13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5.1058982132514086E-6</v>
      </c>
    </row>
    <row r="1154" spans="1:11">
      <c r="A1154" t="s">
        <v>5</v>
      </c>
      <c r="B1154" s="5" t="str">
        <f t="shared" si="772"/>
        <v>SPS1</v>
      </c>
      <c r="C1154" s="5" t="str">
        <f t="shared" si="773"/>
        <v>CH</v>
      </c>
      <c r="D1154" t="s">
        <v>1324</v>
      </c>
      <c r="E1154" t="s">
        <v>8</v>
      </c>
      <c r="F1154" s="13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3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7.0525579112441515E-7</v>
      </c>
      <c r="H1154" s="13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2.0787184515961797E-6</v>
      </c>
      <c r="I1154" s="13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3.2426841482584132E-6</v>
      </c>
      <c r="J1154" s="13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6.1286336059223847E-5</v>
      </c>
      <c r="K1154" s="13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0.82575279407448599</v>
      </c>
    </row>
    <row r="1155" spans="1:11">
      <c r="A1155" t="s">
        <v>5</v>
      </c>
      <c r="B1155" s="5" t="str">
        <f t="shared" si="772"/>
        <v>SPS1</v>
      </c>
      <c r="C1155" s="5" t="str">
        <f t="shared" si="773"/>
        <v>CH</v>
      </c>
      <c r="D1155" t="s">
        <v>1325</v>
      </c>
      <c r="E1155" t="s">
        <v>8</v>
      </c>
      <c r="F1155" s="13">
        <f>SUM(F1160:F1177)</f>
        <v>77.81950294871784</v>
      </c>
      <c r="G1155" s="13">
        <f t="shared" ref="G1155:K1155" si="777">SUM(G1160:G1177)</f>
        <v>81.317225891863629</v>
      </c>
      <c r="H1155" s="13">
        <f t="shared" si="777"/>
        <v>75.724449655331952</v>
      </c>
      <c r="I1155" s="13">
        <f t="shared" si="777"/>
        <v>40.710671142981873</v>
      </c>
      <c r="J1155" s="13">
        <f t="shared" si="777"/>
        <v>10.600914523596757</v>
      </c>
      <c r="K1155" s="13">
        <f t="shared" si="777"/>
        <v>6.3303215327398332</v>
      </c>
    </row>
    <row r="1156" spans="1:11">
      <c r="A1156" t="s">
        <v>5</v>
      </c>
      <c r="B1156" s="5" t="str">
        <f>B1155</f>
        <v>SPS1</v>
      </c>
      <c r="C1156" s="5" t="str">
        <f t="shared" si="773"/>
        <v>CH</v>
      </c>
      <c r="D1156" t="s">
        <v>1326</v>
      </c>
      <c r="E1156" t="str">
        <f>E1155</f>
        <v>PJ/yr.</v>
      </c>
      <c r="F1156" s="13">
        <f>F1155-F1157</f>
        <v>73.559663053685924</v>
      </c>
      <c r="G1156" s="13">
        <f t="shared" ref="G1156:K1156" si="778">G1155-G1157</f>
        <v>76.865917553541465</v>
      </c>
      <c r="H1156" s="13">
        <f t="shared" si="778"/>
        <v>71.579290011740625</v>
      </c>
      <c r="I1156" s="13">
        <f t="shared" si="778"/>
        <v>38.482144865043757</v>
      </c>
      <c r="J1156" s="13">
        <f t="shared" si="778"/>
        <v>5.2164431136468448</v>
      </c>
      <c r="K1156" s="13">
        <f t="shared" si="778"/>
        <v>0.70750247997715565</v>
      </c>
    </row>
    <row r="1157" spans="1:11">
      <c r="A1157" t="s">
        <v>5</v>
      </c>
      <c r="B1157" s="5" t="str">
        <f t="shared" ref="B1157:B1159" si="779">B1156</f>
        <v>SPS1</v>
      </c>
      <c r="C1157" s="5" t="str">
        <f t="shared" si="773"/>
        <v>CH</v>
      </c>
      <c r="D1157" t="s">
        <v>1327</v>
      </c>
      <c r="E1157" t="str">
        <f>E1156</f>
        <v>PJ/yr.</v>
      </c>
      <c r="F1157" s="13">
        <f>SUM(F1158:F1159)</f>
        <v>4.2598398950319138</v>
      </c>
      <c r="G1157" s="13">
        <f t="shared" ref="G1157" si="780">SUM(G1158:G1159)</f>
        <v>4.451308338322165</v>
      </c>
      <c r="H1157" s="13">
        <f t="shared" ref="H1157" si="781">SUM(H1158:H1159)</f>
        <v>4.1451596435913274</v>
      </c>
      <c r="I1157" s="13">
        <f t="shared" ref="I1157" si="782">SUM(I1158:I1159)</f>
        <v>2.228526277938113</v>
      </c>
      <c r="J1157" s="13">
        <f t="shared" ref="J1157" si="783">SUM(J1158:J1159)</f>
        <v>5.3844714099499118</v>
      </c>
      <c r="K1157" s="13">
        <f t="shared" ref="K1157" si="784">SUM(K1158:K1159)</f>
        <v>5.6228190527626776</v>
      </c>
    </row>
    <row r="1158" spans="1:11">
      <c r="A1158" t="s">
        <v>5</v>
      </c>
      <c r="B1158" s="5" t="str">
        <f t="shared" si="779"/>
        <v>SPS1</v>
      </c>
      <c r="C1158" s="5" t="str">
        <f t="shared" si="773"/>
        <v>CH</v>
      </c>
      <c r="D1158" t="s">
        <v>1328</v>
      </c>
      <c r="E1158" t="str">
        <f>E1157</f>
        <v>PJ/yr.</v>
      </c>
      <c r="F1158" s="13">
        <f>[1]Transport!B$25/SUM([1]Transport!B$21,[1]Transport!B$25)*F1155*(F$34+F$598)/(F$34+F$598+F$37)</f>
        <v>4.2598398950319138</v>
      </c>
      <c r="G1158" s="13">
        <f>[1]Transport!C$25/SUM([1]Transport!C$21,[1]Transport!C$25)*G1155*(G$34+G$598)/(G$34+G$598+G$37)</f>
        <v>4.451308338322165</v>
      </c>
      <c r="H1158" s="13">
        <f>[1]Transport!D$25/SUM([1]Transport!D$21,[1]Transport!D$25)*H1155*(H$34+H$598)/(H$34+H$598+H$37)</f>
        <v>4.1451596435913274</v>
      </c>
      <c r="I1158" s="13">
        <f>[1]Transport!E$25/SUM([1]Transport!E$21,[1]Transport!E$25)*I1155*(I$34+I$598)/(I$34+I$598+I$37)</f>
        <v>2.228526277938113</v>
      </c>
      <c r="J1158" s="13">
        <f>[1]Transport!F$25/SUM([1]Transport!F$21,[1]Transport!F$25)*J1155*(J$34+J$598)/(J$34+J$598+J$37)</f>
        <v>4.265491598791967</v>
      </c>
      <c r="K1158" s="13">
        <f>[1]Transport!G$25/SUM([1]Transport!G$21,[1]Transport!G$25)*K1155*(K$34+K$598)/(K$34+K$598+K$37)</f>
        <v>5.3443336615944972</v>
      </c>
    </row>
    <row r="1159" spans="1:11">
      <c r="A1159" t="s">
        <v>5</v>
      </c>
      <c r="B1159" s="5" t="str">
        <f t="shared" si="779"/>
        <v>SPS1</v>
      </c>
      <c r="C1159" s="5" t="str">
        <f t="shared" si="773"/>
        <v>CH</v>
      </c>
      <c r="D1159" t="s">
        <v>1329</v>
      </c>
      <c r="E1159" t="str">
        <f>E1158</f>
        <v>PJ/yr.</v>
      </c>
      <c r="F1159" s="13">
        <f>(F$37+F$717)/([1]Transport!B$21+[1]Transport!B$25)*F1155</f>
        <v>0</v>
      </c>
      <c r="G1159" s="13">
        <f>(G$37+G$717)/([1]Transport!C$21+[1]Transport!C$25)*G1155</f>
        <v>0</v>
      </c>
      <c r="H1159" s="13">
        <f>(H$37+H$717)/([1]Transport!D$21+[1]Transport!D$25)*H1155</f>
        <v>0</v>
      </c>
      <c r="I1159" s="13">
        <f>(I$37+I$717)/([1]Transport!E$21+[1]Transport!E$25)*I1155</f>
        <v>0</v>
      </c>
      <c r="J1159" s="13">
        <f>(J$37+J$717)/([1]Transport!F$21+[1]Transport!F$25)*J1155</f>
        <v>1.1189798111579443</v>
      </c>
      <c r="K1159" s="13">
        <f>(K$37+K$717)/([1]Transport!G$21+[1]Transport!G$25)*K1155</f>
        <v>0.27848539116818011</v>
      </c>
    </row>
    <row r="1160" spans="1:11">
      <c r="A1160" t="s">
        <v>5</v>
      </c>
      <c r="B1160" s="5" t="str">
        <f>B1155</f>
        <v>SPS1</v>
      </c>
      <c r="C1160" s="5" t="str">
        <f>C1155</f>
        <v>CH</v>
      </c>
      <c r="D1160" t="s">
        <v>1330</v>
      </c>
      <c r="E1160" t="s">
        <v>8</v>
      </c>
      <c r="F1160" s="13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1.2540504003597663</v>
      </c>
      <c r="G1160" s="13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1.2428787140439357</v>
      </c>
      <c r="H1160" s="13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0.92518282775287952</v>
      </c>
      <c r="I1160" s="13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0.43896302348761446</v>
      </c>
      <c r="J1160" s="13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3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1:11">
      <c r="A1161" t="s">
        <v>5</v>
      </c>
      <c r="B1161" s="5" t="str">
        <f t="shared" si="772"/>
        <v>SPS1</v>
      </c>
      <c r="C1161" s="5" t="str">
        <f t="shared" si="773"/>
        <v>CH</v>
      </c>
      <c r="D1161" t="s">
        <v>1331</v>
      </c>
      <c r="E1161" t="s">
        <v>8</v>
      </c>
      <c r="F1161" s="13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4.708864830902907E-2</v>
      </c>
      <c r="G1161" s="13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3.5372235958549179E-2</v>
      </c>
      <c r="H1161" s="13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2.4377831135816132E-2</v>
      </c>
      <c r="I1161" s="13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2.0796230052223166E-2</v>
      </c>
      <c r="J1161" s="13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0.20469845117279425</v>
      </c>
      <c r="K1161" s="13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0.20224672006055838</v>
      </c>
    </row>
    <row r="1162" spans="1:11">
      <c r="A1162" t="s">
        <v>5</v>
      </c>
      <c r="B1162" s="5" t="str">
        <f t="shared" si="772"/>
        <v>SPS1</v>
      </c>
      <c r="C1162" s="5" t="str">
        <f t="shared" si="773"/>
        <v>CH</v>
      </c>
      <c r="D1162" t="s">
        <v>1332</v>
      </c>
      <c r="E1162" t="s">
        <v>8</v>
      </c>
      <c r="F1162" s="13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0.13343711178869017</v>
      </c>
      <c r="G1162" s="13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0.2038439399474018</v>
      </c>
      <c r="H1162" s="13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1.3530443000917176</v>
      </c>
      <c r="I1162" s="13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1.1904134413353447</v>
      </c>
      <c r="J1162" s="13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7.1922811929460817E-2</v>
      </c>
      <c r="K1162" s="13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2.9057521253095676E-5</v>
      </c>
    </row>
    <row r="1163" spans="1:11">
      <c r="A1163" t="s">
        <v>5</v>
      </c>
      <c r="B1163" s="5" t="str">
        <f t="shared" si="772"/>
        <v>SPS1</v>
      </c>
      <c r="C1163" s="5" t="str">
        <f t="shared" si="773"/>
        <v>CH</v>
      </c>
      <c r="D1163" t="s">
        <v>1333</v>
      </c>
      <c r="E1163" t="s">
        <v>8</v>
      </c>
      <c r="F1163" s="13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0.10004535277857783</v>
      </c>
      <c r="G1163" s="13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1.4469071470754851</v>
      </c>
      <c r="H1163" s="13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1.3676693821040524</v>
      </c>
      <c r="I1163" s="13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1.0942102114037013</v>
      </c>
      <c r="J1163" s="13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1.3850858349971178E-5</v>
      </c>
      <c r="K1163" s="13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5.9092758869465012E-6</v>
      </c>
    </row>
    <row r="1164" spans="1:11">
      <c r="A1164" t="s">
        <v>5</v>
      </c>
      <c r="B1164" s="5" t="str">
        <f t="shared" si="772"/>
        <v>SPS1</v>
      </c>
      <c r="C1164" s="5" t="str">
        <f t="shared" si="773"/>
        <v>CH</v>
      </c>
      <c r="D1164" t="s">
        <v>1334</v>
      </c>
      <c r="E1164" t="s">
        <v>8</v>
      </c>
      <c r="F1164" s="13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9.0723408898104513E-2</v>
      </c>
      <c r="G1164" s="13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0.19787939111158062</v>
      </c>
      <c r="H1164" s="13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0.18922930082781372</v>
      </c>
      <c r="I1164" s="13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0.15505442961258503</v>
      </c>
      <c r="J1164" s="13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1.8195676043441657E-5</v>
      </c>
      <c r="K1164" s="13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1.5993125161119412E-5</v>
      </c>
    </row>
    <row r="1165" spans="1:11">
      <c r="A1165" t="s">
        <v>5</v>
      </c>
      <c r="B1165" s="5" t="str">
        <f t="shared" si="772"/>
        <v>SPS1</v>
      </c>
      <c r="C1165" s="5" t="str">
        <f t="shared" si="773"/>
        <v>CH</v>
      </c>
      <c r="D1165" t="s">
        <v>1335</v>
      </c>
      <c r="E1165" t="s">
        <v>8</v>
      </c>
      <c r="F1165" s="13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63.987644325447611</v>
      </c>
      <c r="G1165" s="13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61.083948646785061</v>
      </c>
      <c r="H1165" s="13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51.838778448227849</v>
      </c>
      <c r="I1165" s="13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15.08294952978922</v>
      </c>
      <c r="J1165" s="13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3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1:11">
      <c r="A1166" t="s">
        <v>5</v>
      </c>
      <c r="B1166" s="5" t="str">
        <f t="shared" si="772"/>
        <v>SPS1</v>
      </c>
      <c r="C1166" s="5" t="str">
        <f t="shared" si="773"/>
        <v>CH</v>
      </c>
      <c r="D1166" t="s">
        <v>1336</v>
      </c>
      <c r="E1166" t="s">
        <v>8</v>
      </c>
      <c r="F1166" s="13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0.33312831122562264</v>
      </c>
      <c r="G1166" s="13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5.0141921294861766E-2</v>
      </c>
      <c r="H1166" s="13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3.5429350091526521E-2</v>
      </c>
      <c r="I1166" s="13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2.5994857767518628E-2</v>
      </c>
      <c r="J1166" s="13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6.2990619357009098E-5</v>
      </c>
      <c r="K1166" s="13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1.2617277193366635E-5</v>
      </c>
    </row>
    <row r="1167" spans="1:11">
      <c r="A1167" t="s">
        <v>5</v>
      </c>
      <c r="B1167" s="5" t="str">
        <f t="shared" si="772"/>
        <v>SPS1</v>
      </c>
      <c r="C1167" s="5" t="str">
        <f t="shared" si="773"/>
        <v>CH</v>
      </c>
      <c r="D1167" t="s">
        <v>1337</v>
      </c>
      <c r="E1167" t="s">
        <v>8</v>
      </c>
      <c r="F1167" s="13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3.7429478702139036</v>
      </c>
      <c r="G1167" s="13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5.3066119843017265</v>
      </c>
      <c r="H1167" s="13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3.7644263569766867</v>
      </c>
      <c r="I1167" s="13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4.1007160170126369</v>
      </c>
      <c r="J1167" s="13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4.78771919118211E-5</v>
      </c>
      <c r="K1167" s="13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1.0991343399392737E-5</v>
      </c>
    </row>
    <row r="1168" spans="1:11">
      <c r="A1168" t="s">
        <v>5</v>
      </c>
      <c r="B1168" s="5" t="str">
        <f t="shared" si="772"/>
        <v>SPS1</v>
      </c>
      <c r="C1168" s="5" t="str">
        <f t="shared" si="773"/>
        <v>CH</v>
      </c>
      <c r="D1168" t="s">
        <v>1338</v>
      </c>
      <c r="E1168" t="s">
        <v>8</v>
      </c>
      <c r="F1168" s="13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3.5971100095648301</v>
      </c>
      <c r="G1168" s="13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5.7398941631732789</v>
      </c>
      <c r="H1168" s="13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5.7453392578509659</v>
      </c>
      <c r="I1168" s="13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4.6335025497568738</v>
      </c>
      <c r="J1168" s="13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5.6007072547769477E-3</v>
      </c>
      <c r="K1168" s="13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1.3443322290547691E-5</v>
      </c>
    </row>
    <row r="1169" spans="1:18">
      <c r="A1169" t="s">
        <v>5</v>
      </c>
      <c r="B1169" s="5" t="str">
        <f t="shared" si="772"/>
        <v>SPS1</v>
      </c>
      <c r="C1169" s="5" t="str">
        <f t="shared" si="773"/>
        <v>CH</v>
      </c>
      <c r="D1169" t="s">
        <v>1339</v>
      </c>
      <c r="E1169" t="s">
        <v>8</v>
      </c>
      <c r="F1169" s="13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4.2001880009706731</v>
      </c>
      <c r="G1169" s="13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5.2542679033835427</v>
      </c>
      <c r="H1169" s="13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8.0582154337838361</v>
      </c>
      <c r="I1169" s="13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6.6348345991919642</v>
      </c>
      <c r="J1169" s="13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1.815160346455954</v>
      </c>
      <c r="K1169" s="13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1.6660264724229801</v>
      </c>
    </row>
    <row r="1170" spans="1:18">
      <c r="A1170" t="s">
        <v>5</v>
      </c>
      <c r="B1170" s="5" t="str">
        <f t="shared" si="772"/>
        <v>SPS1</v>
      </c>
      <c r="C1170" s="5" t="str">
        <f t="shared" si="773"/>
        <v>CH</v>
      </c>
      <c r="D1170" t="s">
        <v>1340</v>
      </c>
      <c r="E1170" t="s">
        <v>8</v>
      </c>
      <c r="F1170" s="13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3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1.0569788807983648E-7</v>
      </c>
      <c r="H1170" s="13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2.6797312523707486E-5</v>
      </c>
      <c r="I1170" s="13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9.0121478199358583E-5</v>
      </c>
      <c r="J1170" s="13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4.470879252361449E-5</v>
      </c>
      <c r="K1170" s="13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6.8855549668278232E-6</v>
      </c>
    </row>
    <row r="1171" spans="1:18">
      <c r="A1171" t="s">
        <v>5</v>
      </c>
      <c r="B1171" s="5" t="str">
        <f t="shared" si="772"/>
        <v>SPS1</v>
      </c>
      <c r="C1171" s="5" t="str">
        <f t="shared" si="773"/>
        <v>CH</v>
      </c>
      <c r="D1171" t="s">
        <v>1341</v>
      </c>
      <c r="E1171" t="s">
        <v>8</v>
      </c>
      <c r="F1171" s="13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3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1.963552520424249E-6</v>
      </c>
      <c r="H1171" s="13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2.1837593016997468E-5</v>
      </c>
      <c r="I1171" s="13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3.6218294994700547E-5</v>
      </c>
      <c r="J1171" s="13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2.2732765294621503E-5</v>
      </c>
      <c r="K1171" s="13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6.4157223886752391E-6</v>
      </c>
    </row>
    <row r="1172" spans="1:18">
      <c r="A1172" t="s">
        <v>5</v>
      </c>
      <c r="B1172" s="5" t="str">
        <f t="shared" si="772"/>
        <v>SPS1</v>
      </c>
      <c r="C1172" s="5" t="str">
        <f t="shared" si="773"/>
        <v>CH</v>
      </c>
      <c r="D1172" t="s">
        <v>1342</v>
      </c>
      <c r="E1172" t="s">
        <v>8</v>
      </c>
      <c r="F1172" s="13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3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2.1650722619194597E-6</v>
      </c>
      <c r="H1172" s="13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2.7007967061299655E-5</v>
      </c>
      <c r="I1172" s="13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4.3072033350572524E-5</v>
      </c>
      <c r="J1172" s="13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2.4806755646678919E-5</v>
      </c>
      <c r="K1172" s="13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7.8236611779912558E-6</v>
      </c>
    </row>
    <row r="1173" spans="1:18">
      <c r="A1173" t="s">
        <v>5</v>
      </c>
      <c r="B1173" s="5" t="str">
        <f t="shared" si="772"/>
        <v>SPS1</v>
      </c>
      <c r="C1173" s="5" t="str">
        <f t="shared" si="773"/>
        <v>CH</v>
      </c>
      <c r="D1173" t="s">
        <v>1343</v>
      </c>
      <c r="E1173" t="s">
        <v>8</v>
      </c>
      <c r="F1173" s="13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3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3.0331043925342415E-6</v>
      </c>
      <c r="H1173" s="13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3.8641376569035785E-5</v>
      </c>
      <c r="I1173" s="13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6.7028971077849963E-5</v>
      </c>
      <c r="J1173" s="13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1.0419539153093377E-4</v>
      </c>
      <c r="K1173" s="13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1.5325022323838599E-4</v>
      </c>
    </row>
    <row r="1174" spans="1:18">
      <c r="A1174" t="s">
        <v>5</v>
      </c>
      <c r="B1174" s="5" t="str">
        <f t="shared" si="772"/>
        <v>SPS1</v>
      </c>
      <c r="C1174" s="5" t="str">
        <f t="shared" si="773"/>
        <v>CH</v>
      </c>
      <c r="D1174" t="s">
        <v>1344</v>
      </c>
      <c r="E1174" t="s">
        <v>8</v>
      </c>
      <c r="F1174" s="13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3.2847868117839152E-4</v>
      </c>
      <c r="G1174" s="13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1.4568753740593361E-4</v>
      </c>
      <c r="H1174" s="13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1.002409793954734E-4</v>
      </c>
      <c r="I1174" s="13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8.6434712229880358E-5</v>
      </c>
      <c r="J1174" s="13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2.1519772444716475E-5</v>
      </c>
      <c r="K1174" s="13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6.8116699673050991E-6</v>
      </c>
    </row>
    <row r="1175" spans="1:18">
      <c r="A1175" t="s">
        <v>5</v>
      </c>
      <c r="B1175" s="5" t="str">
        <f t="shared" si="772"/>
        <v>SPS1</v>
      </c>
      <c r="C1175" s="5" t="str">
        <f t="shared" si="773"/>
        <v>CH</v>
      </c>
      <c r="D1175" t="s">
        <v>1345</v>
      </c>
      <c r="E1175" t="s">
        <v>8</v>
      </c>
      <c r="F1175" s="13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7.9411663797857898E-2</v>
      </c>
      <c r="G1175" s="13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0.16800456118770377</v>
      </c>
      <c r="H1175" s="13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0.11646448808777596</v>
      </c>
      <c r="I1175" s="13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0.10076231364481486</v>
      </c>
      <c r="J1175" s="13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1.0810280297044274E-4</v>
      </c>
      <c r="K1175" s="13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4.0343794752089046E-5</v>
      </c>
    </row>
    <row r="1176" spans="1:18">
      <c r="A1176" t="s">
        <v>5</v>
      </c>
      <c r="B1176" s="5" t="str">
        <f t="shared" si="772"/>
        <v>SPS1</v>
      </c>
      <c r="C1176" s="5" t="str">
        <f t="shared" si="773"/>
        <v>CH</v>
      </c>
      <c r="D1176" t="s">
        <v>1346</v>
      </c>
      <c r="E1176" t="s">
        <v>8</v>
      </c>
      <c r="F1176" s="13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7.6129304462146843E-2</v>
      </c>
      <c r="G1176" s="13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0.28273933045468447</v>
      </c>
      <c r="H1176" s="13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2.0663628944815384</v>
      </c>
      <c r="I1176" s="13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7.0631123387964472</v>
      </c>
      <c r="J1176" s="13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8.5029410731764923</v>
      </c>
      <c r="K1176" s="13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4.4616953031019149</v>
      </c>
    </row>
    <row r="1177" spans="1:18">
      <c r="A1177" t="s">
        <v>5</v>
      </c>
      <c r="B1177" s="5" t="str">
        <f t="shared" si="772"/>
        <v>SPS1</v>
      </c>
      <c r="C1177" s="5" t="str">
        <f t="shared" si="773"/>
        <v>CH</v>
      </c>
      <c r="D1177" t="s">
        <v>1347</v>
      </c>
      <c r="E1177" t="s">
        <v>8</v>
      </c>
      <c r="F1177" s="13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0.17727006221986374</v>
      </c>
      <c r="G1177" s="13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0.30458299818135076</v>
      </c>
      <c r="H1177" s="13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0.23971525869094168</v>
      </c>
      <c r="I1177" s="13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0.16903872564107675</v>
      </c>
      <c r="J1177" s="13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1.2215298120485816E-4</v>
      </c>
      <c r="K1177" s="13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4.3494662704769628E-5</v>
      </c>
    </row>
    <row r="1178" spans="1:18">
      <c r="A1178" t="s">
        <v>5</v>
      </c>
      <c r="B1178" s="5" t="str">
        <f t="shared" si="772"/>
        <v>SPS1</v>
      </c>
      <c r="C1178" s="5" t="str">
        <f t="shared" si="773"/>
        <v>CH</v>
      </c>
      <c r="D1178" t="s">
        <v>1348</v>
      </c>
      <c r="E1178" t="s">
        <v>8</v>
      </c>
      <c r="F1178" s="13">
        <f>SUM(F1183:F1200)</f>
        <v>61.470732284263569</v>
      </c>
      <c r="G1178" s="13">
        <f t="shared" ref="G1178:K1178" si="785">SUM(G1183:G1200)</f>
        <v>59.820199033081231</v>
      </c>
      <c r="H1178" s="13">
        <f t="shared" si="785"/>
        <v>46.548237505218481</v>
      </c>
      <c r="I1178" s="13">
        <f t="shared" si="785"/>
        <v>26.405199048400245</v>
      </c>
      <c r="J1178" s="13">
        <f t="shared" si="785"/>
        <v>6.7918920830110796</v>
      </c>
      <c r="K1178" s="13">
        <f t="shared" si="785"/>
        <v>3.2153983614755846</v>
      </c>
    </row>
    <row r="1179" spans="1:18">
      <c r="A1179" t="s">
        <v>5</v>
      </c>
      <c r="B1179" s="5" t="str">
        <f>B1178</f>
        <v>SPS1</v>
      </c>
      <c r="C1179" s="5" t="str">
        <f>C1178</f>
        <v>CH</v>
      </c>
      <c r="D1179" t="s">
        <v>1349</v>
      </c>
      <c r="E1179" t="str">
        <f>E1178</f>
        <v>PJ/yr.</v>
      </c>
      <c r="F1179" s="13">
        <f>F1178-F1180</f>
        <v>59.95859766487056</v>
      </c>
      <c r="G1179" s="13">
        <f t="shared" ref="G1179:K1179" si="786">G1178-G1180</f>
        <v>58.269777477276449</v>
      </c>
      <c r="H1179" s="13">
        <f t="shared" si="786"/>
        <v>45.083231260624018</v>
      </c>
      <c r="I1179" s="13">
        <f t="shared" si="786"/>
        <v>25.373988839157057</v>
      </c>
      <c r="J1179" s="13">
        <f t="shared" si="786"/>
        <v>6.6020691555625568</v>
      </c>
      <c r="K1179" s="13">
        <f t="shared" si="786"/>
        <v>-0.31244561726364006</v>
      </c>
    </row>
    <row r="1180" spans="1:18">
      <c r="A1180" t="s">
        <v>5</v>
      </c>
      <c r="B1180" s="5" t="str">
        <f t="shared" ref="B1180:B1182" si="787">B1179</f>
        <v>SPS1</v>
      </c>
      <c r="C1180" s="5" t="str">
        <f t="shared" ref="C1180:C1182" si="788">C1179</f>
        <v>CH</v>
      </c>
      <c r="D1180" t="s">
        <v>1350</v>
      </c>
      <c r="E1180" t="str">
        <f t="shared" ref="E1180:E1182" si="789">E1179</f>
        <v>PJ/yr.</v>
      </c>
      <c r="F1180" s="13">
        <f>SUM(F1181:F1182)</f>
        <v>1.5121346193930092</v>
      </c>
      <c r="G1180" s="13">
        <f t="shared" ref="G1180" si="790">SUM(G1181:G1182)</f>
        <v>1.5504215558047787</v>
      </c>
      <c r="H1180" s="13">
        <f t="shared" ref="H1180" si="791">SUM(H1181:H1182)</f>
        <v>1.4650062445944603</v>
      </c>
      <c r="I1180" s="13">
        <f t="shared" ref="I1180" si="792">SUM(I1181:I1182)</f>
        <v>1.0312102092431896</v>
      </c>
      <c r="J1180" s="13">
        <f t="shared" ref="J1180" si="793">SUM(J1181:J1182)</f>
        <v>0.18982292744852319</v>
      </c>
      <c r="K1180" s="13">
        <f t="shared" ref="K1180" si="794">SUM(K1181:K1182)</f>
        <v>3.5278439787392246</v>
      </c>
    </row>
    <row r="1181" spans="1:18">
      <c r="A1181" t="s">
        <v>5</v>
      </c>
      <c r="B1181" s="5" t="str">
        <f t="shared" si="787"/>
        <v>SPS1</v>
      </c>
      <c r="C1181" s="5" t="str">
        <f t="shared" si="788"/>
        <v>CH</v>
      </c>
      <c r="D1181" t="s">
        <v>1351</v>
      </c>
      <c r="E1181" t="str">
        <f t="shared" si="789"/>
        <v>PJ/yr.</v>
      </c>
      <c r="F1181" s="13">
        <f>[1]Transport!B$26/SUM([1]Transport!B$22,[1]Transport!B$26)*F1178*(F$33+F$580)/(F$33+F$580+F$36)</f>
        <v>1.5121346193930092</v>
      </c>
      <c r="G1181" s="13">
        <f>[1]Transport!C$26/SUM([1]Transport!C$22,[1]Transport!C$26)*G1178*(G$33+G$580)/(G$33+G$580+G$36)</f>
        <v>1.5504215558047787</v>
      </c>
      <c r="H1181" s="13">
        <f>[1]Transport!D$26/SUM([1]Transport!D$22,[1]Transport!D$26)*H1178*(H$33+H$580)/(H$33+H$580+H$36)</f>
        <v>1.4650062445944603</v>
      </c>
      <c r="I1181" s="13">
        <f>[1]Transport!E$26/SUM([1]Transport!E$22,[1]Transport!E$26)*I1178*(I$33+I$580)/(I$33+I$580+I$36)</f>
        <v>1.0312102092431896</v>
      </c>
      <c r="J1181" s="13">
        <f>[1]Transport!F$26/SUM([1]Transport!F$22,[1]Transport!F$26)*J1178*(J$33+J$580)/(J$33+J$580+J$36)</f>
        <v>0.18982163411468</v>
      </c>
      <c r="K1181" s="13">
        <f>[1]Transport!G$26/SUM([1]Transport!G$22,[1]Transport!G$26)*K1178*(K$33+K$580)/(K$33+K$580+K$36)</f>
        <v>0.74308087208498785</v>
      </c>
    </row>
    <row r="1182" spans="1:18">
      <c r="A1182" t="s">
        <v>5</v>
      </c>
      <c r="B1182" s="5" t="str">
        <f t="shared" si="787"/>
        <v>SPS1</v>
      </c>
      <c r="C1182" s="5" t="str">
        <f t="shared" si="788"/>
        <v>CH</v>
      </c>
      <c r="D1182" t="s">
        <v>1352</v>
      </c>
      <c r="E1182" t="str">
        <f t="shared" si="789"/>
        <v>PJ/yr.</v>
      </c>
      <c r="F1182" s="13">
        <f>(F$36+F$716)/([1]Transport!B$22+[1]Transport!B$26)*F1178</f>
        <v>0</v>
      </c>
      <c r="G1182" s="13">
        <f>(G$36+G$716)/([1]Transport!C$22+[1]Transport!C$26)*G1178</f>
        <v>0</v>
      </c>
      <c r="H1182" s="13">
        <f>(H$36+H$716)/([1]Transport!D$22+[1]Transport!D$26)*H1178</f>
        <v>0</v>
      </c>
      <c r="I1182" s="13">
        <f>(I$36+I$716)/([1]Transport!E$22+[1]Transport!E$26)*I1178</f>
        <v>0</v>
      </c>
      <c r="J1182" s="13">
        <f>(J$36+J$716)/([1]Transport!F$22+[1]Transport!F$26)*J1178</f>
        <v>1.2933338431899186E-6</v>
      </c>
      <c r="K1182" s="13">
        <f>(K$36+K$716)/([1]Transport!G$22+[1]Transport!G$26)*K1178</f>
        <v>2.7847631066542369</v>
      </c>
      <c r="M1182" s="2"/>
      <c r="N1182" s="2"/>
      <c r="O1182" s="2"/>
      <c r="P1182" s="2"/>
      <c r="Q1182" s="2"/>
      <c r="R1182" s="2"/>
    </row>
    <row r="1183" spans="1:18">
      <c r="A1183" t="s">
        <v>5</v>
      </c>
      <c r="B1183" s="5" t="str">
        <f>B1178</f>
        <v>SPS1</v>
      </c>
      <c r="C1183" s="5" t="str">
        <f>C1178</f>
        <v>CH</v>
      </c>
      <c r="D1183" t="s">
        <v>1353</v>
      </c>
      <c r="E1183" t="s">
        <v>8</v>
      </c>
      <c r="F1183" s="13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3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3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3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3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3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1:18">
      <c r="A1184" t="s">
        <v>5</v>
      </c>
      <c r="B1184" s="5" t="str">
        <f t="shared" si="772"/>
        <v>SPS1</v>
      </c>
      <c r="C1184" s="5" t="str">
        <f t="shared" si="773"/>
        <v>CH</v>
      </c>
      <c r="D1184" t="s">
        <v>1354</v>
      </c>
      <c r="E1184" t="s">
        <v>8</v>
      </c>
      <c r="F1184" s="13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3.2778344237673587E-5</v>
      </c>
      <c r="G1184" s="13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1.1610327731774659E-6</v>
      </c>
      <c r="H1184" s="13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2.6651436489771349E-5</v>
      </c>
      <c r="I1184" s="13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4.4323349322428902E-5</v>
      </c>
      <c r="J1184" s="13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0.1249141003414133</v>
      </c>
      <c r="K1184" s="13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0.14032019959847924</v>
      </c>
      <c r="R1184" s="2"/>
    </row>
    <row r="1185" spans="1:11">
      <c r="A1185" t="s">
        <v>5</v>
      </c>
      <c r="B1185" s="5" t="str">
        <f t="shared" si="772"/>
        <v>SPS1</v>
      </c>
      <c r="C1185" s="5" t="str">
        <f t="shared" si="773"/>
        <v>CH</v>
      </c>
      <c r="D1185" t="s">
        <v>1355</v>
      </c>
      <c r="E1185" t="s">
        <v>8</v>
      </c>
      <c r="F1185" s="13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2.9035908212442381E-3</v>
      </c>
      <c r="G1185" s="13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0.70026990424739199</v>
      </c>
      <c r="H1185" s="13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1.5914003255133331</v>
      </c>
      <c r="I1185" s="13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1.3486818175523729</v>
      </c>
      <c r="J1185" s="13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5.6719527948331835E-2</v>
      </c>
      <c r="K1185" s="13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2.8534082564915383E-5</v>
      </c>
    </row>
    <row r="1186" spans="1:11">
      <c r="A1186" t="s">
        <v>5</v>
      </c>
      <c r="B1186" s="5" t="str">
        <f t="shared" si="772"/>
        <v>SPS1</v>
      </c>
      <c r="C1186" s="5" t="str">
        <f t="shared" si="773"/>
        <v>CH</v>
      </c>
      <c r="D1186" t="s">
        <v>1356</v>
      </c>
      <c r="E1186" t="s">
        <v>8</v>
      </c>
      <c r="F1186" s="13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3.0192748298197142E-2</v>
      </c>
      <c r="G1186" s="13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4.5106316149455879E-2</v>
      </c>
      <c r="H1186" s="13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4.3131974282497723E-2</v>
      </c>
      <c r="I1186" s="13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3.2176644716025847E-2</v>
      </c>
      <c r="J1186" s="13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1.4564016956780152E-5</v>
      </c>
      <c r="K1186" s="13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5.6462490769312348E-6</v>
      </c>
    </row>
    <row r="1187" spans="1:11">
      <c r="A1187" t="s">
        <v>5</v>
      </c>
      <c r="B1187" s="5" t="str">
        <f t="shared" si="772"/>
        <v>SPS1</v>
      </c>
      <c r="C1187" s="5" t="str">
        <f t="shared" si="773"/>
        <v>CH</v>
      </c>
      <c r="D1187" t="s">
        <v>1357</v>
      </c>
      <c r="E1187" t="s">
        <v>8</v>
      </c>
      <c r="F1187" s="13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3.5639509230453358E-2</v>
      </c>
      <c r="G1187" s="13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0.46629319669574892</v>
      </c>
      <c r="H1187" s="13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0.43997604881569019</v>
      </c>
      <c r="I1187" s="13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0.35427961421094728</v>
      </c>
      <c r="J1187" s="13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1.8958835779719152E-5</v>
      </c>
      <c r="K1187" s="13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1.420860917471489E-5</v>
      </c>
    </row>
    <row r="1188" spans="1:11">
      <c r="A1188" t="s">
        <v>5</v>
      </c>
      <c r="B1188" s="5" t="str">
        <f t="shared" si="772"/>
        <v>SPS1</v>
      </c>
      <c r="C1188" s="5" t="str">
        <f t="shared" si="773"/>
        <v>CH</v>
      </c>
      <c r="D1188" t="s">
        <v>1358</v>
      </c>
      <c r="E1188" t="s">
        <v>8</v>
      </c>
      <c r="F1188" s="13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53.177799962353582</v>
      </c>
      <c r="G1188" s="13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48.700921576203839</v>
      </c>
      <c r="H1188" s="13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34.407813114836195</v>
      </c>
      <c r="I1188" s="13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13.061958737236344</v>
      </c>
      <c r="J1188" s="13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3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1:11">
      <c r="A1189" t="s">
        <v>5</v>
      </c>
      <c r="B1189" s="5" t="str">
        <f t="shared" si="772"/>
        <v>SPS1</v>
      </c>
      <c r="C1189" s="5" t="str">
        <f t="shared" si="773"/>
        <v>CH</v>
      </c>
      <c r="D1189" t="s">
        <v>1359</v>
      </c>
      <c r="E1189" t="s">
        <v>8</v>
      </c>
      <c r="F1189" s="13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5.5298805300352319E-3</v>
      </c>
      <c r="G1189" s="13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2.342081438561639E-3</v>
      </c>
      <c r="H1189" s="13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1.6369997318474491E-3</v>
      </c>
      <c r="I1189" s="13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1.3325578373986245E-3</v>
      </c>
      <c r="J1189" s="13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1.3493896108948167E-5</v>
      </c>
      <c r="K1189" s="13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3.5139789888301742E-6</v>
      </c>
    </row>
    <row r="1190" spans="1:11">
      <c r="A1190" t="s">
        <v>5</v>
      </c>
      <c r="B1190" s="5" t="str">
        <f t="shared" si="772"/>
        <v>SPS1</v>
      </c>
      <c r="C1190" s="5" t="str">
        <f t="shared" si="773"/>
        <v>CH</v>
      </c>
      <c r="D1190" t="s">
        <v>1360</v>
      </c>
      <c r="E1190" t="s">
        <v>8</v>
      </c>
      <c r="F1190" s="13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1.2221335123204091</v>
      </c>
      <c r="G1190" s="13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1.2830085347808811</v>
      </c>
      <c r="H1190" s="13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0.91584858065843389</v>
      </c>
      <c r="I1190" s="13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0.82809649439152055</v>
      </c>
      <c r="J1190" s="13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1.3124169150102443E-5</v>
      </c>
      <c r="K1190" s="13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3.6946052870687939E-6</v>
      </c>
    </row>
    <row r="1191" spans="1:11">
      <c r="A1191" t="s">
        <v>5</v>
      </c>
      <c r="B1191" s="5" t="str">
        <f t="shared" si="772"/>
        <v>SPS1</v>
      </c>
      <c r="C1191" s="5" t="str">
        <f t="shared" si="773"/>
        <v>CH</v>
      </c>
      <c r="D1191" t="s">
        <v>1361</v>
      </c>
      <c r="E1191" t="s">
        <v>8</v>
      </c>
      <c r="F1191" s="13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5.0481363491142934</v>
      </c>
      <c r="G1191" s="13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5.3267143766271401</v>
      </c>
      <c r="H1191" s="13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5.2757601285750262</v>
      </c>
      <c r="I1191" s="13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4.0287526789490391</v>
      </c>
      <c r="J1191" s="13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1.3821413336775372E-5</v>
      </c>
      <c r="K1191" s="13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4.2536344810397812E-6</v>
      </c>
    </row>
    <row r="1192" spans="1:11">
      <c r="A1192" t="s">
        <v>5</v>
      </c>
      <c r="B1192" s="5" t="str">
        <f t="shared" si="772"/>
        <v>SPS1</v>
      </c>
      <c r="C1192" s="5" t="str">
        <f t="shared" si="773"/>
        <v>CH</v>
      </c>
      <c r="D1192" t="s">
        <v>1362</v>
      </c>
      <c r="E1192" t="s">
        <v>8</v>
      </c>
      <c r="F1192" s="13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1.9420460410945746</v>
      </c>
      <c r="G1192" s="13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2.2108275237215769</v>
      </c>
      <c r="H1192" s="13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2.1742835851045017</v>
      </c>
      <c r="I1192" s="13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1.672007139628424</v>
      </c>
      <c r="J1192" s="13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7.5354802117408104E-6</v>
      </c>
      <c r="K1192" s="13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2.1110529396155542E-6</v>
      </c>
    </row>
    <row r="1193" spans="1:11">
      <c r="A1193" t="s">
        <v>5</v>
      </c>
      <c r="B1193" s="5" t="str">
        <f t="shared" si="772"/>
        <v>SPS1</v>
      </c>
      <c r="C1193" s="5" t="str">
        <f t="shared" si="773"/>
        <v>CH</v>
      </c>
      <c r="D1193" t="s">
        <v>1363</v>
      </c>
      <c r="E1193" t="s">
        <v>8</v>
      </c>
      <c r="F1193" s="13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3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1.2028837684688881E-7</v>
      </c>
      <c r="H1193" s="13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2.0736303125087625E-5</v>
      </c>
      <c r="I1193" s="13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6.4901061867843037E-5</v>
      </c>
      <c r="J1193" s="13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5.6973593581271671E-5</v>
      </c>
      <c r="K1193" s="13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3.8097026174709235E-5</v>
      </c>
    </row>
    <row r="1194" spans="1:11">
      <c r="A1194" t="s">
        <v>5</v>
      </c>
      <c r="B1194" s="5" t="str">
        <f t="shared" si="772"/>
        <v>SPS1</v>
      </c>
      <c r="C1194" s="5" t="str">
        <f t="shared" si="773"/>
        <v>CH</v>
      </c>
      <c r="D1194" t="s">
        <v>1364</v>
      </c>
      <c r="E1194" t="s">
        <v>8</v>
      </c>
      <c r="F1194" s="13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3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1.9352100636116818E-6</v>
      </c>
      <c r="H1194" s="13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1.850189435478428E-5</v>
      </c>
      <c r="I1194" s="13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3.4121701902869249E-5</v>
      </c>
      <c r="J1194" s="13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2.3923192444923493E-5</v>
      </c>
      <c r="K1194" s="13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1.8532357378121465E-5</v>
      </c>
    </row>
    <row r="1195" spans="1:11">
      <c r="A1195" t="s">
        <v>5</v>
      </c>
      <c r="B1195" s="5" t="str">
        <f t="shared" si="772"/>
        <v>SPS1</v>
      </c>
      <c r="C1195" s="5" t="str">
        <f t="shared" si="773"/>
        <v>CH</v>
      </c>
      <c r="D1195" t="s">
        <v>1365</v>
      </c>
      <c r="E1195" t="s">
        <v>8</v>
      </c>
      <c r="F1195" s="13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3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2.0822495247376651E-6</v>
      </c>
      <c r="H1195" s="13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2.1891938035414349E-5</v>
      </c>
      <c r="I1195" s="13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3.5416059424475921E-5</v>
      </c>
      <c r="J1195" s="13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2.5156382104638628E-5</v>
      </c>
      <c r="K1195" s="13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4.261380211204371E-5</v>
      </c>
    </row>
    <row r="1196" spans="1:11">
      <c r="A1196" t="s">
        <v>5</v>
      </c>
      <c r="B1196" s="5" t="str">
        <f t="shared" si="772"/>
        <v>SPS1</v>
      </c>
      <c r="C1196" s="5" t="str">
        <f t="shared" si="773"/>
        <v>CH</v>
      </c>
      <c r="D1196" t="s">
        <v>1366</v>
      </c>
      <c r="E1196" t="s">
        <v>8</v>
      </c>
      <c r="F1196" s="13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3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1.9629919193585966E-6</v>
      </c>
      <c r="H1196" s="13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1.0272365954707988E-5</v>
      </c>
      <c r="I1196" s="13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1.51495124473212E-5</v>
      </c>
      <c r="J1196" s="13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1.2756366085543456E-5</v>
      </c>
      <c r="K1196" s="13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1.0542095406660188E-5</v>
      </c>
    </row>
    <row r="1197" spans="1:11">
      <c r="A1197" t="s">
        <v>5</v>
      </c>
      <c r="B1197" s="5" t="str">
        <f t="shared" si="772"/>
        <v>SPS1</v>
      </c>
      <c r="C1197" s="5" t="str">
        <f t="shared" si="773"/>
        <v>CH</v>
      </c>
      <c r="D1197" t="s">
        <v>1367</v>
      </c>
      <c r="E1197" t="s">
        <v>8</v>
      </c>
      <c r="F1197" s="13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1.8056564571288158E-5</v>
      </c>
      <c r="G1197" s="13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2.2083274160888218E-5</v>
      </c>
      <c r="H1197" s="13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2.513255237236993E-5</v>
      </c>
      <c r="I1197" s="13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2.8939590399763473E-5</v>
      </c>
      <c r="J1197" s="13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2.1675469678670104E-5</v>
      </c>
      <c r="K1197" s="13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6.730657195769629E-6</v>
      </c>
    </row>
    <row r="1198" spans="1:11">
      <c r="A1198" t="s">
        <v>5</v>
      </c>
      <c r="B1198" s="5" t="str">
        <f t="shared" si="772"/>
        <v>SPS1</v>
      </c>
      <c r="C1198" s="5" t="str">
        <f t="shared" si="773"/>
        <v>CH</v>
      </c>
      <c r="D1198" t="s">
        <v>1368</v>
      </c>
      <c r="E1198" t="s">
        <v>8</v>
      </c>
      <c r="F1198" s="13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3.5191970883150388E-6</v>
      </c>
      <c r="G1198" s="13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2.9152185561853563E-5</v>
      </c>
      <c r="H1198" s="13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5.7466551627935355E-5</v>
      </c>
      <c r="I1198" s="13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8.0968791247453776E-5</v>
      </c>
      <c r="J1198" s="13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1.1582546416210466E-4</v>
      </c>
      <c r="K1198" s="13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3.8858800635316359E-5</v>
      </c>
    </row>
    <row r="1199" spans="1:11">
      <c r="A1199" t="s">
        <v>5</v>
      </c>
      <c r="B1199" s="5" t="str">
        <f t="shared" si="772"/>
        <v>SPS1</v>
      </c>
      <c r="C1199" s="5" t="str">
        <f t="shared" si="773"/>
        <v>CH</v>
      </c>
      <c r="D1199" t="s">
        <v>1369</v>
      </c>
      <c r="E1199" t="s">
        <v>8</v>
      </c>
      <c r="F1199" s="13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9.4887779987134859E-5</v>
      </c>
      <c r="G1199" s="13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2.1138572629564642E-4</v>
      </c>
      <c r="H1199" s="13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0.85862331594062002</v>
      </c>
      <c r="I1199" s="13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4.4833152950143695</v>
      </c>
      <c r="J1199" s="13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6.6097993256116974</v>
      </c>
      <c r="K1199" s="13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3.0748208189741235</v>
      </c>
    </row>
    <row r="1200" spans="1:11">
      <c r="A1200" t="s">
        <v>5</v>
      </c>
      <c r="B1200" s="5" t="str">
        <f t="shared" si="772"/>
        <v>SPS1</v>
      </c>
      <c r="C1200" s="5" t="str">
        <f t="shared" si="773"/>
        <v>CH</v>
      </c>
      <c r="D1200" t="s">
        <v>1370</v>
      </c>
      <c r="E1200" t="s">
        <v>8</v>
      </c>
      <c r="F1200" s="13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6.2014486148983927E-3</v>
      </c>
      <c r="G1200" s="13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1.0844456402579628</v>
      </c>
      <c r="H1200" s="13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0.83958277871837361</v>
      </c>
      <c r="I1200" s="13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0.59429424879719261</v>
      </c>
      <c r="J1200" s="13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1.2132083003586271E-4</v>
      </c>
      <c r="K1200" s="13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4.0005951566228964E-5</v>
      </c>
    </row>
    <row r="1201" spans="1:11">
      <c r="A1201" t="s">
        <v>5</v>
      </c>
      <c r="B1201" s="5" t="str">
        <f t="shared" si="772"/>
        <v>SPS1</v>
      </c>
      <c r="C1201" s="5" t="str">
        <f t="shared" si="773"/>
        <v>CH</v>
      </c>
      <c r="D1201" t="s">
        <v>1371</v>
      </c>
      <c r="E1201" t="s">
        <v>8</v>
      </c>
      <c r="F1201" s="13">
        <f>SUM(F1206:F1210)</f>
        <v>1.3338883272557622E-2</v>
      </c>
      <c r="G1201" s="13">
        <f t="shared" ref="G1201:K1201" si="795">SUM(G1206:G1210)</f>
        <v>5.2568752040727928E-4</v>
      </c>
      <c r="H1201" s="13">
        <f t="shared" si="795"/>
        <v>1.0517029108776483E-3</v>
      </c>
      <c r="I1201" s="13">
        <f t="shared" si="795"/>
        <v>2.0547496603292269E-3</v>
      </c>
      <c r="J1201" s="13">
        <f t="shared" si="795"/>
        <v>1.4703670599738421E-3</v>
      </c>
      <c r="K1201" s="13">
        <f t="shared" si="795"/>
        <v>1.2215085109271639E-3</v>
      </c>
    </row>
    <row r="1202" spans="1:11">
      <c r="A1202" t="s">
        <v>5</v>
      </c>
      <c r="B1202" s="5" t="str">
        <f t="shared" si="772"/>
        <v>SPS1</v>
      </c>
      <c r="C1202" s="5" t="str">
        <f t="shared" si="773"/>
        <v>CH</v>
      </c>
      <c r="D1202" t="s">
        <v>1404</v>
      </c>
      <c r="E1202" t="s">
        <v>8</v>
      </c>
      <c r="F1202" s="13">
        <f>F1201-F1203</f>
        <v>1.2333243536087014E-2</v>
      </c>
      <c r="G1202" s="13">
        <f t="shared" ref="G1202:K1202" si="796">G1201-G1203</f>
        <v>4.3997314090720975E-4</v>
      </c>
      <c r="H1202" s="13">
        <f t="shared" si="796"/>
        <v>9.8104746585180188E-4</v>
      </c>
      <c r="I1202" s="13">
        <f t="shared" si="796"/>
        <v>2.0547468335894992E-3</v>
      </c>
      <c r="J1202" s="13">
        <f t="shared" si="796"/>
        <v>-7.7926591622938766E-3</v>
      </c>
      <c r="K1202" s="13">
        <f t="shared" si="796"/>
        <v>1.2214654634377473E-3</v>
      </c>
    </row>
    <row r="1203" spans="1:11">
      <c r="A1203" t="s">
        <v>5</v>
      </c>
      <c r="B1203" s="5" t="str">
        <f t="shared" si="772"/>
        <v>SPS1</v>
      </c>
      <c r="C1203" s="5" t="str">
        <f t="shared" si="773"/>
        <v>CH</v>
      </c>
      <c r="D1203" t="s">
        <v>1405</v>
      </c>
      <c r="E1203" t="s">
        <v>8</v>
      </c>
      <c r="F1203" s="13">
        <f>SUM(F1204:F1205)</f>
        <v>1.0056397364706083E-3</v>
      </c>
      <c r="G1203" s="13">
        <f t="shared" ref="G1203" si="797">SUM(G1204:G1205)</f>
        <v>8.5714379500069539E-5</v>
      </c>
      <c r="H1203" s="13">
        <f t="shared" ref="H1203" si="798">SUM(H1204:H1205)</f>
        <v>7.0655445025846503E-5</v>
      </c>
      <c r="I1203" s="13">
        <f t="shared" ref="I1203" si="799">SUM(I1204:I1205)</f>
        <v>2.8267397275544644E-9</v>
      </c>
      <c r="J1203" s="13">
        <f t="shared" ref="J1203" si="800">SUM(J1204:J1205)</f>
        <v>9.2630262222677187E-3</v>
      </c>
      <c r="K1203" s="13">
        <f t="shared" ref="K1203" si="801">SUM(K1204:K1205)</f>
        <v>4.3047489416581082E-8</v>
      </c>
    </row>
    <row r="1204" spans="1:11">
      <c r="A1204" t="s">
        <v>5</v>
      </c>
      <c r="B1204" s="5" t="str">
        <f t="shared" si="772"/>
        <v>SPS1</v>
      </c>
      <c r="C1204" s="5" t="str">
        <f t="shared" si="773"/>
        <v>CH</v>
      </c>
      <c r="D1204" t="s">
        <v>1406</v>
      </c>
      <c r="E1204" t="s">
        <v>8</v>
      </c>
      <c r="F1204" s="13">
        <f>[1]Transport!B$27/SUM([1]Transport!B$24,[1]Transport!B$27)*F1201*(F$45+F$612)/(F$45+F$612+F$47)</f>
        <v>1.0056397364706083E-3</v>
      </c>
      <c r="G1204" s="13">
        <f>[1]Transport!C$27/SUM([1]Transport!C$24,[1]Transport!C$27)*G1201*(G$45+G$612)/(G$45+G$612+G$47)</f>
        <v>8.5714379500069539E-5</v>
      </c>
      <c r="H1204" s="13">
        <f>[1]Transport!D$27/SUM([1]Transport!D$24,[1]Transport!D$27)*H1201*(H$45+H$612)/(H$45+H$612+H$47)</f>
        <v>7.0655445025846503E-5</v>
      </c>
      <c r="I1204" s="13">
        <f>[1]Transport!E$27/SUM([1]Transport!E$24,[1]Transport!E$27)*I1201*(I$45+I$612)/(I$45+I$612+I$47)</f>
        <v>2.8267397275544644E-9</v>
      </c>
      <c r="J1204" s="13">
        <f>[1]Transport!F$27/SUM([1]Transport!F$24,[1]Transport!F$27)*J1201*(J$45+J$612)/(J$45+J$612+J$47)</f>
        <v>1.7032110616570018E-8</v>
      </c>
      <c r="K1204" s="13">
        <f>[1]Transport!G$27/SUM([1]Transport!G$24,[1]Transport!G$27)*K1201*(K$45+K$612)/(K$45+K$612+K$47)</f>
        <v>1.7931560595180161E-8</v>
      </c>
    </row>
    <row r="1205" spans="1:11">
      <c r="A1205" t="s">
        <v>5</v>
      </c>
      <c r="B1205" s="5" t="str">
        <f t="shared" si="772"/>
        <v>SPS1</v>
      </c>
      <c r="C1205" s="5" t="str">
        <f t="shared" si="773"/>
        <v>CH</v>
      </c>
      <c r="D1205" t="s">
        <v>1407</v>
      </c>
      <c r="E1205" t="s">
        <v>8</v>
      </c>
      <c r="F1205" s="13">
        <f>(F$47+F$714)/([1]Transport!B$24+[1]Transport!B$27)*F1201</f>
        <v>0</v>
      </c>
      <c r="G1205" s="13">
        <f>(G$47+G$714)/([1]Transport!C$24+[1]Transport!C$27)*G1201</f>
        <v>0</v>
      </c>
      <c r="H1205" s="13">
        <f>(H$47+H$714)/([1]Transport!D$24+[1]Transport!D$27)*H1201</f>
        <v>0</v>
      </c>
      <c r="I1205" s="13">
        <f>(I$47+I$714)/([1]Transport!E$24+[1]Transport!E$27)*I1201</f>
        <v>0</v>
      </c>
      <c r="J1205" s="13">
        <f>(J$47+J$714)/([1]Transport!F$24+[1]Transport!F$27)*J1201</f>
        <v>9.2630091901571027E-3</v>
      </c>
      <c r="K1205" s="13">
        <f>(K$47+K$714)/([1]Transport!G$24+[1]Transport!G$27)*K1201</f>
        <v>2.5115928821400921E-8</v>
      </c>
    </row>
    <row r="1206" spans="1:11">
      <c r="A1206" t="s">
        <v>5</v>
      </c>
      <c r="B1206" s="5" t="str">
        <f>B1201</f>
        <v>SPS1</v>
      </c>
      <c r="C1206" s="5" t="str">
        <f>C1201</f>
        <v>CH</v>
      </c>
      <c r="D1206" t="s">
        <v>1399</v>
      </c>
      <c r="E1206" t="s">
        <v>8</v>
      </c>
      <c r="F1206" s="13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3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3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3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3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3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1:11">
      <c r="A1207" t="s">
        <v>5</v>
      </c>
      <c r="B1207" s="5" t="str">
        <f t="shared" si="772"/>
        <v>SPS1</v>
      </c>
      <c r="C1207" s="5" t="str">
        <f t="shared" si="773"/>
        <v>CH</v>
      </c>
      <c r="D1207" t="s">
        <v>1400</v>
      </c>
      <c r="E1207" t="s">
        <v>8</v>
      </c>
      <c r="F1207" s="13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3.8863941799840498E-3</v>
      </c>
      <c r="G1207" s="13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1.4972410414134982E-4</v>
      </c>
      <c r="H1207" s="13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1.4381805680811879E-4</v>
      </c>
      <c r="I1207" s="13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1.1667560977859363E-4</v>
      </c>
      <c r="J1207" s="13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7.0005808321127268E-6</v>
      </c>
      <c r="K1207" s="13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1.3627231899131609E-6</v>
      </c>
    </row>
    <row r="1208" spans="1:11">
      <c r="A1208" t="s">
        <v>5</v>
      </c>
      <c r="B1208" s="5" t="str">
        <f t="shared" si="772"/>
        <v>SPS1</v>
      </c>
      <c r="C1208" s="5" t="str">
        <f t="shared" si="773"/>
        <v>CH</v>
      </c>
      <c r="D1208" t="s">
        <v>1401</v>
      </c>
      <c r="E1208" t="s">
        <v>8</v>
      </c>
      <c r="F1208" s="13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8.6655280514593806E-3</v>
      </c>
      <c r="G1208" s="13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9.106746892838417E-7</v>
      </c>
      <c r="H1208" s="13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1.3170689120917389E-5</v>
      </c>
      <c r="I1208" s="13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2.577096939955961E-5</v>
      </c>
      <c r="J1208" s="13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1.5823518675184471E-5</v>
      </c>
      <c r="K1208" s="13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4.5061149514943044E-6</v>
      </c>
    </row>
    <row r="1209" spans="1:11">
      <c r="A1209" t="s">
        <v>5</v>
      </c>
      <c r="B1209" s="5" t="str">
        <f t="shared" si="772"/>
        <v>SPS1</v>
      </c>
      <c r="C1209" s="5" t="str">
        <f t="shared" si="773"/>
        <v>CH</v>
      </c>
      <c r="D1209" t="s">
        <v>1402</v>
      </c>
      <c r="E1209" t="s">
        <v>8</v>
      </c>
      <c r="F1209" s="13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7.6578525537962278E-4</v>
      </c>
      <c r="G1209" s="13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3.6928545125036603E-4</v>
      </c>
      <c r="H1209" s="13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7.6412654942745412E-4</v>
      </c>
      <c r="I1209" s="13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6.9463311503188598E-4</v>
      </c>
      <c r="J1209" s="13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8.8084563406880657E-5</v>
      </c>
      <c r="K1209" s="13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1.6392672225872696E-5</v>
      </c>
    </row>
    <row r="1210" spans="1:11">
      <c r="A1210" t="s">
        <v>5</v>
      </c>
      <c r="B1210" s="5" t="str">
        <f t="shared" si="772"/>
        <v>SPS1</v>
      </c>
      <c r="C1210" s="5" t="str">
        <f t="shared" si="773"/>
        <v>CH</v>
      </c>
      <c r="D1210" t="s">
        <v>1403</v>
      </c>
      <c r="E1210" t="s">
        <v>8</v>
      </c>
      <c r="F1210" s="13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2.1175785734567E-5</v>
      </c>
      <c r="G1210" s="13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5.7672903262796044E-6</v>
      </c>
      <c r="H1210" s="13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1.3058761552115809E-4</v>
      </c>
      <c r="I1210" s="13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1.2176699661191875E-3</v>
      </c>
      <c r="J1210" s="13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1.3594583970596642E-3</v>
      </c>
      <c r="K1210" s="13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1.1992470005598838E-3</v>
      </c>
    </row>
    <row r="1211" spans="1:11">
      <c r="A1211" t="s">
        <v>5</v>
      </c>
      <c r="B1211" s="5" t="str">
        <f t="shared" si="772"/>
        <v>SPS1</v>
      </c>
      <c r="C1211" s="5" t="str">
        <f t="shared" si="773"/>
        <v>CH</v>
      </c>
      <c r="D1211" s="1" t="s">
        <v>1200</v>
      </c>
      <c r="E1211" s="1" t="s">
        <v>1199</v>
      </c>
      <c r="F1211" s="16">
        <f>SUM(F1212:F1261)</f>
        <v>49.003109241123482</v>
      </c>
      <c r="G1211" s="16">
        <f t="shared" ref="G1211:K1211" si="802">SUM(G1212:G1261)</f>
        <v>57.664059183292565</v>
      </c>
      <c r="H1211" s="16">
        <f t="shared" si="802"/>
        <v>60.26117295907293</v>
      </c>
      <c r="I1211" s="16">
        <f t="shared" si="802"/>
        <v>62.143034480219001</v>
      </c>
      <c r="J1211" s="16">
        <f t="shared" si="802"/>
        <v>61.954249984650808</v>
      </c>
      <c r="K1211" s="16">
        <f t="shared" si="802"/>
        <v>60.216209028059076</v>
      </c>
    </row>
    <row r="1212" spans="1:11">
      <c r="A1212" t="s">
        <v>5</v>
      </c>
      <c r="B1212" s="5" t="str">
        <f>B1211</f>
        <v>SPS1</v>
      </c>
      <c r="C1212" s="5" t="str">
        <f>C1211</f>
        <v>CH</v>
      </c>
      <c r="D1212" t="s">
        <v>1201</v>
      </c>
      <c r="E1212" t="str">
        <f>E1211</f>
        <v>billion km/yr.</v>
      </c>
      <c r="F1212" s="13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0.41619602689593543</v>
      </c>
      <c r="G1212" s="13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</v>
      </c>
      <c r="H1212" s="13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0.2774640375359736</v>
      </c>
      <c r="I1212" s="13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0.13873201788660572</v>
      </c>
      <c r="J1212" s="13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3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1:11">
      <c r="A1213" t="s">
        <v>5</v>
      </c>
      <c r="B1213" s="5" t="str">
        <f t="shared" si="772"/>
        <v>SPS1</v>
      </c>
      <c r="C1213" s="5" t="str">
        <f t="shared" si="773"/>
        <v>CH</v>
      </c>
      <c r="D1213" t="s">
        <v>1202</v>
      </c>
      <c r="E1213" t="str">
        <f t="shared" ref="E1213:E1261" si="803">E1212</f>
        <v>billion km/yr.</v>
      </c>
      <c r="F1213" s="13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1.3842817873123633E-2</v>
      </c>
      <c r="G1213" s="13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0.66373038675962026</v>
      </c>
      <c r="H1213" s="13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1.0201817719728963</v>
      </c>
      <c r="I1213" s="13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1.8089339026643187</v>
      </c>
      <c r="J1213" s="13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1.5881742697794559</v>
      </c>
      <c r="K1213" s="13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1.8346267917731127</v>
      </c>
    </row>
    <row r="1214" spans="1:11">
      <c r="A1214" t="s">
        <v>5</v>
      </c>
      <c r="B1214" s="5" t="str">
        <f t="shared" si="772"/>
        <v>SPS1</v>
      </c>
      <c r="C1214" s="5" t="str">
        <f t="shared" si="773"/>
        <v>CH</v>
      </c>
      <c r="D1214" t="s">
        <v>1203</v>
      </c>
      <c r="E1214" t="str">
        <f t="shared" si="803"/>
        <v>billion km/yr.</v>
      </c>
      <c r="F1214" s="13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3.9621083842839695E-2</v>
      </c>
      <c r="G1214" s="13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3.6153562406361639E-5</v>
      </c>
      <c r="H1214" s="13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3.3745032153927561E-4</v>
      </c>
      <c r="I1214" s="13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6.7604592247348876</v>
      </c>
      <c r="J1214" s="13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18.040790482440354</v>
      </c>
      <c r="K1214" s="13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17.772309829592984</v>
      </c>
    </row>
    <row r="1215" spans="1:11">
      <c r="A1215" t="s">
        <v>5</v>
      </c>
      <c r="B1215" s="5" t="str">
        <f t="shared" si="772"/>
        <v>SPS1</v>
      </c>
      <c r="C1215" s="5" t="str">
        <f t="shared" si="773"/>
        <v>CH</v>
      </c>
      <c r="D1215" t="s">
        <v>1204</v>
      </c>
      <c r="E1215" t="str">
        <f t="shared" si="803"/>
        <v>billion km/yr.</v>
      </c>
      <c r="F1215" s="13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1.6136357850581529E-2</v>
      </c>
      <c r="G1215" s="13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4.785804045051737E-4</v>
      </c>
      <c r="H1215" s="13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1.2049420555107675E-3</v>
      </c>
      <c r="I1215" s="13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0.17307953834809395</v>
      </c>
      <c r="J1215" s="13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1.040924854464111</v>
      </c>
      <c r="K1215" s="13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1.4871591157059392</v>
      </c>
    </row>
    <row r="1216" spans="1:11">
      <c r="A1216" t="s">
        <v>5</v>
      </c>
      <c r="B1216" s="5" t="str">
        <f t="shared" ref="B1216:B1262" si="804">B1215</f>
        <v>SPS1</v>
      </c>
      <c r="C1216" s="5" t="str">
        <f t="shared" ref="C1216:C1262" si="805">C1215</f>
        <v>CH</v>
      </c>
      <c r="D1216" t="s">
        <v>1205</v>
      </c>
      <c r="E1216" t="str">
        <f t="shared" si="803"/>
        <v>billion km/yr.</v>
      </c>
      <c r="F1216" s="13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7.4248775062934855E-2</v>
      </c>
      <c r="G1216" s="13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2.007911457393812E-4</v>
      </c>
      <c r="H1216" s="13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3.2787655148607762</v>
      </c>
      <c r="I1216" s="13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12.895431447392399</v>
      </c>
      <c r="J1216" s="13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21.778187776879143</v>
      </c>
      <c r="K1216" s="13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21.42416926299234</v>
      </c>
    </row>
    <row r="1217" spans="1:11">
      <c r="A1217" t="s">
        <v>5</v>
      </c>
      <c r="B1217" s="5" t="str">
        <f t="shared" si="804"/>
        <v>SPS1</v>
      </c>
      <c r="C1217" s="5" t="str">
        <f t="shared" si="805"/>
        <v>CH</v>
      </c>
      <c r="D1217" t="s">
        <v>1206</v>
      </c>
      <c r="E1217" t="str">
        <f t="shared" si="803"/>
        <v>billion km/yr.</v>
      </c>
      <c r="F1217" s="13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2.3390926231894266E-4</v>
      </c>
      <c r="G1217" s="13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1.0259049325933768E-4</v>
      </c>
      <c r="H1217" s="13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7.9797369530382756E-5</v>
      </c>
      <c r="I1217" s="13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7.4384073556583741E-5</v>
      </c>
      <c r="J1217" s="13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2.5054710071598197E-5</v>
      </c>
      <c r="K1217" s="13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1.5549240882256958E-5</v>
      </c>
    </row>
    <row r="1218" spans="1:11">
      <c r="A1218" t="s">
        <v>5</v>
      </c>
      <c r="B1218" s="5" t="str">
        <f t="shared" si="804"/>
        <v>SPS1</v>
      </c>
      <c r="C1218" s="5" t="str">
        <f t="shared" si="805"/>
        <v>CH</v>
      </c>
      <c r="D1218" t="s">
        <v>1207</v>
      </c>
      <c r="E1218" t="str">
        <f t="shared" si="803"/>
        <v>billion km/yr.</v>
      </c>
      <c r="F1218" s="13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4.6576635168414669E-2</v>
      </c>
      <c r="G1218" s="13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9.8453804701227776E-2</v>
      </c>
      <c r="H1218" s="13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6.8288328454795627E-2</v>
      </c>
      <c r="I1218" s="13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7.7088241321791748E-2</v>
      </c>
      <c r="J1218" s="13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1.1322776637621359E-4</v>
      </c>
      <c r="K1218" s="13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7.2669780531933173E-5</v>
      </c>
    </row>
    <row r="1219" spans="1:11">
      <c r="A1219" t="s">
        <v>5</v>
      </c>
      <c r="B1219" s="5" t="str">
        <f t="shared" si="804"/>
        <v>SPS1</v>
      </c>
      <c r="C1219" s="5" t="str">
        <f t="shared" si="805"/>
        <v>CH</v>
      </c>
      <c r="D1219" t="s">
        <v>1208</v>
      </c>
      <c r="E1219" t="str">
        <f t="shared" si="803"/>
        <v>billion km/yr.</v>
      </c>
      <c r="F1219" s="13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4.1531220195212916E-2</v>
      </c>
      <c r="G1219" s="13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0.15424492104736054</v>
      </c>
      <c r="H1219" s="13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1.3948897909321039</v>
      </c>
      <c r="I1219" s="13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5.464158726201334</v>
      </c>
      <c r="J1219" s="13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9.9759281364410839</v>
      </c>
      <c r="K1219" s="13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9.0286605461900162</v>
      </c>
    </row>
    <row r="1220" spans="1:11">
      <c r="A1220" t="s">
        <v>5</v>
      </c>
      <c r="B1220" s="5" t="str">
        <f t="shared" si="804"/>
        <v>SPS1</v>
      </c>
      <c r="C1220" s="5" t="str">
        <f t="shared" si="805"/>
        <v>CH</v>
      </c>
      <c r="D1220" t="s">
        <v>1209</v>
      </c>
      <c r="E1220" t="str">
        <f t="shared" si="803"/>
        <v>billion km/yr.</v>
      </c>
      <c r="F1220" s="13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9.2137122572395494E-2</v>
      </c>
      <c r="G1220" s="13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0.15830896183843507</v>
      </c>
      <c r="H1220" s="13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0.15176717604952689</v>
      </c>
      <c r="I1220" s="13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0.1213357199959138</v>
      </c>
      <c r="J1220" s="13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1.2373880817586458E-4</v>
      </c>
      <c r="K1220" s="13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7.8829879255539579E-5</v>
      </c>
    </row>
    <row r="1221" spans="1:11">
      <c r="A1221" t="s">
        <v>5</v>
      </c>
      <c r="B1221" s="5" t="str">
        <f t="shared" si="804"/>
        <v>SPS1</v>
      </c>
      <c r="C1221" s="5" t="str">
        <f t="shared" si="805"/>
        <v>CH</v>
      </c>
      <c r="D1221" t="s">
        <v>1210</v>
      </c>
      <c r="E1221" t="str">
        <f t="shared" si="803"/>
        <v>billion km/yr.</v>
      </c>
      <c r="F1221" s="13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1.3152504480768465E-5</v>
      </c>
      <c r="G1221" s="13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1.5725525090936839E-5</v>
      </c>
      <c r="H1221" s="13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2.0051491800594367E-5</v>
      </c>
      <c r="I1221" s="13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2.5316881761182366E-5</v>
      </c>
      <c r="J1221" s="13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2.5693337974872575E-5</v>
      </c>
      <c r="K1221" s="13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1.5530546333350385E-5</v>
      </c>
    </row>
    <row r="1222" spans="1:11">
      <c r="A1222" t="s">
        <v>5</v>
      </c>
      <c r="B1222" s="5" t="str">
        <f t="shared" si="804"/>
        <v>SPS1</v>
      </c>
      <c r="C1222" s="5" t="str">
        <f t="shared" si="805"/>
        <v>CH</v>
      </c>
      <c r="D1222" t="s">
        <v>1211</v>
      </c>
      <c r="E1222" t="str">
        <f t="shared" si="803"/>
        <v>billion km/yr.</v>
      </c>
      <c r="F1222" s="13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2.3654286723845484E-6</v>
      </c>
      <c r="G1222" s="13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1.7228380696202124E-5</v>
      </c>
      <c r="H1222" s="13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3.8849858084359556E-5</v>
      </c>
      <c r="I1222" s="13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6.1600507780079885E-5</v>
      </c>
      <c r="J1222" s="13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1.2274998342032571E-4</v>
      </c>
      <c r="K1222" s="13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7.1857624069518813E-5</v>
      </c>
    </row>
    <row r="1223" spans="1:11">
      <c r="A1223" t="s">
        <v>5</v>
      </c>
      <c r="B1223" s="5" t="str">
        <f t="shared" si="804"/>
        <v>SPS1</v>
      </c>
      <c r="C1223" s="5" t="str">
        <f t="shared" si="805"/>
        <v>CH</v>
      </c>
      <c r="D1223" t="s">
        <v>1212</v>
      </c>
      <c r="E1223" t="str">
        <f t="shared" si="803"/>
        <v>billion km/yr.</v>
      </c>
      <c r="F1223" s="13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5.2172207868231011E-5</v>
      </c>
      <c r="G1223" s="13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1.1697548572094666E-4</v>
      </c>
      <c r="H1223" s="13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0.58815842567375665</v>
      </c>
      <c r="I1223" s="13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3.5195346201965108</v>
      </c>
      <c r="J1223" s="13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7.6012866902825715</v>
      </c>
      <c r="K1223" s="13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6.301347629987184</v>
      </c>
    </row>
    <row r="1224" spans="1:11">
      <c r="A1224" t="s">
        <v>5</v>
      </c>
      <c r="B1224" s="5" t="str">
        <f t="shared" si="804"/>
        <v>SPS1</v>
      </c>
      <c r="C1224" s="5" t="str">
        <f t="shared" si="805"/>
        <v>CH</v>
      </c>
      <c r="D1224" t="s">
        <v>1213</v>
      </c>
      <c r="E1224" t="str">
        <f t="shared" si="803"/>
        <v>billion km/yr.</v>
      </c>
      <c r="F1224" s="13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3.2678965862815556E-3</v>
      </c>
      <c r="G1224" s="13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0.57150115798457102</v>
      </c>
      <c r="H1224" s="13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0.5389593730462473</v>
      </c>
      <c r="I1224" s="13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0.43252858722557674</v>
      </c>
      <c r="J1224" s="13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1.2415351130906603E-4</v>
      </c>
      <c r="K1224" s="13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7.4384315681431772E-5</v>
      </c>
    </row>
    <row r="1225" spans="1:11">
      <c r="A1225" t="s">
        <v>5</v>
      </c>
      <c r="B1225" s="5" t="str">
        <f t="shared" si="804"/>
        <v>SPS1</v>
      </c>
      <c r="C1225" s="5" t="str">
        <f t="shared" si="805"/>
        <v>CH</v>
      </c>
      <c r="D1225" t="s">
        <v>1214</v>
      </c>
      <c r="E1225" t="str">
        <f t="shared" si="803"/>
        <v>billion km/yr.</v>
      </c>
      <c r="F1225" s="13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3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1.06897500874414E-8</v>
      </c>
      <c r="H1225" s="13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1.4498076466177615E-6</v>
      </c>
      <c r="I1225" s="13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2.8895259774386095E-6</v>
      </c>
      <c r="J1225" s="13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0.44833464006126023</v>
      </c>
      <c r="K1225" s="13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0.22718846645249458</v>
      </c>
    </row>
    <row r="1226" spans="1:11">
      <c r="A1226" t="s">
        <v>5</v>
      </c>
      <c r="B1226" s="5" t="str">
        <f t="shared" si="804"/>
        <v>SPS1</v>
      </c>
      <c r="C1226" s="5" t="str">
        <f t="shared" si="805"/>
        <v>CH</v>
      </c>
      <c r="D1226" t="s">
        <v>1215</v>
      </c>
      <c r="E1226" t="str">
        <f t="shared" si="803"/>
        <v>billion km/yr.</v>
      </c>
      <c r="F1226" s="13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8.0096094394946558E-5</v>
      </c>
      <c r="G1226" s="13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8.3538109682586132E-5</v>
      </c>
      <c r="H1226" s="13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8.0025031027654926E-5</v>
      </c>
      <c r="I1226" s="13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7.0880033065113025E-5</v>
      </c>
      <c r="J1226" s="13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1.1171359866715878E-5</v>
      </c>
      <c r="K1226" s="13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5.2182082727584246E-6</v>
      </c>
    </row>
    <row r="1227" spans="1:11">
      <c r="A1227" t="s">
        <v>5</v>
      </c>
      <c r="B1227" s="5" t="str">
        <f t="shared" si="804"/>
        <v>SPS1</v>
      </c>
      <c r="C1227" s="5" t="str">
        <f t="shared" si="805"/>
        <v>CH</v>
      </c>
      <c r="D1227" t="s">
        <v>1216</v>
      </c>
      <c r="E1227" t="str">
        <f t="shared" si="803"/>
        <v>billion km/yr.</v>
      </c>
      <c r="F1227" s="13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7.3162197332019008E-4</v>
      </c>
      <c r="G1227" s="13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1.5608805750124419E-3</v>
      </c>
      <c r="H1227" s="13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1.4941247600840193E-3</v>
      </c>
      <c r="I1227" s="13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1.2195638303692568E-3</v>
      </c>
      <c r="J1227" s="13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8.8182868487656463E-6</v>
      </c>
      <c r="K1227" s="13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5.0538726211465923E-6</v>
      </c>
    </row>
    <row r="1228" spans="1:11">
      <c r="A1228" t="s">
        <v>5</v>
      </c>
      <c r="B1228" s="5" t="str">
        <f t="shared" si="804"/>
        <v>SPS1</v>
      </c>
      <c r="C1228" s="5" t="str">
        <f t="shared" si="805"/>
        <v>CH</v>
      </c>
      <c r="D1228" t="s">
        <v>1217</v>
      </c>
      <c r="E1228" t="str">
        <f t="shared" si="803"/>
        <v>billion km/yr.</v>
      </c>
      <c r="F1228" s="13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3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5.9012477272634456E-7</v>
      </c>
      <c r="H1228" s="13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1.7393735283683064E-6</v>
      </c>
      <c r="I1228" s="13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2.7133251085587164E-6</v>
      </c>
      <c r="J1228" s="13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5.7130597038869119E-5</v>
      </c>
      <c r="K1228" s="13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0.87589970050361643</v>
      </c>
    </row>
    <row r="1229" spans="1:11">
      <c r="A1229" t="s">
        <v>5</v>
      </c>
      <c r="B1229" s="5" t="str">
        <f t="shared" si="804"/>
        <v>SPS1</v>
      </c>
      <c r="C1229" s="5" t="str">
        <f t="shared" si="805"/>
        <v>CH</v>
      </c>
      <c r="D1229" t="s">
        <v>1301</v>
      </c>
      <c r="E1229" t="str">
        <f t="shared" si="803"/>
        <v>billion km/yr.</v>
      </c>
      <c r="F1229" s="13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0.61924425253440341</v>
      </c>
      <c r="G1229" s="13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0.62769378197866044</v>
      </c>
      <c r="H1229" s="13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0.48284135402373141</v>
      </c>
      <c r="I1229" s="13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0.24142073231443339</v>
      </c>
      <c r="J1229" s="13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3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1:11">
      <c r="A1230" t="s">
        <v>5</v>
      </c>
      <c r="B1230" s="5" t="str">
        <f t="shared" si="804"/>
        <v>SPS1</v>
      </c>
      <c r="C1230" s="5" t="str">
        <f t="shared" si="805"/>
        <v>CH</v>
      </c>
      <c r="D1230" t="s">
        <v>1218</v>
      </c>
      <c r="E1230" t="str">
        <f t="shared" si="803"/>
        <v>billion km/yr.</v>
      </c>
      <c r="F1230" s="13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5.3061396903121401E-2</v>
      </c>
      <c r="G1230" s="13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5.0611733725154373E-2</v>
      </c>
      <c r="H1230" s="13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3.4897290014862602E-2</v>
      </c>
      <c r="I1230" s="13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2.9333945480155145E-2</v>
      </c>
      <c r="J1230" s="13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0.19828486871321402</v>
      </c>
      <c r="K1230" s="13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0.20522379420815687</v>
      </c>
    </row>
    <row r="1231" spans="1:11">
      <c r="A1231" t="s">
        <v>5</v>
      </c>
      <c r="B1231" s="5" t="str">
        <f t="shared" si="804"/>
        <v>SPS1</v>
      </c>
      <c r="C1231" s="5" t="str">
        <f t="shared" si="805"/>
        <v>CH</v>
      </c>
      <c r="D1231" t="s">
        <v>1219</v>
      </c>
      <c r="E1231" t="str">
        <f t="shared" si="803"/>
        <v>billion km/yr.</v>
      </c>
      <c r="F1231" s="13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0.21859529239088613</v>
      </c>
      <c r="G1231" s="13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0.38567610230279925</v>
      </c>
      <c r="H1231" s="13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2.5374228364993616</v>
      </c>
      <c r="I1231" s="13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2.2274354085733346</v>
      </c>
      <c r="J1231" s="13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0.13367620738455258</v>
      </c>
      <c r="K1231" s="13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2.4583279850013797E-5</v>
      </c>
    </row>
    <row r="1232" spans="1:11">
      <c r="A1232" t="s">
        <v>5</v>
      </c>
      <c r="B1232" s="5" t="str">
        <f t="shared" si="804"/>
        <v>SPS1</v>
      </c>
      <c r="C1232" s="5" t="str">
        <f t="shared" si="805"/>
        <v>CH</v>
      </c>
      <c r="D1232" t="s">
        <v>1220</v>
      </c>
      <c r="E1232" t="str">
        <f t="shared" si="803"/>
        <v>billion km/yr.</v>
      </c>
      <c r="F1232" s="13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0.20181617752559411</v>
      </c>
      <c r="G1232" s="13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3.6202098930187123</v>
      </c>
      <c r="H1232" s="13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3.4188685312292799</v>
      </c>
      <c r="I1232" s="13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2.751044176720538</v>
      </c>
      <c r="J1232" s="13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1.0083172488062877E-5</v>
      </c>
      <c r="K1232" s="13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4.4600073015027325E-6</v>
      </c>
    </row>
    <row r="1233" spans="1:11">
      <c r="A1233" t="s">
        <v>5</v>
      </c>
      <c r="B1233" s="5" t="str">
        <f t="shared" si="804"/>
        <v>SPS1</v>
      </c>
      <c r="C1233" s="5" t="str">
        <f t="shared" si="805"/>
        <v>CH</v>
      </c>
      <c r="D1233" t="s">
        <v>1221</v>
      </c>
      <c r="E1233" t="str">
        <f t="shared" si="803"/>
        <v>billion km/yr.</v>
      </c>
      <c r="F1233" s="13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0.10449848198185577</v>
      </c>
      <c r="G1233" s="13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0.28256068180660404</v>
      </c>
      <c r="H1233" s="13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0.26923816069192336</v>
      </c>
      <c r="I1233" s="13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0.22194410115288396</v>
      </c>
      <c r="J1233" s="13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1.2702649669795845E-5</v>
      </c>
      <c r="K1233" s="13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1.2096372664929502E-5</v>
      </c>
    </row>
    <row r="1234" spans="1:11">
      <c r="A1234" t="s">
        <v>5</v>
      </c>
      <c r="B1234" s="5" t="str">
        <f t="shared" si="804"/>
        <v>SPS1</v>
      </c>
      <c r="C1234" s="5" t="str">
        <f t="shared" si="805"/>
        <v>CH</v>
      </c>
      <c r="D1234" t="s">
        <v>1222</v>
      </c>
      <c r="E1234" t="str">
        <f t="shared" si="803"/>
        <v>billion km/yr.</v>
      </c>
      <c r="F1234" s="13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18.30298774278484</v>
      </c>
      <c r="G1234" s="13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17.870020600639826</v>
      </c>
      <c r="H1234" s="13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15.671498608499508</v>
      </c>
      <c r="I1234" s="13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4.8052034007616138</v>
      </c>
      <c r="J1234" s="13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3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1:11">
      <c r="A1235" t="s">
        <v>5</v>
      </c>
      <c r="B1235" s="5" t="str">
        <f t="shared" si="804"/>
        <v>SPS1</v>
      </c>
      <c r="C1235" s="5" t="str">
        <f t="shared" si="805"/>
        <v>CH</v>
      </c>
      <c r="D1235" t="s">
        <v>1223</v>
      </c>
      <c r="E1235" t="str">
        <f t="shared" si="803"/>
        <v>billion km/yr.</v>
      </c>
      <c r="F1235" s="13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0.24576382212229195</v>
      </c>
      <c r="G1235" s="13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4.3676770463768645E-2</v>
      </c>
      <c r="H1235" s="13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3.0812600324026152E-2</v>
      </c>
      <c r="I1235" s="13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2.2588619459346267E-2</v>
      </c>
      <c r="J1235" s="13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3.8941678323498098E-5</v>
      </c>
      <c r="K1235" s="13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8.3980585827047052E-6</v>
      </c>
    </row>
    <row r="1236" spans="1:11">
      <c r="A1236" t="s">
        <v>5</v>
      </c>
      <c r="B1236" s="5" t="str">
        <f t="shared" si="804"/>
        <v>SPS1</v>
      </c>
      <c r="C1236" s="5" t="str">
        <f t="shared" si="805"/>
        <v>CH</v>
      </c>
      <c r="D1236" t="s">
        <v>1224</v>
      </c>
      <c r="E1236" t="str">
        <f t="shared" si="803"/>
        <v>billion km/yr.</v>
      </c>
      <c r="F1236" s="13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2.2691130840822646</v>
      </c>
      <c r="G1236" s="13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3.2076256420212199</v>
      </c>
      <c r="H1236" s="13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2.2758906177245639</v>
      </c>
      <c r="I1236" s="13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2.499192746245694</v>
      </c>
      <c r="J1236" s="13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2.4781515581833336E-5</v>
      </c>
      <c r="K1236" s="13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6.0372076032955409E-6</v>
      </c>
    </row>
    <row r="1237" spans="1:11">
      <c r="A1237" t="s">
        <v>5</v>
      </c>
      <c r="B1237" s="5" t="str">
        <f t="shared" si="804"/>
        <v>SPS1</v>
      </c>
      <c r="C1237" s="5" t="str">
        <f t="shared" si="805"/>
        <v>CH</v>
      </c>
      <c r="D1237" t="s">
        <v>1225</v>
      </c>
      <c r="E1237" t="str">
        <f t="shared" si="803"/>
        <v>billion km/yr.</v>
      </c>
      <c r="F1237" s="13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1.8531523421493323</v>
      </c>
      <c r="G1237" s="13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2.9619437393381296</v>
      </c>
      <c r="H1237" s="13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2.9615871294942662</v>
      </c>
      <c r="I1237" s="13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2.4077885927036804</v>
      </c>
      <c r="J1237" s="13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2.7009062032646099E-3</v>
      </c>
      <c r="K1237" s="13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7.0244012005784169E-6</v>
      </c>
    </row>
    <row r="1238" spans="1:11">
      <c r="A1238" t="s">
        <v>5</v>
      </c>
      <c r="B1238" s="5" t="str">
        <f t="shared" si="804"/>
        <v>SPS1</v>
      </c>
      <c r="C1238" s="5" t="str">
        <f t="shared" si="805"/>
        <v>CH</v>
      </c>
      <c r="D1238" t="s">
        <v>1226</v>
      </c>
      <c r="E1238" t="str">
        <f t="shared" si="803"/>
        <v>billion km/yr.</v>
      </c>
      <c r="F1238" s="13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1.8501567148476155</v>
      </c>
      <c r="G1238" s="13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2.2766546619838293</v>
      </c>
      <c r="H1238" s="13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3.495350604163395</v>
      </c>
      <c r="I1238" s="13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2.9038096492632857</v>
      </c>
      <c r="J1238" s="13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0.91264036134275062</v>
      </c>
      <c r="K1238" s="13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0.91506153307420957</v>
      </c>
    </row>
    <row r="1239" spans="1:11">
      <c r="A1239" t="s">
        <v>5</v>
      </c>
      <c r="B1239" s="5" t="str">
        <f t="shared" si="804"/>
        <v>SPS1</v>
      </c>
      <c r="C1239" s="5" t="str">
        <f t="shared" si="805"/>
        <v>CH</v>
      </c>
      <c r="D1239" t="s">
        <v>1227</v>
      </c>
      <c r="E1239" t="str">
        <f t="shared" si="803"/>
        <v>billion km/yr.</v>
      </c>
      <c r="F1239" s="13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3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5.4791277630880498E-8</v>
      </c>
      <c r="H1239" s="13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1.4805977003418173E-5</v>
      </c>
      <c r="I1239" s="13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5.3596979348481292E-5</v>
      </c>
      <c r="J1239" s="13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2.8964255286248527E-5</v>
      </c>
      <c r="K1239" s="13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5.2844690074571656E-6</v>
      </c>
    </row>
    <row r="1240" spans="1:11">
      <c r="A1240" t="s">
        <v>5</v>
      </c>
      <c r="B1240" s="5" t="str">
        <f t="shared" si="804"/>
        <v>SPS1</v>
      </c>
      <c r="C1240" s="5" t="str">
        <f t="shared" si="805"/>
        <v>CH</v>
      </c>
      <c r="D1240" t="s">
        <v>1228</v>
      </c>
      <c r="E1240" t="str">
        <f t="shared" si="803"/>
        <v>billion km/yr.</v>
      </c>
      <c r="F1240" s="13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3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8.1946333859629906E-7</v>
      </c>
      <c r="H1240" s="13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9.7052550555212228E-6</v>
      </c>
      <c r="I1240" s="13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1.7003462428343179E-5</v>
      </c>
      <c r="J1240" s="13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1.2741632120736569E-5</v>
      </c>
      <c r="K1240" s="13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4.1218171274243983E-6</v>
      </c>
    </row>
    <row r="1241" spans="1:11">
      <c r="A1241" t="s">
        <v>5</v>
      </c>
      <c r="B1241" s="5" t="str">
        <f t="shared" si="804"/>
        <v>SPS1</v>
      </c>
      <c r="C1241" s="5" t="str">
        <f t="shared" si="805"/>
        <v>CH</v>
      </c>
      <c r="D1241" t="s">
        <v>1229</v>
      </c>
      <c r="E1241" t="str">
        <f t="shared" si="803"/>
        <v>billion km/yr.</v>
      </c>
      <c r="F1241" s="13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3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8.3998289050379845E-7</v>
      </c>
      <c r="H1241" s="13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1.1163100049880728E-5</v>
      </c>
      <c r="I1241" s="13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1.873081675890184E-5</v>
      </c>
      <c r="J1241" s="13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1.3017392509278808E-5</v>
      </c>
      <c r="K1241" s="13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4.7839581811450409E-6</v>
      </c>
    </row>
    <row r="1242" spans="1:11">
      <c r="A1242" t="s">
        <v>5</v>
      </c>
      <c r="B1242" s="5" t="str">
        <f t="shared" si="804"/>
        <v>SPS1</v>
      </c>
      <c r="C1242" s="5" t="str">
        <f t="shared" si="805"/>
        <v>CH</v>
      </c>
      <c r="D1242" t="s">
        <v>1230</v>
      </c>
      <c r="E1242" t="str">
        <f t="shared" si="803"/>
        <v>billion km/yr.</v>
      </c>
      <c r="F1242" s="13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3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1.1929945339685521E-6</v>
      </c>
      <c r="H1242" s="13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1.6160796342443622E-5</v>
      </c>
      <c r="I1242" s="13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2.9571108141273316E-5</v>
      </c>
      <c r="J1242" s="13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5.7422158167439215E-5</v>
      </c>
      <c r="K1242" s="13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1.031349329205245E-4</v>
      </c>
    </row>
    <row r="1243" spans="1:11">
      <c r="A1243" t="s">
        <v>5</v>
      </c>
      <c r="B1243" s="5" t="str">
        <f t="shared" si="804"/>
        <v>SPS1</v>
      </c>
      <c r="C1243" s="5" t="str">
        <f t="shared" si="805"/>
        <v>CH</v>
      </c>
      <c r="D1243" t="s">
        <v>1303</v>
      </c>
      <c r="E1243" t="str">
        <f t="shared" si="803"/>
        <v>billion km/yr.</v>
      </c>
      <c r="F1243" s="13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3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3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3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3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3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1:11">
      <c r="A1244" t="s">
        <v>5</v>
      </c>
      <c r="B1244" s="5" t="str">
        <f t="shared" si="804"/>
        <v>SPS1</v>
      </c>
      <c r="C1244" s="5" t="str">
        <f t="shared" si="805"/>
        <v>CH</v>
      </c>
      <c r="D1244" t="s">
        <v>1231</v>
      </c>
      <c r="E1244" t="str">
        <f t="shared" si="803"/>
        <v>billion km/yr.</v>
      </c>
      <c r="F1244" s="13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1.3709253256722521E-5</v>
      </c>
      <c r="G1244" s="13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1.0511922971881179E-6</v>
      </c>
      <c r="H1244" s="13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3.6231091915035112E-5</v>
      </c>
      <c r="I1244" s="13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5.0466063290463915E-5</v>
      </c>
      <c r="J1244" s="13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0.12094654968882118</v>
      </c>
      <c r="K1244" s="13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0.14322109762719398</v>
      </c>
    </row>
    <row r="1245" spans="1:11">
      <c r="A1245" t="s">
        <v>5</v>
      </c>
      <c r="B1245" s="5" t="str">
        <f t="shared" si="804"/>
        <v>SPS1</v>
      </c>
      <c r="C1245" s="5" t="str">
        <f t="shared" si="805"/>
        <v>CH</v>
      </c>
      <c r="D1245" t="s">
        <v>1232</v>
      </c>
      <c r="E1245" t="str">
        <f t="shared" si="803"/>
        <v>billion km/yr.</v>
      </c>
      <c r="F1245" s="13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3.4220799146933109E-3</v>
      </c>
      <c r="G1245" s="13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1.8778698711799748</v>
      </c>
      <c r="H1245" s="13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3.5892712629727779</v>
      </c>
      <c r="I1245" s="13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3.0204267669875606</v>
      </c>
      <c r="J1245" s="13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0.11073112617164092</v>
      </c>
      <c r="K1245" s="13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2.3824552244594571E-5</v>
      </c>
    </row>
    <row r="1246" spans="1:11">
      <c r="A1246" t="s">
        <v>5</v>
      </c>
      <c r="B1246" s="5" t="str">
        <f t="shared" si="804"/>
        <v>SPS1</v>
      </c>
      <c r="C1246" s="5" t="str">
        <f t="shared" si="805"/>
        <v>CH</v>
      </c>
      <c r="D1246" t="s">
        <v>1233</v>
      </c>
      <c r="E1246" t="str">
        <f t="shared" si="803"/>
        <v>billion km/yr.</v>
      </c>
      <c r="F1246" s="13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2.6935853441553134E-2</v>
      </c>
      <c r="G1246" s="13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5.3451867005412851E-2</v>
      </c>
      <c r="H1246" s="13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5.0892199086028579E-2</v>
      </c>
      <c r="I1246" s="13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4.040398675372614E-2</v>
      </c>
      <c r="J1246" s="13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1.0298249351947177E-5</v>
      </c>
      <c r="K1246" s="13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4.230044787041802E-6</v>
      </c>
    </row>
    <row r="1247" spans="1:11">
      <c r="A1247" t="s">
        <v>5</v>
      </c>
      <c r="B1247" s="5" t="str">
        <f t="shared" si="804"/>
        <v>SPS1</v>
      </c>
      <c r="C1247" s="5" t="str">
        <f t="shared" si="805"/>
        <v>CH</v>
      </c>
      <c r="D1247" t="s">
        <v>1234</v>
      </c>
      <c r="E1247" t="str">
        <f t="shared" si="803"/>
        <v>billion km/yr.</v>
      </c>
      <c r="F1247" s="13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4.7894344757837104E-2</v>
      </c>
      <c r="G1247" s="13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0.77215853196683981</v>
      </c>
      <c r="H1247" s="13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0.72915273030100658</v>
      </c>
      <c r="I1247" s="13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0.58913323223244518</v>
      </c>
      <c r="J1247" s="13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1.3208885167925776E-5</v>
      </c>
      <c r="K1247" s="13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1.0678180273961676E-5</v>
      </c>
    </row>
    <row r="1248" spans="1:11">
      <c r="A1248" t="s">
        <v>5</v>
      </c>
      <c r="B1248" s="5" t="str">
        <f t="shared" si="804"/>
        <v>SPS1</v>
      </c>
      <c r="C1248" s="5" t="str">
        <f t="shared" si="805"/>
        <v>CH</v>
      </c>
      <c r="D1248" t="s">
        <v>1235</v>
      </c>
      <c r="E1248" t="str">
        <f t="shared" si="803"/>
        <v>billion km/yr.</v>
      </c>
      <c r="F1248" s="13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18.028257989345558</v>
      </c>
      <c r="G1248" s="13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17.235951189105705</v>
      </c>
      <c r="H1248" s="13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12.946212497254347</v>
      </c>
      <c r="I1248" s="13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5.4010854198789877</v>
      </c>
      <c r="J1248" s="13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3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1:11">
      <c r="A1249" t="s">
        <v>5</v>
      </c>
      <c r="B1249" s="5" t="str">
        <f t="shared" si="804"/>
        <v>SPS1</v>
      </c>
      <c r="C1249" s="5" t="str">
        <f t="shared" si="805"/>
        <v>CH</v>
      </c>
      <c r="D1249" t="s">
        <v>1236</v>
      </c>
      <c r="E1249" t="str">
        <f t="shared" si="803"/>
        <v>billion km/yr.</v>
      </c>
      <c r="F1249" s="13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4.1581377193468201E-3</v>
      </c>
      <c r="G1249" s="13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2.3081047063890992E-3</v>
      </c>
      <c r="H1249" s="13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1.6114559288261717E-3</v>
      </c>
      <c r="I1249" s="13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1.3094918296479891E-3</v>
      </c>
      <c r="J1249" s="13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8.8918118095386156E-6</v>
      </c>
      <c r="K1249" s="13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2.4245023003393787E-6</v>
      </c>
    </row>
    <row r="1250" spans="1:11">
      <c r="A1250" t="s">
        <v>5</v>
      </c>
      <c r="B1250" s="5" t="str">
        <f t="shared" si="804"/>
        <v>SPS1</v>
      </c>
      <c r="C1250" s="5" t="str">
        <f t="shared" si="805"/>
        <v>CH</v>
      </c>
      <c r="D1250" t="s">
        <v>1237</v>
      </c>
      <c r="E1250" t="str">
        <f t="shared" si="803"/>
        <v>billion km/yr.</v>
      </c>
      <c r="F1250" s="13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0.85102388498239201</v>
      </c>
      <c r="G1250" s="13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0.90289034165506166</v>
      </c>
      <c r="H1250" s="13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0.64366805121837534</v>
      </c>
      <c r="I1250" s="13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0.63191113094866469</v>
      </c>
      <c r="J1250" s="13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6.9357227534616535E-6</v>
      </c>
      <c r="K1250" s="13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2.0725533489640044E-6</v>
      </c>
    </row>
    <row r="1251" spans="1:11">
      <c r="A1251" t="s">
        <v>5</v>
      </c>
      <c r="B1251" s="5" t="str">
        <f t="shared" si="804"/>
        <v>SPS1</v>
      </c>
      <c r="C1251" s="5" t="str">
        <f t="shared" si="805"/>
        <v>CH</v>
      </c>
      <c r="D1251" t="s">
        <v>1238</v>
      </c>
      <c r="E1251" t="str">
        <f t="shared" si="803"/>
        <v>billion km/yr.</v>
      </c>
      <c r="F1251" s="13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2.6645770484989493</v>
      </c>
      <c r="G1251" s="13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2.8360301474702614</v>
      </c>
      <c r="H1251" s="13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2.8064472012850277</v>
      </c>
      <c r="I1251" s="13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2.1804384900156748</v>
      </c>
      <c r="J1251" s="13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6.7910637237698114E-6</v>
      </c>
      <c r="K1251" s="13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2.2493310191355907E-6</v>
      </c>
    </row>
    <row r="1252" spans="1:11">
      <c r="A1252" t="s">
        <v>5</v>
      </c>
      <c r="B1252" s="5" t="str">
        <f t="shared" si="804"/>
        <v>SPS1</v>
      </c>
      <c r="C1252" s="5" t="str">
        <f t="shared" si="805"/>
        <v>CH</v>
      </c>
      <c r="D1252" t="s">
        <v>1239</v>
      </c>
      <c r="E1252" t="str">
        <f t="shared" si="803"/>
        <v>billion km/yr.</v>
      </c>
      <c r="F1252" s="13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0.90498275648594206</v>
      </c>
      <c r="G1252" s="13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1.0075870094200479</v>
      </c>
      <c r="H1252" s="13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0.99312102024499538</v>
      </c>
      <c r="I1252" s="13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0.77462152601125744</v>
      </c>
      <c r="J1252" s="13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3.5245256137364104E-6</v>
      </c>
      <c r="K1252" s="13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1.0673143494362876E-6</v>
      </c>
    </row>
    <row r="1253" spans="1:11">
      <c r="A1253" t="s">
        <v>5</v>
      </c>
      <c r="B1253" s="5" t="str">
        <f t="shared" si="804"/>
        <v>SPS1</v>
      </c>
      <c r="C1253" s="5" t="str">
        <f t="shared" si="805"/>
        <v>CH</v>
      </c>
      <c r="D1253" t="s">
        <v>1240</v>
      </c>
      <c r="E1253" t="str">
        <f t="shared" si="803"/>
        <v>billion km/yr.</v>
      </c>
      <c r="F1253" s="13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3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6.7606331708451104E-8</v>
      </c>
      <c r="H1253" s="13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1.2284688607627646E-5</v>
      </c>
      <c r="I1253" s="13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4.0825746079898216E-5</v>
      </c>
      <c r="J1253" s="13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4.0767461442247881E-5</v>
      </c>
      <c r="K1253" s="13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3.2389927132841106E-5</v>
      </c>
    </row>
    <row r="1254" spans="1:11">
      <c r="A1254" t="s">
        <v>5</v>
      </c>
      <c r="B1254" s="5" t="str">
        <f t="shared" si="804"/>
        <v>SPS1</v>
      </c>
      <c r="C1254" s="5" t="str">
        <f t="shared" si="805"/>
        <v>CH</v>
      </c>
      <c r="D1254" t="s">
        <v>1241</v>
      </c>
      <c r="E1254" t="str">
        <f t="shared" si="803"/>
        <v>billion km/yr.</v>
      </c>
      <c r="F1254" s="13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3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8.7491129064258901E-7</v>
      </c>
      <c r="H1254" s="13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8.8085821198892413E-6</v>
      </c>
      <c r="I1254" s="13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1.7035397720297534E-5</v>
      </c>
      <c r="J1254" s="13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1.4122103385713293E-5</v>
      </c>
      <c r="K1254" s="13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1.3207126100937549E-5</v>
      </c>
    </row>
    <row r="1255" spans="1:11">
      <c r="A1255" t="s">
        <v>5</v>
      </c>
      <c r="B1255" s="5" t="str">
        <f t="shared" si="804"/>
        <v>SPS1</v>
      </c>
      <c r="C1255" s="5" t="str">
        <f t="shared" si="805"/>
        <v>CH</v>
      </c>
      <c r="D1255" t="s">
        <v>1242</v>
      </c>
      <c r="E1255" t="str">
        <f t="shared" si="803"/>
        <v>billion km/yr.</v>
      </c>
      <c r="F1255" s="13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3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8.7513094598661404E-7</v>
      </c>
      <c r="H1255" s="13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9.6916885384283611E-6</v>
      </c>
      <c r="I1255" s="13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1.6381353448022882E-5</v>
      </c>
      <c r="J1255" s="13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1.3885422796462925E-5</v>
      </c>
      <c r="K1255" s="13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2.9548811834329629E-5</v>
      </c>
    </row>
    <row r="1256" spans="1:11">
      <c r="A1256" t="s">
        <v>5</v>
      </c>
      <c r="B1256" s="5" t="str">
        <f t="shared" si="804"/>
        <v>SPS1</v>
      </c>
      <c r="C1256" s="5" t="str">
        <f t="shared" si="805"/>
        <v>CH</v>
      </c>
      <c r="D1256" t="s">
        <v>1243</v>
      </c>
      <c r="E1256" t="str">
        <f t="shared" si="803"/>
        <v>billion km/yr.</v>
      </c>
      <c r="F1256" s="13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3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7.8408579137422695E-7</v>
      </c>
      <c r="H1256" s="13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4.3041711109310551E-6</v>
      </c>
      <c r="I1256" s="13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6.6335780352128809E-6</v>
      </c>
      <c r="J1256" s="13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6.6960902033559041E-6</v>
      </c>
      <c r="K1256" s="13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6.70931478703149E-6</v>
      </c>
    </row>
    <row r="1257" spans="1:11">
      <c r="A1257" t="s">
        <v>5</v>
      </c>
      <c r="B1257" s="5" t="str">
        <f t="shared" si="804"/>
        <v>SPS1</v>
      </c>
      <c r="C1257" s="5" t="str">
        <f t="shared" si="805"/>
        <v>CH</v>
      </c>
      <c r="D1257" t="s">
        <v>1244</v>
      </c>
      <c r="E1257" t="str">
        <f t="shared" si="803"/>
        <v>billion km/yr.</v>
      </c>
      <c r="F1257" s="13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3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3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3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3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3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1:11">
      <c r="A1258" t="s">
        <v>5</v>
      </c>
      <c r="B1258" s="5" t="str">
        <f t="shared" si="804"/>
        <v>SPS1</v>
      </c>
      <c r="C1258" s="5" t="str">
        <f t="shared" si="805"/>
        <v>CH</v>
      </c>
      <c r="D1258" t="s">
        <v>1245</v>
      </c>
      <c r="E1258" t="str">
        <f t="shared" si="803"/>
        <v>billion km/yr.</v>
      </c>
      <c r="F1258" s="13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2.3942509494015566E-3</v>
      </c>
      <c r="G1258" s="13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9.4999944077686472E-5</v>
      </c>
      <c r="H1258" s="13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9.0956860046494106E-5</v>
      </c>
      <c r="I1258" s="13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7.3371528964436746E-5</v>
      </c>
      <c r="J1258" s="13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4.2981176829105392E-6</v>
      </c>
      <c r="K1258" s="13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9.2554805607260651E-7</v>
      </c>
    </row>
    <row r="1259" spans="1:11">
      <c r="A1259" t="s">
        <v>5</v>
      </c>
      <c r="B1259" s="5" t="str">
        <f t="shared" si="804"/>
        <v>SPS1</v>
      </c>
      <c r="C1259" s="5" t="str">
        <f t="shared" si="805"/>
        <v>CH</v>
      </c>
      <c r="D1259" t="s">
        <v>1246</v>
      </c>
      <c r="E1259" t="str">
        <f t="shared" si="803"/>
        <v>billion km/yr.</v>
      </c>
      <c r="F1259" s="13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6.0012474421735221E-3</v>
      </c>
      <c r="G1259" s="13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6.2961518776546209E-7</v>
      </c>
      <c r="H1259" s="13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6.5817888384394794E-6</v>
      </c>
      <c r="I1259" s="13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1.2139808896372954E-5</v>
      </c>
      <c r="J1259" s="13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7.8023486511504943E-6</v>
      </c>
      <c r="K1259" s="13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2.4617776552520328E-6</v>
      </c>
    </row>
    <row r="1260" spans="1:11">
      <c r="A1260" t="s">
        <v>5</v>
      </c>
      <c r="B1260" s="5" t="str">
        <f t="shared" si="804"/>
        <v>SPS1</v>
      </c>
      <c r="C1260" s="5" t="str">
        <f t="shared" si="805"/>
        <v>CH</v>
      </c>
      <c r="D1260" t="s">
        <v>1247</v>
      </c>
      <c r="E1260" t="str">
        <f t="shared" si="803"/>
        <v>billion km/yr.</v>
      </c>
      <c r="F1260" s="13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3.7145330053766495E-4</v>
      </c>
      <c r="G1260" s="13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1.7968995604370768E-4</v>
      </c>
      <c r="H1260" s="13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3.749010237952896E-4</v>
      </c>
      <c r="I1260" s="13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3.3641042267869135E-4</v>
      </c>
      <c r="J1260" s="13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4.1494693926162787E-5</v>
      </c>
      <c r="K1260" s="13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8.6089878390258206E-6</v>
      </c>
    </row>
    <row r="1261" spans="1:11">
      <c r="A1261" t="s">
        <v>5</v>
      </c>
      <c r="B1261" s="5" t="str">
        <f t="shared" si="804"/>
        <v>SPS1</v>
      </c>
      <c r="C1261" s="5" t="str">
        <f t="shared" si="805"/>
        <v>CH</v>
      </c>
      <c r="D1261" t="s">
        <v>1248</v>
      </c>
      <c r="E1261" t="str">
        <f t="shared" si="803"/>
        <v>billion km/yr.</v>
      </c>
      <c r="F1261" s="13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1.5924190872394383E-5</v>
      </c>
      <c r="G1261" s="13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4.3370023253622633E-6</v>
      </c>
      <c r="H1261" s="13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6.0364498357124401E-5</v>
      </c>
      <c r="I1261" s="13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5.3152247522507835E-4</v>
      </c>
      <c r="J1261" s="13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6.5400548683577182E-4</v>
      </c>
      <c r="K1261" s="13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6.8184400799293577E-4</v>
      </c>
    </row>
    <row r="1262" spans="1:11">
      <c r="A1262" t="s">
        <v>5</v>
      </c>
      <c r="B1262" s="5" t="str">
        <f t="shared" si="804"/>
        <v>SPS1</v>
      </c>
      <c r="C1262" s="5" t="str">
        <f t="shared" si="805"/>
        <v>CH</v>
      </c>
      <c r="D1262" s="1" t="s">
        <v>1198</v>
      </c>
      <c r="E1262" s="1" t="s">
        <v>1297</v>
      </c>
      <c r="F1262" s="25" t="s">
        <v>295</v>
      </c>
      <c r="G1262" s="25" t="s">
        <v>295</v>
      </c>
      <c r="H1262" s="25" t="s">
        <v>295</v>
      </c>
      <c r="I1262" s="25" t="s">
        <v>295</v>
      </c>
      <c r="J1262" s="25" t="s">
        <v>295</v>
      </c>
      <c r="K1262" s="25" t="s">
        <v>295</v>
      </c>
    </row>
    <row r="1263" spans="1:11">
      <c r="A1263" t="s">
        <v>5</v>
      </c>
      <c r="B1263" s="5" t="str">
        <f>B1262</f>
        <v>SPS1</v>
      </c>
      <c r="C1263" s="5" t="str">
        <f>C1262</f>
        <v>CH</v>
      </c>
      <c r="D1263" t="s">
        <v>1249</v>
      </c>
      <c r="E1263" t="str">
        <f>E1262</f>
        <v>km/MJ</v>
      </c>
      <c r="F1263" s="13">
        <f t="shared" ref="F1263:K1267" si="806">IFERROR(F1212/F1136,"-")</f>
        <v>0.88951199431361361</v>
      </c>
      <c r="G1263" s="13" t="str">
        <f t="shared" si="806"/>
        <v>-</v>
      </c>
      <c r="H1263" s="13">
        <f t="shared" si="806"/>
        <v>1.0580954326471259</v>
      </c>
      <c r="I1263" s="13">
        <f t="shared" si="806"/>
        <v>1.2266788709806375</v>
      </c>
      <c r="J1263" s="13" t="str">
        <f t="shared" si="806"/>
        <v>-</v>
      </c>
      <c r="K1263" s="13" t="str">
        <f t="shared" si="806"/>
        <v>-</v>
      </c>
    </row>
    <row r="1264" spans="1:11">
      <c r="A1264" t="s">
        <v>5</v>
      </c>
      <c r="B1264" s="5" t="str">
        <f t="shared" ref="B1264:B1312" si="807">B1263</f>
        <v>SPS1</v>
      </c>
      <c r="C1264" s="5" t="str">
        <f t="shared" ref="C1264:C1312" si="808">C1263</f>
        <v>CH</v>
      </c>
      <c r="D1264" t="s">
        <v>1250</v>
      </c>
      <c r="E1264" t="str">
        <f t="shared" ref="E1264:E1312" si="809">E1263</f>
        <v>km/MJ</v>
      </c>
      <c r="F1264" s="13">
        <f t="shared" si="806"/>
        <v>1.8116719735064484</v>
      </c>
      <c r="G1264" s="13">
        <f t="shared" si="806"/>
        <v>1.8116719735064493</v>
      </c>
      <c r="H1264" s="13">
        <f t="shared" si="806"/>
        <v>1.8116719735064513</v>
      </c>
      <c r="I1264" s="13">
        <f t="shared" si="806"/>
        <v>1.811671973506453</v>
      </c>
      <c r="J1264" s="13">
        <f t="shared" si="806"/>
        <v>1.8913967407172807</v>
      </c>
      <c r="K1264" s="13">
        <f t="shared" si="806"/>
        <v>2.1364900559529354</v>
      </c>
    </row>
    <row r="1265" spans="1:11">
      <c r="A1265" t="s">
        <v>5</v>
      </c>
      <c r="B1265" s="5" t="str">
        <f t="shared" si="807"/>
        <v>SPS1</v>
      </c>
      <c r="C1265" s="5" t="str">
        <f t="shared" si="808"/>
        <v>CH</v>
      </c>
      <c r="D1265" t="s">
        <v>1251</v>
      </c>
      <c r="E1265" t="str">
        <f t="shared" si="809"/>
        <v>km/MJ</v>
      </c>
      <c r="F1265" s="13">
        <f t="shared" si="806"/>
        <v>1.4637982671179695</v>
      </c>
      <c r="G1265" s="13">
        <f t="shared" si="806"/>
        <v>1.4637982671179692</v>
      </c>
      <c r="H1265" s="13">
        <f t="shared" si="806"/>
        <v>1.4637982671179699</v>
      </c>
      <c r="I1265" s="13">
        <f t="shared" si="806"/>
        <v>1.4637982671179699</v>
      </c>
      <c r="J1265" s="13">
        <f t="shared" si="806"/>
        <v>1.5557458040974126</v>
      </c>
      <c r="K1265" s="13">
        <f t="shared" si="806"/>
        <v>1.7166750323183362</v>
      </c>
    </row>
    <row r="1266" spans="1:11">
      <c r="A1266" t="s">
        <v>5</v>
      </c>
      <c r="B1266" s="5" t="str">
        <f t="shared" si="807"/>
        <v>SPS1</v>
      </c>
      <c r="C1266" s="5" t="str">
        <f t="shared" si="808"/>
        <v>CH</v>
      </c>
      <c r="D1266" t="s">
        <v>1252</v>
      </c>
      <c r="E1266" t="str">
        <f t="shared" si="809"/>
        <v>km/MJ</v>
      </c>
      <c r="F1266" s="13">
        <f t="shared" si="806"/>
        <v>1.3374527251492001</v>
      </c>
      <c r="G1266" s="13">
        <f t="shared" si="806"/>
        <v>1.3374527251492001</v>
      </c>
      <c r="H1266" s="13">
        <f t="shared" si="806"/>
        <v>1.3374527251492003</v>
      </c>
      <c r="I1266" s="13">
        <f t="shared" si="806"/>
        <v>1.3374527251491999</v>
      </c>
      <c r="J1266" s="13">
        <f t="shared" si="806"/>
        <v>1.4287756910655305</v>
      </c>
      <c r="K1266" s="13">
        <f t="shared" si="806"/>
        <v>1.590619545898039</v>
      </c>
    </row>
    <row r="1267" spans="1:11">
      <c r="A1267" t="s">
        <v>5</v>
      </c>
      <c r="B1267" s="5" t="str">
        <f t="shared" si="807"/>
        <v>SPS1</v>
      </c>
      <c r="C1267" s="5" t="str">
        <f t="shared" si="808"/>
        <v>CH</v>
      </c>
      <c r="D1267" t="s">
        <v>1253</v>
      </c>
      <c r="E1267" t="str">
        <f t="shared" si="809"/>
        <v>km/MJ</v>
      </c>
      <c r="F1267" s="13">
        <f t="shared" si="806"/>
        <v>1.2949729235430811</v>
      </c>
      <c r="G1267" s="13">
        <f t="shared" si="806"/>
        <v>1.2949729235430769</v>
      </c>
      <c r="H1267" s="13">
        <f t="shared" si="806"/>
        <v>1.2949729235430802</v>
      </c>
      <c r="I1267" s="13">
        <f t="shared" si="806"/>
        <v>1.2949729235430811</v>
      </c>
      <c r="J1267" s="13">
        <f t="shared" si="806"/>
        <v>1.3781631500486282</v>
      </c>
      <c r="K1267" s="13">
        <f t="shared" si="806"/>
        <v>1.5193983420038848</v>
      </c>
    </row>
    <row r="1268" spans="1:11">
      <c r="A1268" t="s">
        <v>5</v>
      </c>
      <c r="B1268" s="5" t="str">
        <f t="shared" si="807"/>
        <v>SPS1</v>
      </c>
      <c r="C1268" s="5" t="str">
        <f t="shared" si="808"/>
        <v>CH</v>
      </c>
      <c r="D1268" t="s">
        <v>1254</v>
      </c>
      <c r="E1268" t="str">
        <f t="shared" si="809"/>
        <v>km/MJ</v>
      </c>
      <c r="F1268" s="13">
        <f t="shared" ref="F1268:K1271" si="810">IFERROR(F1217/SUM(F1141,F1174),"-")</f>
        <v>0.71209876233005909</v>
      </c>
      <c r="G1268" s="13">
        <f t="shared" si="810"/>
        <v>0.70418166911207147</v>
      </c>
      <c r="H1268" s="13">
        <f t="shared" si="810"/>
        <v>0.75426890654406642</v>
      </c>
      <c r="I1268" s="13">
        <f t="shared" si="810"/>
        <v>0.78373387979643283</v>
      </c>
      <c r="J1268" s="13">
        <f t="shared" si="810"/>
        <v>0.97474518191737558</v>
      </c>
      <c r="K1268" s="13">
        <f t="shared" si="810"/>
        <v>1.5251416411496022</v>
      </c>
    </row>
    <row r="1269" spans="1:11">
      <c r="A1269" t="s">
        <v>5</v>
      </c>
      <c r="B1269" s="5" t="str">
        <f t="shared" si="807"/>
        <v>SPS1</v>
      </c>
      <c r="C1269" s="5" t="str">
        <f t="shared" si="808"/>
        <v>CH</v>
      </c>
      <c r="D1269" t="s">
        <v>1255</v>
      </c>
      <c r="E1269" t="str">
        <f t="shared" si="809"/>
        <v>km/MJ</v>
      </c>
      <c r="F1269" s="13">
        <f t="shared" si="810"/>
        <v>0.58632468113848379</v>
      </c>
      <c r="G1269" s="13">
        <f t="shared" si="810"/>
        <v>0.58601864142979943</v>
      </c>
      <c r="H1269" s="13">
        <f t="shared" si="810"/>
        <v>0.5862154501723229</v>
      </c>
      <c r="I1269" s="13">
        <f t="shared" si="810"/>
        <v>0.68362278444660951</v>
      </c>
      <c r="J1269" s="13">
        <f t="shared" si="810"/>
        <v>0.82915565791920709</v>
      </c>
      <c r="K1269" s="13">
        <f t="shared" si="810"/>
        <v>1.130493953477073</v>
      </c>
    </row>
    <row r="1270" spans="1:11">
      <c r="A1270" t="s">
        <v>5</v>
      </c>
      <c r="B1270" s="5" t="str">
        <f t="shared" si="807"/>
        <v>SPS1</v>
      </c>
      <c r="C1270" s="5" t="str">
        <f t="shared" si="808"/>
        <v>CH</v>
      </c>
      <c r="D1270" t="s">
        <v>1256</v>
      </c>
      <c r="E1270" t="str">
        <f t="shared" si="809"/>
        <v>km/MJ</v>
      </c>
      <c r="F1270" s="13">
        <f t="shared" si="810"/>
        <v>0.54553526383343154</v>
      </c>
      <c r="G1270" s="13">
        <f t="shared" si="810"/>
        <v>0.54553754795738207</v>
      </c>
      <c r="H1270" s="13">
        <f t="shared" si="810"/>
        <v>0.61793071600398997</v>
      </c>
      <c r="I1270" s="13">
        <f t="shared" si="810"/>
        <v>0.66531817704575236</v>
      </c>
      <c r="J1270" s="13">
        <f t="shared" si="810"/>
        <v>0.85932115543196719</v>
      </c>
      <c r="K1270" s="13">
        <f t="shared" si="810"/>
        <v>1.1266227170485217</v>
      </c>
    </row>
    <row r="1271" spans="1:11">
      <c r="A1271" t="s">
        <v>5</v>
      </c>
      <c r="B1271" s="5" t="str">
        <f t="shared" si="807"/>
        <v>SPS1</v>
      </c>
      <c r="C1271" s="5" t="str">
        <f t="shared" si="808"/>
        <v>CH</v>
      </c>
      <c r="D1271" t="s">
        <v>1257</v>
      </c>
      <c r="E1271" t="str">
        <f t="shared" si="809"/>
        <v>km/MJ</v>
      </c>
      <c r="F1271" s="13">
        <f t="shared" si="810"/>
        <v>0.51975568473665934</v>
      </c>
      <c r="G1271" s="13">
        <f t="shared" si="810"/>
        <v>0.51975639738163204</v>
      </c>
      <c r="H1271" s="13">
        <f t="shared" si="810"/>
        <v>0.5837121984675282</v>
      </c>
      <c r="I1271" s="13">
        <f t="shared" si="810"/>
        <v>0.62533581410634798</v>
      </c>
      <c r="J1271" s="13">
        <f t="shared" si="810"/>
        <v>0.76439856271711404</v>
      </c>
      <c r="K1271" s="13">
        <f t="shared" si="810"/>
        <v>1.0413915161830147</v>
      </c>
    </row>
    <row r="1272" spans="1:11">
      <c r="A1272" t="s">
        <v>5</v>
      </c>
      <c r="B1272" s="5" t="str">
        <f t="shared" si="807"/>
        <v>SPS1</v>
      </c>
      <c r="C1272" s="5" t="str">
        <f t="shared" si="808"/>
        <v>CH</v>
      </c>
      <c r="D1272" t="s">
        <v>1258</v>
      </c>
      <c r="E1272" t="str">
        <f t="shared" si="809"/>
        <v>km/MJ</v>
      </c>
      <c r="F1272" s="13">
        <f t="shared" ref="F1272:K1275" si="811">IFERROR(F1221/SUM(F1145,F1197),"-")</f>
        <v>0.7284056958255688</v>
      </c>
      <c r="G1272" s="13">
        <f t="shared" si="811"/>
        <v>0.71210115748091307</v>
      </c>
      <c r="H1272" s="13">
        <f t="shared" si="811"/>
        <v>0.7612973751154567</v>
      </c>
      <c r="I1272" s="13">
        <f t="shared" si="811"/>
        <v>0.79699625394051921</v>
      </c>
      <c r="J1272" s="13">
        <f t="shared" si="811"/>
        <v>0.98780077221303253</v>
      </c>
      <c r="K1272" s="13">
        <f t="shared" si="811"/>
        <v>1.532861460901175</v>
      </c>
    </row>
    <row r="1273" spans="1:11">
      <c r="A1273" t="s">
        <v>5</v>
      </c>
      <c r="B1273" s="5" t="str">
        <f t="shared" si="807"/>
        <v>SPS1</v>
      </c>
      <c r="C1273" s="5" t="str">
        <f t="shared" si="808"/>
        <v>CH</v>
      </c>
      <c r="D1273" t="s">
        <v>1259</v>
      </c>
      <c r="E1273" t="str">
        <f t="shared" si="809"/>
        <v>km/MJ</v>
      </c>
      <c r="F1273" s="13">
        <f t="shared" si="811"/>
        <v>0.67215009930492275</v>
      </c>
      <c r="G1273" s="13">
        <f t="shared" si="811"/>
        <v>0.59098075715962561</v>
      </c>
      <c r="H1273" s="13">
        <f t="shared" si="811"/>
        <v>0.63715099486534221</v>
      </c>
      <c r="I1273" s="13">
        <f t="shared" si="811"/>
        <v>0.68110650975231446</v>
      </c>
      <c r="J1273" s="13">
        <f t="shared" si="811"/>
        <v>0.8366900890960115</v>
      </c>
      <c r="K1273" s="13">
        <f t="shared" si="811"/>
        <v>1.1477651637606461</v>
      </c>
    </row>
    <row r="1274" spans="1:11">
      <c r="A1274" t="s">
        <v>5</v>
      </c>
      <c r="B1274" s="5" t="str">
        <f t="shared" si="807"/>
        <v>SPS1</v>
      </c>
      <c r="C1274" s="5" t="str">
        <f t="shared" si="808"/>
        <v>CH</v>
      </c>
      <c r="D1274" t="s">
        <v>1260</v>
      </c>
      <c r="E1274" t="str">
        <f t="shared" si="809"/>
        <v>km/MJ</v>
      </c>
      <c r="F1274" s="13">
        <f t="shared" si="811"/>
        <v>0.54983063019605538</v>
      </c>
      <c r="G1274" s="13">
        <f t="shared" si="811"/>
        <v>0.55337457155145586</v>
      </c>
      <c r="H1274" s="13">
        <f t="shared" si="811"/>
        <v>0.62626265113773749</v>
      </c>
      <c r="I1274" s="13">
        <f t="shared" si="811"/>
        <v>0.67374001451586707</v>
      </c>
      <c r="J1274" s="13">
        <f t="shared" si="811"/>
        <v>0.84679253764315554</v>
      </c>
      <c r="K1274" s="13">
        <f t="shared" si="811"/>
        <v>1.1345092677721025</v>
      </c>
    </row>
    <row r="1275" spans="1:11">
      <c r="A1275" t="s">
        <v>5</v>
      </c>
      <c r="B1275" s="5" t="str">
        <f t="shared" si="807"/>
        <v>SPS1</v>
      </c>
      <c r="C1275" s="5" t="str">
        <f t="shared" si="808"/>
        <v>CH</v>
      </c>
      <c r="D1275" t="s">
        <v>1261</v>
      </c>
      <c r="E1275" t="str">
        <f t="shared" si="809"/>
        <v>km/MJ</v>
      </c>
      <c r="F1275" s="13">
        <f t="shared" si="811"/>
        <v>0.52695697234848382</v>
      </c>
      <c r="G1275" s="13">
        <f t="shared" si="811"/>
        <v>0.5269984375137744</v>
      </c>
      <c r="H1275" s="13">
        <f t="shared" si="811"/>
        <v>0.59120360450622866</v>
      </c>
      <c r="I1275" s="13">
        <f t="shared" si="811"/>
        <v>0.63291465081731024</v>
      </c>
      <c r="J1275" s="13">
        <f t="shared" si="811"/>
        <v>0.76991592104771867</v>
      </c>
      <c r="K1275" s="13">
        <f t="shared" si="811"/>
        <v>1.0553586536812223</v>
      </c>
    </row>
    <row r="1276" spans="1:11">
      <c r="A1276" t="s">
        <v>5</v>
      </c>
      <c r="B1276" s="5" t="str">
        <f t="shared" si="807"/>
        <v>SPS1</v>
      </c>
      <c r="C1276" s="5" t="str">
        <f t="shared" si="808"/>
        <v>CH</v>
      </c>
      <c r="D1276" t="s">
        <v>1262</v>
      </c>
      <c r="E1276" t="str">
        <f t="shared" si="809"/>
        <v>km/MJ</v>
      </c>
      <c r="F1276" s="13" t="str">
        <f>IFERROR(F1225/F1151,"-")</f>
        <v>-</v>
      </c>
      <c r="G1276" s="13">
        <f t="shared" ref="G1276:K1276" si="812">IFERROR(G1225/G1151,"-")</f>
        <v>1.0965696656165158</v>
      </c>
      <c r="H1276" s="13">
        <f t="shared" si="812"/>
        <v>1.09656966561652</v>
      </c>
      <c r="I1276" s="13">
        <f t="shared" si="812"/>
        <v>1.0965696656165203</v>
      </c>
      <c r="J1276" s="13">
        <f t="shared" si="812"/>
        <v>1.2299749936722781</v>
      </c>
      <c r="K1276" s="13">
        <f t="shared" si="812"/>
        <v>1.2326663517888512</v>
      </c>
    </row>
    <row r="1277" spans="1:11">
      <c r="A1277" t="s">
        <v>5</v>
      </c>
      <c r="B1277" s="5" t="str">
        <f t="shared" si="807"/>
        <v>SPS1</v>
      </c>
      <c r="C1277" s="5" t="str">
        <f t="shared" si="808"/>
        <v>CH</v>
      </c>
      <c r="D1277" t="s">
        <v>1263</v>
      </c>
      <c r="E1277" t="str">
        <f t="shared" si="809"/>
        <v>km/MJ</v>
      </c>
      <c r="F1277" s="13">
        <f t="shared" ref="F1277:K1277" si="813">IFERROR(F1226/F1152,"-")</f>
        <v>0.89149519806162159</v>
      </c>
      <c r="G1277" s="13">
        <f t="shared" si="813"/>
        <v>0.89149519806162136</v>
      </c>
      <c r="H1277" s="13">
        <f t="shared" si="813"/>
        <v>0.89149519806162214</v>
      </c>
      <c r="I1277" s="13">
        <f t="shared" si="813"/>
        <v>0.89149519806162036</v>
      </c>
      <c r="J1277" s="13">
        <f t="shared" si="813"/>
        <v>0.98066345329730764</v>
      </c>
      <c r="K1277" s="13">
        <f t="shared" si="813"/>
        <v>1.0376007631158448</v>
      </c>
    </row>
    <row r="1278" spans="1:11">
      <c r="A1278" t="s">
        <v>5</v>
      </c>
      <c r="B1278" s="5" t="str">
        <f t="shared" si="807"/>
        <v>SPS1</v>
      </c>
      <c r="C1278" s="5" t="str">
        <f t="shared" si="808"/>
        <v>CH</v>
      </c>
      <c r="D1278" t="s">
        <v>1264</v>
      </c>
      <c r="E1278" t="str">
        <f t="shared" si="809"/>
        <v>km/MJ</v>
      </c>
      <c r="F1278" s="13">
        <f t="shared" ref="F1278:K1278" si="814">IFERROR(F1227/F1153,"-")</f>
        <v>0.83000507256490563</v>
      </c>
      <c r="G1278" s="13">
        <f t="shared" si="814"/>
        <v>0.83000507256490708</v>
      </c>
      <c r="H1278" s="13">
        <f t="shared" si="814"/>
        <v>0.83000507256490585</v>
      </c>
      <c r="I1278" s="13">
        <f t="shared" si="814"/>
        <v>0.83000507256490474</v>
      </c>
      <c r="J1278" s="13">
        <f t="shared" si="814"/>
        <v>0.9158990030713009</v>
      </c>
      <c r="K1278" s="13">
        <f t="shared" si="814"/>
        <v>0.98981068757504931</v>
      </c>
    </row>
    <row r="1279" spans="1:11">
      <c r="A1279" t="s">
        <v>5</v>
      </c>
      <c r="B1279" s="5" t="str">
        <f t="shared" si="807"/>
        <v>SPS1</v>
      </c>
      <c r="C1279" s="5" t="str">
        <f t="shared" si="808"/>
        <v>CH</v>
      </c>
      <c r="D1279" t="s">
        <v>1265</v>
      </c>
      <c r="E1279" t="str">
        <f t="shared" si="809"/>
        <v>km/MJ</v>
      </c>
      <c r="F1279" s="13" t="str">
        <f t="shared" ref="F1279:K1279" si="815">IFERROR(F1228/F1154,"-")</f>
        <v>-</v>
      </c>
      <c r="G1279" s="13">
        <f t="shared" si="815"/>
        <v>0.8367528209665418</v>
      </c>
      <c r="H1279" s="13">
        <f t="shared" si="815"/>
        <v>0.83675282096654235</v>
      </c>
      <c r="I1279" s="13">
        <f t="shared" si="815"/>
        <v>0.83675282096654224</v>
      </c>
      <c r="J1279" s="13">
        <f t="shared" si="815"/>
        <v>0.93219142654671272</v>
      </c>
      <c r="K1279" s="13">
        <f t="shared" si="815"/>
        <v>1.0607287154085088</v>
      </c>
    </row>
    <row r="1280" spans="1:11">
      <c r="A1280" t="s">
        <v>5</v>
      </c>
      <c r="B1280" s="5" t="str">
        <f t="shared" si="807"/>
        <v>SPS1</v>
      </c>
      <c r="C1280" s="5" t="str">
        <f t="shared" si="808"/>
        <v>CH</v>
      </c>
      <c r="D1280" t="s">
        <v>1300</v>
      </c>
      <c r="E1280" t="str">
        <f t="shared" si="809"/>
        <v>km/MJ</v>
      </c>
      <c r="F1280" s="13">
        <f t="shared" ref="F1280:K1293" si="816">IFERROR(F1229/F1160,"-")</f>
        <v>0.49379534694678334</v>
      </c>
      <c r="G1280" s="13">
        <f t="shared" si="816"/>
        <v>0.5050322086025133</v>
      </c>
      <c r="H1280" s="13">
        <f t="shared" si="816"/>
        <v>0.52188750108611015</v>
      </c>
      <c r="I1280" s="13">
        <f t="shared" si="816"/>
        <v>0.54997965522543657</v>
      </c>
      <c r="J1280" s="13" t="str">
        <f t="shared" si="816"/>
        <v>-</v>
      </c>
      <c r="K1280" s="13" t="str">
        <f t="shared" si="816"/>
        <v>-</v>
      </c>
    </row>
    <row r="1281" spans="1:11">
      <c r="A1281" t="s">
        <v>5</v>
      </c>
      <c r="B1281" s="5" t="str">
        <f t="shared" si="807"/>
        <v>SPS1</v>
      </c>
      <c r="C1281" s="5" t="str">
        <f t="shared" si="808"/>
        <v>CH</v>
      </c>
      <c r="D1281" t="s">
        <v>1266</v>
      </c>
      <c r="E1281" t="str">
        <f t="shared" si="809"/>
        <v>km/MJ</v>
      </c>
      <c r="F1281" s="13">
        <f t="shared" si="816"/>
        <v>1.1268405190757425</v>
      </c>
      <c r="G1281" s="13">
        <f t="shared" si="816"/>
        <v>1.4308321867032534</v>
      </c>
      <c r="H1281" s="13">
        <f t="shared" si="816"/>
        <v>1.4315174233687749</v>
      </c>
      <c r="I1281" s="13">
        <f t="shared" si="816"/>
        <v>1.4105414974970081</v>
      </c>
      <c r="J1281" s="13">
        <f t="shared" si="816"/>
        <v>0.96866814368729015</v>
      </c>
      <c r="K1281" s="13">
        <f t="shared" si="816"/>
        <v>1.0147200120066573</v>
      </c>
    </row>
    <row r="1282" spans="1:11">
      <c r="A1282" t="s">
        <v>5</v>
      </c>
      <c r="B1282" s="5" t="str">
        <f t="shared" si="807"/>
        <v>SPS1</v>
      </c>
      <c r="C1282" s="5" t="str">
        <f t="shared" si="808"/>
        <v>CH</v>
      </c>
      <c r="D1282" t="s">
        <v>1267</v>
      </c>
      <c r="E1282" t="str">
        <f t="shared" si="809"/>
        <v>km/MJ</v>
      </c>
      <c r="F1282" s="13">
        <f t="shared" si="816"/>
        <v>1.638189627013598</v>
      </c>
      <c r="G1282" s="13">
        <f t="shared" si="816"/>
        <v>1.8920165220624952</v>
      </c>
      <c r="H1282" s="13">
        <f t="shared" si="816"/>
        <v>1.8753435022987492</v>
      </c>
      <c r="I1282" s="13">
        <f t="shared" si="816"/>
        <v>1.8711443698709516</v>
      </c>
      <c r="J1282" s="13">
        <f t="shared" si="816"/>
        <v>1.8586065227212913</v>
      </c>
      <c r="K1282" s="13">
        <f t="shared" si="816"/>
        <v>0.84602122926761314</v>
      </c>
    </row>
    <row r="1283" spans="1:11">
      <c r="A1283" t="s">
        <v>5</v>
      </c>
      <c r="B1283" s="5" t="str">
        <f t="shared" si="807"/>
        <v>SPS1</v>
      </c>
      <c r="C1283" s="5" t="str">
        <f t="shared" si="808"/>
        <v>CH</v>
      </c>
      <c r="D1283" t="s">
        <v>1268</v>
      </c>
      <c r="E1283" t="str">
        <f t="shared" si="809"/>
        <v>km/MJ</v>
      </c>
      <c r="F1283" s="13">
        <f t="shared" si="816"/>
        <v>2.0172468977370421</v>
      </c>
      <c r="G1283" s="13">
        <f t="shared" si="816"/>
        <v>2.502033320062</v>
      </c>
      <c r="H1283" s="13">
        <f t="shared" si="816"/>
        <v>2.4997770484337507</v>
      </c>
      <c r="I1283" s="13">
        <f t="shared" si="816"/>
        <v>2.5141825108645044</v>
      </c>
      <c r="J1283" s="13">
        <f t="shared" si="816"/>
        <v>0.72798177797290509</v>
      </c>
      <c r="K1283" s="13">
        <f t="shared" si="816"/>
        <v>0.75474683985474755</v>
      </c>
    </row>
    <row r="1284" spans="1:11">
      <c r="A1284" t="s">
        <v>5</v>
      </c>
      <c r="B1284" s="5" t="str">
        <f t="shared" si="807"/>
        <v>SPS1</v>
      </c>
      <c r="C1284" s="5" t="str">
        <f t="shared" si="808"/>
        <v>CH</v>
      </c>
      <c r="D1284" t="s">
        <v>1269</v>
      </c>
      <c r="E1284" t="str">
        <f t="shared" si="809"/>
        <v>km/MJ</v>
      </c>
      <c r="F1284" s="13">
        <f t="shared" si="816"/>
        <v>1.1518359291285301</v>
      </c>
      <c r="G1284" s="13">
        <f t="shared" si="816"/>
        <v>1.4279439623263908</v>
      </c>
      <c r="H1284" s="13">
        <f t="shared" si="816"/>
        <v>1.4228143290394148</v>
      </c>
      <c r="I1284" s="13">
        <f t="shared" si="816"/>
        <v>1.4313947799326192</v>
      </c>
      <c r="J1284" s="13">
        <f t="shared" si="816"/>
        <v>0.69811364191517977</v>
      </c>
      <c r="K1284" s="13">
        <f t="shared" si="816"/>
        <v>0.75634827734211496</v>
      </c>
    </row>
    <row r="1285" spans="1:11">
      <c r="A1285" t="s">
        <v>5</v>
      </c>
      <c r="B1285" s="5" t="str">
        <f t="shared" si="807"/>
        <v>SPS1</v>
      </c>
      <c r="C1285" s="5" t="str">
        <f t="shared" si="808"/>
        <v>CH</v>
      </c>
      <c r="D1285" t="s">
        <v>1270</v>
      </c>
      <c r="E1285" t="str">
        <f t="shared" si="809"/>
        <v>km/MJ</v>
      </c>
      <c r="F1285" s="13">
        <f t="shared" si="816"/>
        <v>0.28603940550919482</v>
      </c>
      <c r="G1285" s="13">
        <f t="shared" si="816"/>
        <v>0.29254854993039736</v>
      </c>
      <c r="H1285" s="13">
        <f t="shared" si="816"/>
        <v>0.30231226656220045</v>
      </c>
      <c r="I1285" s="13">
        <f t="shared" si="816"/>
        <v>0.31858512761520624</v>
      </c>
      <c r="J1285" s="13" t="str">
        <f t="shared" si="816"/>
        <v>-</v>
      </c>
      <c r="K1285" s="13" t="str">
        <f t="shared" si="816"/>
        <v>-</v>
      </c>
    </row>
    <row r="1286" spans="1:11">
      <c r="A1286" t="s">
        <v>5</v>
      </c>
      <c r="B1286" s="5" t="str">
        <f t="shared" si="807"/>
        <v>SPS1</v>
      </c>
      <c r="C1286" s="5" t="str">
        <f t="shared" si="808"/>
        <v>CH</v>
      </c>
      <c r="D1286" t="s">
        <v>1271</v>
      </c>
      <c r="E1286" t="str">
        <f t="shared" si="809"/>
        <v>km/MJ</v>
      </c>
      <c r="F1286" s="13">
        <f t="shared" si="816"/>
        <v>0.7377452286120465</v>
      </c>
      <c r="G1286" s="13">
        <f t="shared" si="816"/>
        <v>0.87106296160702501</v>
      </c>
      <c r="H1286" s="13">
        <f t="shared" si="816"/>
        <v>0.86969137860068912</v>
      </c>
      <c r="I1286" s="13">
        <f t="shared" si="816"/>
        <v>0.86896491842211343</v>
      </c>
      <c r="J1286" s="13">
        <f t="shared" si="816"/>
        <v>0.61821392964546196</v>
      </c>
      <c r="K1286" s="13">
        <f t="shared" si="816"/>
        <v>0.66559991145473707</v>
      </c>
    </row>
    <row r="1287" spans="1:11">
      <c r="A1287" t="s">
        <v>5</v>
      </c>
      <c r="B1287" s="5" t="str">
        <f t="shared" si="807"/>
        <v>SPS1</v>
      </c>
      <c r="C1287" s="5" t="str">
        <f t="shared" si="808"/>
        <v>CH</v>
      </c>
      <c r="D1287" t="s">
        <v>1272</v>
      </c>
      <c r="E1287" t="str">
        <f t="shared" si="809"/>
        <v>km/MJ</v>
      </c>
      <c r="F1287" s="13">
        <f t="shared" si="816"/>
        <v>0.60623689208703524</v>
      </c>
      <c r="G1287" s="13">
        <f t="shared" si="816"/>
        <v>0.60445829683989927</v>
      </c>
      <c r="H1287" s="13">
        <f t="shared" si="816"/>
        <v>0.60457833462636623</v>
      </c>
      <c r="I1287" s="13">
        <f t="shared" si="816"/>
        <v>0.60945277260783126</v>
      </c>
      <c r="J1287" s="13">
        <f t="shared" si="816"/>
        <v>0.51760587019128546</v>
      </c>
      <c r="K1287" s="13">
        <f t="shared" si="816"/>
        <v>0.54926930984879352</v>
      </c>
    </row>
    <row r="1288" spans="1:11">
      <c r="A1288" t="s">
        <v>5</v>
      </c>
      <c r="B1288" s="5" t="str">
        <f t="shared" si="807"/>
        <v>SPS1</v>
      </c>
      <c r="C1288" s="5" t="str">
        <f t="shared" si="808"/>
        <v>CH</v>
      </c>
      <c r="D1288" t="s">
        <v>1273</v>
      </c>
      <c r="E1288" t="str">
        <f t="shared" si="809"/>
        <v>km/MJ</v>
      </c>
      <c r="F1288" s="13">
        <f t="shared" si="816"/>
        <v>0.51517811165678595</v>
      </c>
      <c r="G1288" s="13">
        <f t="shared" si="816"/>
        <v>0.51602758781542235</v>
      </c>
      <c r="H1288" s="13">
        <f t="shared" si="816"/>
        <v>0.51547645779964657</v>
      </c>
      <c r="I1288" s="13">
        <f t="shared" si="816"/>
        <v>0.51964762441536161</v>
      </c>
      <c r="J1288" s="13">
        <f t="shared" si="816"/>
        <v>0.48224377393782841</v>
      </c>
      <c r="K1288" s="13">
        <f t="shared" si="816"/>
        <v>0.52251973498525994</v>
      </c>
    </row>
    <row r="1289" spans="1:11">
      <c r="A1289" t="s">
        <v>5</v>
      </c>
      <c r="B1289" s="5" t="str">
        <f t="shared" si="807"/>
        <v>SPS1</v>
      </c>
      <c r="C1289" s="5" t="str">
        <f t="shared" si="808"/>
        <v>CH</v>
      </c>
      <c r="D1289" t="s">
        <v>1274</v>
      </c>
      <c r="E1289" t="str">
        <f t="shared" si="809"/>
        <v>km/MJ</v>
      </c>
      <c r="F1289" s="13">
        <f t="shared" si="816"/>
        <v>0.44049378609244155</v>
      </c>
      <c r="G1289" s="13">
        <f t="shared" si="816"/>
        <v>0.43329626578761865</v>
      </c>
      <c r="H1289" s="13">
        <f t="shared" si="816"/>
        <v>0.43376236747273328</v>
      </c>
      <c r="I1289" s="13">
        <f t="shared" si="816"/>
        <v>0.43766119650020086</v>
      </c>
      <c r="J1289" s="13">
        <f t="shared" si="816"/>
        <v>0.50278773614940053</v>
      </c>
      <c r="K1289" s="13">
        <f t="shared" si="816"/>
        <v>0.54924789504898619</v>
      </c>
    </row>
    <row r="1290" spans="1:11">
      <c r="A1290" t="s">
        <v>5</v>
      </c>
      <c r="B1290" s="5" t="str">
        <f t="shared" si="807"/>
        <v>SPS1</v>
      </c>
      <c r="C1290" s="5" t="str">
        <f t="shared" si="808"/>
        <v>CH</v>
      </c>
      <c r="D1290" t="s">
        <v>1275</v>
      </c>
      <c r="E1290" t="str">
        <f t="shared" si="809"/>
        <v>km/MJ</v>
      </c>
      <c r="F1290" s="13" t="str">
        <f t="shared" si="816"/>
        <v>-</v>
      </c>
      <c r="G1290" s="13">
        <f t="shared" si="816"/>
        <v>0.5183762762553511</v>
      </c>
      <c r="H1290" s="13">
        <f t="shared" si="816"/>
        <v>0.55251723434278643</v>
      </c>
      <c r="I1290" s="13">
        <f t="shared" si="816"/>
        <v>0.5947192658105197</v>
      </c>
      <c r="J1290" s="13">
        <f t="shared" si="816"/>
        <v>0.64784248581417303</v>
      </c>
      <c r="K1290" s="13">
        <f t="shared" si="816"/>
        <v>0.76747176268519746</v>
      </c>
    </row>
    <row r="1291" spans="1:11">
      <c r="A1291" t="s">
        <v>5</v>
      </c>
      <c r="B1291" s="5" t="str">
        <f t="shared" si="807"/>
        <v>SPS1</v>
      </c>
      <c r="C1291" s="5" t="str">
        <f t="shared" si="808"/>
        <v>CH</v>
      </c>
      <c r="D1291" t="s">
        <v>1276</v>
      </c>
      <c r="E1291" t="str">
        <f t="shared" si="809"/>
        <v>km/MJ</v>
      </c>
      <c r="F1291" s="13" t="str">
        <f t="shared" si="816"/>
        <v>-</v>
      </c>
      <c r="G1291" s="13">
        <f t="shared" si="816"/>
        <v>0.41733711223534992</v>
      </c>
      <c r="H1291" s="13">
        <f t="shared" si="816"/>
        <v>0.44442879066237101</v>
      </c>
      <c r="I1291" s="13">
        <f t="shared" si="816"/>
        <v>0.46947164218611404</v>
      </c>
      <c r="J1291" s="13">
        <f t="shared" si="816"/>
        <v>0.5604963564969897</v>
      </c>
      <c r="K1291" s="13">
        <f t="shared" si="816"/>
        <v>0.6424556546742195</v>
      </c>
    </row>
    <row r="1292" spans="1:11">
      <c r="A1292" t="s">
        <v>5</v>
      </c>
      <c r="B1292" s="5" t="str">
        <f t="shared" si="807"/>
        <v>SPS1</v>
      </c>
      <c r="C1292" s="5" t="str">
        <f t="shared" si="808"/>
        <v>CH</v>
      </c>
      <c r="D1292" t="s">
        <v>1277</v>
      </c>
      <c r="E1292" t="str">
        <f t="shared" si="809"/>
        <v>km/MJ</v>
      </c>
      <c r="F1292" s="13" t="str">
        <f t="shared" si="816"/>
        <v>-</v>
      </c>
      <c r="G1292" s="13">
        <f t="shared" si="816"/>
        <v>0.38796990995538683</v>
      </c>
      <c r="H1292" s="13">
        <f t="shared" si="816"/>
        <v>0.4133261872152012</v>
      </c>
      <c r="I1292" s="13">
        <f t="shared" si="816"/>
        <v>0.43487189486615829</v>
      </c>
      <c r="J1292" s="13">
        <f t="shared" si="816"/>
        <v>0.52475191414325684</v>
      </c>
      <c r="K1292" s="13">
        <f t="shared" si="816"/>
        <v>0.61147307792453942</v>
      </c>
    </row>
    <row r="1293" spans="1:11">
      <c r="A1293" t="s">
        <v>5</v>
      </c>
      <c r="B1293" s="5" t="str">
        <f t="shared" si="807"/>
        <v>SPS1</v>
      </c>
      <c r="C1293" s="5" t="str">
        <f t="shared" si="808"/>
        <v>CH</v>
      </c>
      <c r="D1293" t="s">
        <v>1278</v>
      </c>
      <c r="E1293" t="str">
        <f t="shared" si="809"/>
        <v>km/MJ</v>
      </c>
      <c r="F1293" s="13" t="str">
        <f t="shared" si="816"/>
        <v>-</v>
      </c>
      <c r="G1293" s="13">
        <f t="shared" si="816"/>
        <v>0.39332458747711369</v>
      </c>
      <c r="H1293" s="13">
        <f t="shared" si="816"/>
        <v>0.41822517149644289</v>
      </c>
      <c r="I1293" s="13">
        <f t="shared" si="816"/>
        <v>0.44116905967314224</v>
      </c>
      <c r="J1293" s="13">
        <f t="shared" si="816"/>
        <v>0.55110074758336691</v>
      </c>
      <c r="K1293" s="13">
        <f t="shared" si="816"/>
        <v>0.67298390006319642</v>
      </c>
    </row>
    <row r="1294" spans="1:11">
      <c r="A1294" t="s">
        <v>5</v>
      </c>
      <c r="B1294" s="5" t="str">
        <f t="shared" si="807"/>
        <v>SPS1</v>
      </c>
      <c r="C1294" s="5" t="str">
        <f t="shared" si="808"/>
        <v>CH</v>
      </c>
      <c r="D1294" t="s">
        <v>1302</v>
      </c>
      <c r="E1294" t="str">
        <f t="shared" si="809"/>
        <v>km/MJ</v>
      </c>
      <c r="F1294" s="13" t="str">
        <f t="shared" ref="F1294:K1307" si="817">IFERROR(F1243/F1183,"-")</f>
        <v>-</v>
      </c>
      <c r="G1294" s="13" t="str">
        <f t="shared" si="817"/>
        <v>-</v>
      </c>
      <c r="H1294" s="13" t="str">
        <f t="shared" si="817"/>
        <v>-</v>
      </c>
      <c r="I1294" s="13" t="str">
        <f t="shared" si="817"/>
        <v>-</v>
      </c>
      <c r="J1294" s="13" t="str">
        <f t="shared" si="817"/>
        <v>-</v>
      </c>
      <c r="K1294" s="13" t="str">
        <f t="shared" si="817"/>
        <v>-</v>
      </c>
    </row>
    <row r="1295" spans="1:11">
      <c r="A1295" t="s">
        <v>5</v>
      </c>
      <c r="B1295" s="5" t="str">
        <f t="shared" si="807"/>
        <v>SPS1</v>
      </c>
      <c r="C1295" s="5" t="str">
        <f t="shared" si="808"/>
        <v>CH</v>
      </c>
      <c r="D1295" t="s">
        <v>1279</v>
      </c>
      <c r="E1295" t="str">
        <f t="shared" si="809"/>
        <v>km/MJ</v>
      </c>
      <c r="F1295" s="13">
        <f t="shared" si="817"/>
        <v>0.41824117647058801</v>
      </c>
      <c r="G1295" s="13">
        <f t="shared" si="817"/>
        <v>0.90539416412101681</v>
      </c>
      <c r="H1295" s="13">
        <f t="shared" si="817"/>
        <v>1.3594423673538338</v>
      </c>
      <c r="I1295" s="13">
        <f t="shared" si="817"/>
        <v>1.138588668544654</v>
      </c>
      <c r="J1295" s="13">
        <f t="shared" si="817"/>
        <v>0.96823776786008886</v>
      </c>
      <c r="K1295" s="13">
        <f t="shared" si="817"/>
        <v>1.0206734172059015</v>
      </c>
    </row>
    <row r="1296" spans="1:11">
      <c r="A1296" t="s">
        <v>5</v>
      </c>
      <c r="B1296" s="5" t="str">
        <f t="shared" si="807"/>
        <v>SPS1</v>
      </c>
      <c r="C1296" s="5" t="str">
        <f t="shared" si="808"/>
        <v>CH</v>
      </c>
      <c r="D1296" t="s">
        <v>1280</v>
      </c>
      <c r="E1296" t="str">
        <f t="shared" si="809"/>
        <v>km/MJ</v>
      </c>
      <c r="F1296" s="13">
        <f t="shared" si="817"/>
        <v>1.1785682368381682</v>
      </c>
      <c r="G1296" s="13">
        <f t="shared" si="817"/>
        <v>2.6816372655600507</v>
      </c>
      <c r="H1296" s="13">
        <f t="shared" si="817"/>
        <v>2.2554169465907314</v>
      </c>
      <c r="I1296" s="13">
        <f t="shared" si="817"/>
        <v>2.2395399179245401</v>
      </c>
      <c r="J1296" s="13">
        <f t="shared" si="817"/>
        <v>1.9522575412212613</v>
      </c>
      <c r="K1296" s="13">
        <f t="shared" si="817"/>
        <v>0.83495070116214276</v>
      </c>
    </row>
    <row r="1297" spans="1:11">
      <c r="A1297" t="s">
        <v>5</v>
      </c>
      <c r="B1297" s="5" t="str">
        <f t="shared" si="807"/>
        <v>SPS1</v>
      </c>
      <c r="C1297" s="5" t="str">
        <f t="shared" si="808"/>
        <v>CH</v>
      </c>
      <c r="D1297" t="s">
        <v>1281</v>
      </c>
      <c r="E1297" t="str">
        <f t="shared" si="809"/>
        <v>km/MJ</v>
      </c>
      <c r="F1297" s="13">
        <f t="shared" si="817"/>
        <v>0.89212989740193727</v>
      </c>
      <c r="G1297" s="13">
        <f t="shared" si="817"/>
        <v>1.1850195619678785</v>
      </c>
      <c r="H1297" s="13">
        <f t="shared" si="817"/>
        <v>1.1799181450101122</v>
      </c>
      <c r="I1297" s="13">
        <f t="shared" si="817"/>
        <v>1.2556929757689308</v>
      </c>
      <c r="J1297" s="13">
        <f t="shared" si="817"/>
        <v>0.70710226323603087</v>
      </c>
      <c r="K1297" s="13">
        <f t="shared" si="817"/>
        <v>0.74917785761956734</v>
      </c>
    </row>
    <row r="1298" spans="1:11">
      <c r="A1298" t="s">
        <v>5</v>
      </c>
      <c r="B1298" s="5" t="str">
        <f t="shared" si="807"/>
        <v>SPS1</v>
      </c>
      <c r="C1298" s="5" t="str">
        <f t="shared" si="808"/>
        <v>CH</v>
      </c>
      <c r="D1298" t="s">
        <v>1282</v>
      </c>
      <c r="E1298" t="str">
        <f t="shared" si="809"/>
        <v>km/MJ</v>
      </c>
      <c r="F1298" s="13">
        <f t="shared" si="817"/>
        <v>1.3438553389762224</v>
      </c>
      <c r="G1298" s="13">
        <f t="shared" si="817"/>
        <v>1.6559506710338401</v>
      </c>
      <c r="H1298" s="13">
        <f t="shared" si="817"/>
        <v>1.6572555080298361</v>
      </c>
      <c r="I1298" s="13">
        <f t="shared" si="817"/>
        <v>1.6629046905353688</v>
      </c>
      <c r="J1298" s="13">
        <f t="shared" si="817"/>
        <v>0.69671393968482631</v>
      </c>
      <c r="K1298" s="13">
        <f t="shared" si="817"/>
        <v>0.75152888946823637</v>
      </c>
    </row>
    <row r="1299" spans="1:11">
      <c r="A1299" t="s">
        <v>5</v>
      </c>
      <c r="B1299" s="5" t="str">
        <f t="shared" si="807"/>
        <v>SPS1</v>
      </c>
      <c r="C1299" s="5" t="str">
        <f t="shared" si="808"/>
        <v>CH</v>
      </c>
      <c r="D1299" t="s">
        <v>1283</v>
      </c>
      <c r="E1299" t="str">
        <f t="shared" si="809"/>
        <v>km/MJ</v>
      </c>
      <c r="F1299" s="13">
        <f t="shared" si="817"/>
        <v>0.33901850024085972</v>
      </c>
      <c r="G1299" s="13">
        <f t="shared" si="817"/>
        <v>0.35391427166601108</v>
      </c>
      <c r="H1299" s="13">
        <f t="shared" si="817"/>
        <v>0.37625792880373765</v>
      </c>
      <c r="I1299" s="13">
        <f t="shared" si="817"/>
        <v>0.41349735736661442</v>
      </c>
      <c r="J1299" s="13" t="str">
        <f t="shared" si="817"/>
        <v>-</v>
      </c>
      <c r="K1299" s="13" t="str">
        <f t="shared" si="817"/>
        <v>-</v>
      </c>
    </row>
    <row r="1300" spans="1:11">
      <c r="A1300" t="s">
        <v>5</v>
      </c>
      <c r="B1300" s="5" t="str">
        <f t="shared" si="807"/>
        <v>SPS1</v>
      </c>
      <c r="C1300" s="5" t="str">
        <f t="shared" si="808"/>
        <v>CH</v>
      </c>
      <c r="D1300" t="s">
        <v>1284</v>
      </c>
      <c r="E1300" t="str">
        <f t="shared" si="809"/>
        <v>km/MJ</v>
      </c>
      <c r="F1300" s="13">
        <f t="shared" si="817"/>
        <v>0.75193988310635851</v>
      </c>
      <c r="G1300" s="13">
        <f t="shared" si="817"/>
        <v>0.98549293307520247</v>
      </c>
      <c r="H1300" s="13">
        <f t="shared" si="817"/>
        <v>0.98439596383290195</v>
      </c>
      <c r="I1300" s="13">
        <f t="shared" si="817"/>
        <v>0.98269042655914729</v>
      </c>
      <c r="J1300" s="13">
        <f t="shared" si="817"/>
        <v>0.65895066463734042</v>
      </c>
      <c r="K1300" s="13">
        <f t="shared" si="817"/>
        <v>0.68995924791983765</v>
      </c>
    </row>
    <row r="1301" spans="1:11">
      <c r="A1301" t="s">
        <v>5</v>
      </c>
      <c r="B1301" s="5" t="str">
        <f t="shared" si="807"/>
        <v>SPS1</v>
      </c>
      <c r="C1301" s="5" t="str">
        <f t="shared" si="808"/>
        <v>CH</v>
      </c>
      <c r="D1301" t="s">
        <v>1285</v>
      </c>
      <c r="E1301" t="str">
        <f t="shared" si="809"/>
        <v>km/MJ</v>
      </c>
      <c r="F1301" s="13">
        <f t="shared" si="817"/>
        <v>0.69634281066934478</v>
      </c>
      <c r="G1301" s="13">
        <f t="shared" si="817"/>
        <v>0.70372902219957723</v>
      </c>
      <c r="H1301" s="13">
        <f t="shared" si="817"/>
        <v>0.70281055712901919</v>
      </c>
      <c r="I1301" s="13">
        <f t="shared" si="817"/>
        <v>0.76308876468917852</v>
      </c>
      <c r="J1301" s="13">
        <f t="shared" si="817"/>
        <v>0.52846947293478885</v>
      </c>
      <c r="K1301" s="13">
        <f t="shared" si="817"/>
        <v>0.56096746145467569</v>
      </c>
    </row>
    <row r="1302" spans="1:11">
      <c r="A1302" t="s">
        <v>5</v>
      </c>
      <c r="B1302" s="5" t="str">
        <f t="shared" si="807"/>
        <v>SPS1</v>
      </c>
      <c r="C1302" s="5" t="str">
        <f t="shared" si="808"/>
        <v>CH</v>
      </c>
      <c r="D1302" t="s">
        <v>1286</v>
      </c>
      <c r="E1302" t="str">
        <f t="shared" si="809"/>
        <v>km/MJ</v>
      </c>
      <c r="F1302" s="13">
        <f t="shared" si="817"/>
        <v>0.52783381117795192</v>
      </c>
      <c r="G1302" s="13">
        <f t="shared" si="817"/>
        <v>0.5324164103700314</v>
      </c>
      <c r="H1302" s="13">
        <f t="shared" si="817"/>
        <v>0.53195125117317343</v>
      </c>
      <c r="I1302" s="13">
        <f t="shared" si="817"/>
        <v>0.5412192466936131</v>
      </c>
      <c r="J1302" s="13">
        <f t="shared" si="817"/>
        <v>0.49134365338025643</v>
      </c>
      <c r="K1302" s="13">
        <f t="shared" si="817"/>
        <v>0.52880214065449083</v>
      </c>
    </row>
    <row r="1303" spans="1:11">
      <c r="A1303" t="s">
        <v>5</v>
      </c>
      <c r="B1303" s="5" t="str">
        <f t="shared" si="807"/>
        <v>SPS1</v>
      </c>
      <c r="C1303" s="5" t="str">
        <f t="shared" si="808"/>
        <v>CH</v>
      </c>
      <c r="D1303" t="s">
        <v>1287</v>
      </c>
      <c r="E1303" t="str">
        <f t="shared" si="809"/>
        <v>km/MJ</v>
      </c>
      <c r="F1303" s="13">
        <f t="shared" si="817"/>
        <v>0.46599449103476265</v>
      </c>
      <c r="G1303" s="13">
        <f t="shared" si="817"/>
        <v>0.45575106995408454</v>
      </c>
      <c r="H1303" s="13">
        <f t="shared" si="817"/>
        <v>0.45675781533219983</v>
      </c>
      <c r="I1303" s="13">
        <f t="shared" si="817"/>
        <v>0.46328840807665711</v>
      </c>
      <c r="J1303" s="13">
        <f t="shared" si="817"/>
        <v>0.46772408853850489</v>
      </c>
      <c r="K1303" s="13">
        <f t="shared" si="817"/>
        <v>0.50558388631914519</v>
      </c>
    </row>
    <row r="1304" spans="1:11">
      <c r="A1304" t="s">
        <v>5</v>
      </c>
      <c r="B1304" s="5" t="str">
        <f t="shared" si="807"/>
        <v>SPS1</v>
      </c>
      <c r="C1304" s="5" t="str">
        <f t="shared" si="808"/>
        <v>CH</v>
      </c>
      <c r="D1304" t="s">
        <v>1288</v>
      </c>
      <c r="E1304" t="str">
        <f t="shared" si="809"/>
        <v>km/MJ</v>
      </c>
      <c r="F1304" s="13" t="str">
        <f t="shared" si="817"/>
        <v>-</v>
      </c>
      <c r="G1304" s="13">
        <f t="shared" si="817"/>
        <v>0.56203544748554568</v>
      </c>
      <c r="H1304" s="13">
        <f t="shared" si="817"/>
        <v>0.59242423943760392</v>
      </c>
      <c r="I1304" s="13">
        <f t="shared" si="817"/>
        <v>0.62904588777038828</v>
      </c>
      <c r="J1304" s="13">
        <f t="shared" si="817"/>
        <v>0.71555011505626598</v>
      </c>
      <c r="K1304" s="13">
        <f t="shared" si="817"/>
        <v>0.85019568152915848</v>
      </c>
    </row>
    <row r="1305" spans="1:11">
      <c r="A1305" t="s">
        <v>5</v>
      </c>
      <c r="B1305" s="5" t="str">
        <f t="shared" si="807"/>
        <v>SPS1</v>
      </c>
      <c r="C1305" s="5" t="str">
        <f t="shared" si="808"/>
        <v>CH</v>
      </c>
      <c r="D1305" t="s">
        <v>1289</v>
      </c>
      <c r="E1305" t="str">
        <f t="shared" si="809"/>
        <v>km/MJ</v>
      </c>
      <c r="F1305" s="13" t="str">
        <f t="shared" si="817"/>
        <v>-</v>
      </c>
      <c r="G1305" s="13">
        <f t="shared" si="817"/>
        <v>0.45210145766281434</v>
      </c>
      <c r="H1305" s="13">
        <f t="shared" si="817"/>
        <v>0.47609082351134979</v>
      </c>
      <c r="I1305" s="13">
        <f t="shared" si="817"/>
        <v>0.49925404567422971</v>
      </c>
      <c r="J1305" s="13">
        <f t="shared" si="817"/>
        <v>0.59031015272002318</v>
      </c>
      <c r="K1305" s="13">
        <f t="shared" si="817"/>
        <v>0.7126522455545421</v>
      </c>
    </row>
    <row r="1306" spans="1:11">
      <c r="A1306" t="s">
        <v>5</v>
      </c>
      <c r="B1306" s="5" t="str">
        <f t="shared" si="807"/>
        <v>SPS1</v>
      </c>
      <c r="C1306" s="5" t="str">
        <f t="shared" si="808"/>
        <v>CH</v>
      </c>
      <c r="D1306" t="s">
        <v>1290</v>
      </c>
      <c r="E1306" t="str">
        <f t="shared" si="809"/>
        <v>km/MJ</v>
      </c>
      <c r="F1306" s="13" t="str">
        <f t="shared" si="817"/>
        <v>-</v>
      </c>
      <c r="G1306" s="13">
        <f t="shared" si="817"/>
        <v>0.42028149632876904</v>
      </c>
      <c r="H1306" s="13">
        <f t="shared" si="817"/>
        <v>0.44270582726619373</v>
      </c>
      <c r="I1306" s="13">
        <f t="shared" si="817"/>
        <v>0.46254026320900576</v>
      </c>
      <c r="J1306" s="13">
        <f t="shared" si="817"/>
        <v>0.55196421880961044</v>
      </c>
      <c r="K1306" s="13">
        <f t="shared" si="817"/>
        <v>0.69340942065290179</v>
      </c>
    </row>
    <row r="1307" spans="1:11">
      <c r="A1307" t="s">
        <v>5</v>
      </c>
      <c r="B1307" s="5" t="str">
        <f t="shared" si="807"/>
        <v>SPS1</v>
      </c>
      <c r="C1307" s="5" t="str">
        <f t="shared" si="808"/>
        <v>CH</v>
      </c>
      <c r="D1307" t="s">
        <v>1291</v>
      </c>
      <c r="E1307" t="str">
        <f t="shared" si="809"/>
        <v>km/MJ</v>
      </c>
      <c r="F1307" s="13" t="str">
        <f t="shared" si="817"/>
        <v>-</v>
      </c>
      <c r="G1307" s="13">
        <f t="shared" si="817"/>
        <v>0.39943403925494775</v>
      </c>
      <c r="H1307" s="13">
        <f t="shared" si="817"/>
        <v>0.41900484561284396</v>
      </c>
      <c r="I1307" s="13">
        <f t="shared" si="817"/>
        <v>0.43787402784608148</v>
      </c>
      <c r="J1307" s="13">
        <f t="shared" si="817"/>
        <v>0.52492145164636306</v>
      </c>
      <c r="K1307" s="13">
        <f t="shared" si="817"/>
        <v>0.63643085441939196</v>
      </c>
    </row>
    <row r="1308" spans="1:11">
      <c r="A1308" t="s">
        <v>5</v>
      </c>
      <c r="B1308" s="5" t="str">
        <f t="shared" si="807"/>
        <v>SPS1</v>
      </c>
      <c r="C1308" s="5" t="str">
        <f t="shared" si="808"/>
        <v>CH</v>
      </c>
      <c r="D1308" t="s">
        <v>1292</v>
      </c>
      <c r="E1308" t="str">
        <f t="shared" si="809"/>
        <v>km/MJ</v>
      </c>
      <c r="F1308" s="13" t="str">
        <f>IFERROR(F1257/F1206,"-")</f>
        <v>-</v>
      </c>
      <c r="G1308" s="13">
        <f t="shared" ref="G1308:K1312" si="818">IFERROR(G1257/G1197,"-")</f>
        <v>0</v>
      </c>
      <c r="H1308" s="13">
        <f t="shared" si="818"/>
        <v>0</v>
      </c>
      <c r="I1308" s="13">
        <f t="shared" si="818"/>
        <v>0</v>
      </c>
      <c r="J1308" s="13">
        <f t="shared" si="818"/>
        <v>0</v>
      </c>
      <c r="K1308" s="13">
        <f t="shared" si="818"/>
        <v>0</v>
      </c>
    </row>
    <row r="1309" spans="1:11">
      <c r="A1309" t="s">
        <v>5</v>
      </c>
      <c r="B1309" s="5" t="str">
        <f t="shared" si="807"/>
        <v>SPS1</v>
      </c>
      <c r="C1309" s="5" t="str">
        <f t="shared" si="808"/>
        <v>CH</v>
      </c>
      <c r="D1309" t="s">
        <v>1293</v>
      </c>
      <c r="E1309" t="str">
        <f t="shared" si="809"/>
        <v>km/MJ</v>
      </c>
      <c r="F1309" s="13">
        <f>IFERROR(F1258/F1207,"-")</f>
        <v>0.61605973005326564</v>
      </c>
      <c r="G1309" s="13">
        <f t="shared" si="818"/>
        <v>3.2587588973773722</v>
      </c>
      <c r="H1309" s="13">
        <f t="shared" si="818"/>
        <v>1.5827791553491894</v>
      </c>
      <c r="I1309" s="13">
        <f t="shared" si="818"/>
        <v>0.90617048660392419</v>
      </c>
      <c r="J1309" s="13">
        <f t="shared" si="818"/>
        <v>3.710857292050275E-2</v>
      </c>
      <c r="K1309" s="13">
        <f t="shared" si="818"/>
        <v>2.3818235275934716E-2</v>
      </c>
    </row>
    <row r="1310" spans="1:11">
      <c r="A1310" t="s">
        <v>5</v>
      </c>
      <c r="B1310" s="5" t="str">
        <f t="shared" si="807"/>
        <v>SPS1</v>
      </c>
      <c r="C1310" s="5" t="str">
        <f t="shared" si="808"/>
        <v>CH</v>
      </c>
      <c r="D1310" t="s">
        <v>1294</v>
      </c>
      <c r="E1310" t="str">
        <f t="shared" si="809"/>
        <v>km/MJ</v>
      </c>
      <c r="F1310" s="13">
        <f>IFERROR(F1259/F1208,"-")</f>
        <v>0.69254261327592592</v>
      </c>
      <c r="G1310" s="13">
        <f t="shared" si="818"/>
        <v>2.9785132553598972E-3</v>
      </c>
      <c r="H1310" s="13">
        <f t="shared" si="818"/>
        <v>7.6655137546889735E-6</v>
      </c>
      <c r="I1310" s="13">
        <f t="shared" si="818"/>
        <v>2.7077749606129464E-6</v>
      </c>
      <c r="J1310" s="13">
        <f t="shared" si="818"/>
        <v>1.1804214117239381E-6</v>
      </c>
      <c r="K1310" s="13">
        <f t="shared" si="818"/>
        <v>8.0062475187525715E-7</v>
      </c>
    </row>
    <row r="1311" spans="1:11">
      <c r="A1311" t="s">
        <v>5</v>
      </c>
      <c r="B1311" s="5" t="str">
        <f t="shared" si="807"/>
        <v>SPS1</v>
      </c>
      <c r="C1311" s="5" t="str">
        <f t="shared" si="808"/>
        <v>CH</v>
      </c>
      <c r="D1311" t="s">
        <v>1295</v>
      </c>
      <c r="E1311" t="str">
        <f t="shared" si="809"/>
        <v>km/MJ</v>
      </c>
      <c r="F1311" s="13">
        <f>IFERROR(F1260/F1209,"-")</f>
        <v>0.48506196473255991</v>
      </c>
      <c r="G1311" s="13">
        <f t="shared" si="818"/>
        <v>1.6569752265402983E-4</v>
      </c>
      <c r="H1311" s="13">
        <f t="shared" si="818"/>
        <v>4.4653253175056483E-4</v>
      </c>
      <c r="I1311" s="13">
        <f t="shared" si="818"/>
        <v>5.6606710120375725E-4</v>
      </c>
      <c r="J1311" s="13">
        <f t="shared" si="818"/>
        <v>0.3420244809889354</v>
      </c>
      <c r="K1311" s="13">
        <f t="shared" si="818"/>
        <v>0.21519267763882163</v>
      </c>
    </row>
    <row r="1312" spans="1:11">
      <c r="A1312" t="s">
        <v>5</v>
      </c>
      <c r="B1312" s="5" t="str">
        <f t="shared" si="807"/>
        <v>SPS1</v>
      </c>
      <c r="C1312" s="5" t="str">
        <f t="shared" si="808"/>
        <v>CH</v>
      </c>
      <c r="D1312" t="s">
        <v>1296</v>
      </c>
      <c r="E1312" t="str">
        <f t="shared" si="809"/>
        <v>km/MJ</v>
      </c>
      <c r="F1312" s="13">
        <f>IFERROR(F1261/F1210,"-")</f>
        <v>0.752</v>
      </c>
      <c r="G1312" s="13">
        <f t="shared" si="818"/>
        <v>8.2501527181055145E-3</v>
      </c>
      <c r="H1312" s="13">
        <f t="shared" si="818"/>
        <v>5.7396910983872902E-2</v>
      </c>
      <c r="I1312" s="13">
        <f t="shared" si="818"/>
        <v>0.25867991876923535</v>
      </c>
      <c r="J1312" s="13">
        <f t="shared" si="818"/>
        <v>0.44479062721073648</v>
      </c>
      <c r="K1312" s="13">
        <f t="shared" si="818"/>
        <v>0.55819832763620647</v>
      </c>
    </row>
    <row r="1313" spans="1:16">
      <c r="A1313" t="s">
        <v>5</v>
      </c>
      <c r="B1313" s="8" t="str">
        <f t="shared" ref="B1313" si="819">B1312</f>
        <v>SPS1</v>
      </c>
      <c r="C1313" s="8" t="str">
        <f t="shared" ref="C1313" si="820">C1312</f>
        <v>CH</v>
      </c>
      <c r="D1313" s="1" t="s">
        <v>1372</v>
      </c>
      <c r="E1313" s="1" t="s">
        <v>8</v>
      </c>
      <c r="F1313" s="16">
        <f>F1314+F1320+F1325+F1339</f>
        <v>0.75944336489440567</v>
      </c>
      <c r="G1313" s="16">
        <f t="shared" ref="G1313:K1313" si="821">G1314+G1320+G1325+G1339</f>
        <v>1.3099303174822401</v>
      </c>
      <c r="H1313" s="16">
        <f t="shared" si="821"/>
        <v>2.3594385490234084</v>
      </c>
      <c r="I1313" s="16">
        <f t="shared" si="821"/>
        <v>3.7517540889457082</v>
      </c>
      <c r="J1313" s="16">
        <f t="shared" si="821"/>
        <v>2.3103481032134172</v>
      </c>
      <c r="K1313" s="16">
        <f t="shared" si="821"/>
        <v>1.4335304117458487</v>
      </c>
      <c r="M1313" s="3"/>
      <c r="N1313" s="3"/>
      <c r="O1313" s="3"/>
      <c r="P1313" s="3"/>
    </row>
    <row r="1314" spans="1:16">
      <c r="A1314" t="s">
        <v>5</v>
      </c>
      <c r="B1314" s="5" t="str">
        <f>B1313</f>
        <v>SPS1</v>
      </c>
      <c r="C1314" s="5" t="str">
        <f>C1313</f>
        <v>CH</v>
      </c>
      <c r="D1314" t="s">
        <v>1374</v>
      </c>
      <c r="E1314" t="s">
        <v>8</v>
      </c>
      <c r="F1314" s="13">
        <f>SUM(F1315:F1319)</f>
        <v>3.8702105767990285E-3</v>
      </c>
      <c r="G1314" s="13">
        <f t="shared" ref="G1314:K1314" si="822">SUM(G1315:G1319)</f>
        <v>2.8595031580899615E-3</v>
      </c>
      <c r="H1314" s="13">
        <f t="shared" si="822"/>
        <v>5.5215267113575403E-3</v>
      </c>
      <c r="I1314" s="13">
        <f t="shared" si="822"/>
        <v>5.0725599430702796E-2</v>
      </c>
      <c r="J1314" s="13">
        <f t="shared" si="822"/>
        <v>0.49363005459076098</v>
      </c>
      <c r="K1314" s="13">
        <f t="shared" si="822"/>
        <v>0.90537009311985595</v>
      </c>
    </row>
    <row r="1315" spans="1:16">
      <c r="A1315" t="s">
        <v>5</v>
      </c>
      <c r="B1315" s="5" t="str">
        <f t="shared" ref="B1315:B1348" si="823">B1314</f>
        <v>SPS1</v>
      </c>
      <c r="C1315" s="5" t="str">
        <f t="shared" ref="C1315:C1348" si="824">C1314</f>
        <v>CH</v>
      </c>
      <c r="D1315" t="s">
        <v>1375</v>
      </c>
      <c r="E1315" t="s">
        <v>8</v>
      </c>
      <c r="F1315" s="13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4.7811435016510885E-4</v>
      </c>
      <c r="G1315" s="13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4.7526546270560999E-4</v>
      </c>
      <c r="H1315" s="13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4.6638964376067286E-4</v>
      </c>
      <c r="I1315" s="13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3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3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1:16">
      <c r="A1316" t="s">
        <v>5</v>
      </c>
      <c r="B1316" s="5" t="str">
        <f t="shared" si="823"/>
        <v>SPS1</v>
      </c>
      <c r="C1316" s="5" t="str">
        <f t="shared" si="824"/>
        <v>CH</v>
      </c>
      <c r="D1316" t="s">
        <v>1376</v>
      </c>
      <c r="E1316" t="s">
        <v>8</v>
      </c>
      <c r="F1316" s="13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3.6446158151595888E-7</v>
      </c>
      <c r="G1316" s="13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2.3536709274874171E-3</v>
      </c>
      <c r="H1316" s="13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5.0029691466522263E-3</v>
      </c>
      <c r="I1316" s="13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5.0478868707193265E-2</v>
      </c>
      <c r="J1316" s="13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0.10171044174584731</v>
      </c>
      <c r="K1316" s="13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5.0808471316784232E-2</v>
      </c>
    </row>
    <row r="1317" spans="1:16">
      <c r="A1317" t="s">
        <v>5</v>
      </c>
      <c r="B1317" s="5" t="str">
        <f t="shared" si="823"/>
        <v>SPS1</v>
      </c>
      <c r="C1317" s="5" t="str">
        <f t="shared" si="824"/>
        <v>CH</v>
      </c>
      <c r="D1317" t="s">
        <v>1377</v>
      </c>
      <c r="E1317" t="s">
        <v>8</v>
      </c>
      <c r="F1317" s="13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4.498314723228844E-4</v>
      </c>
      <c r="G1317" s="13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3.0566767896934311E-5</v>
      </c>
      <c r="H1317" s="13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4.9961076014262035E-5</v>
      </c>
      <c r="I1317" s="13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1.4057011005677762E-4</v>
      </c>
      <c r="J1317" s="13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0.11325242858679287</v>
      </c>
      <c r="K1317" s="13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0.12019139261786407</v>
      </c>
    </row>
    <row r="1318" spans="1:16">
      <c r="A1318" t="s">
        <v>5</v>
      </c>
      <c r="B1318" s="5" t="str">
        <f t="shared" si="823"/>
        <v>SPS1</v>
      </c>
      <c r="C1318" s="5" t="str">
        <f t="shared" si="824"/>
        <v>CH</v>
      </c>
      <c r="D1318" t="s">
        <v>1378</v>
      </c>
      <c r="E1318" t="s">
        <v>8</v>
      </c>
      <c r="F1318" s="13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2.9419002927295193E-3</v>
      </c>
      <c r="G1318" s="13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0</v>
      </c>
      <c r="H1318" s="13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2.2068449303789802E-6</v>
      </c>
      <c r="I1318" s="13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1.0616061345275443E-4</v>
      </c>
      <c r="J1318" s="13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0.27866718425812081</v>
      </c>
      <c r="K1318" s="13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0.73437022918520767</v>
      </c>
    </row>
    <row r="1319" spans="1:16">
      <c r="A1319" t="s">
        <v>5</v>
      </c>
      <c r="B1319" s="5" t="str">
        <f t="shared" si="823"/>
        <v>SPS1</v>
      </c>
      <c r="C1319" s="5" t="str">
        <f t="shared" si="824"/>
        <v>CH</v>
      </c>
      <c r="D1319" t="s">
        <v>1379</v>
      </c>
      <c r="E1319" t="s">
        <v>8</v>
      </c>
      <c r="F1319" s="13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0</v>
      </c>
      <c r="G1319" s="13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0</v>
      </c>
      <c r="H1319" s="13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0</v>
      </c>
      <c r="I1319" s="13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0</v>
      </c>
      <c r="J1319" s="13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0</v>
      </c>
      <c r="K1319" s="13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0</v>
      </c>
    </row>
    <row r="1320" spans="1:16">
      <c r="A1320" t="s">
        <v>5</v>
      </c>
      <c r="B1320" s="5" t="str">
        <f t="shared" si="823"/>
        <v>SPS1</v>
      </c>
      <c r="C1320" s="5" t="str">
        <f t="shared" si="824"/>
        <v>CH</v>
      </c>
      <c r="D1320" t="s">
        <v>1380</v>
      </c>
      <c r="E1320" t="s">
        <v>8</v>
      </c>
      <c r="F1320" s="13">
        <f>SUM(F1321:F1324)</f>
        <v>0</v>
      </c>
      <c r="G1320" s="13">
        <f t="shared" ref="G1320:K1320" si="825">SUM(G1321:G1324)</f>
        <v>0</v>
      </c>
      <c r="H1320" s="13">
        <f t="shared" si="825"/>
        <v>0</v>
      </c>
      <c r="I1320" s="13">
        <f t="shared" si="825"/>
        <v>9.9906186484086015E-6</v>
      </c>
      <c r="J1320" s="13">
        <f t="shared" si="825"/>
        <v>6.8215793877853509E-2</v>
      </c>
      <c r="K1320" s="13">
        <f t="shared" si="825"/>
        <v>5.4530259709745038E-2</v>
      </c>
    </row>
    <row r="1321" spans="1:16">
      <c r="A1321" t="s">
        <v>5</v>
      </c>
      <c r="B1321" s="5" t="str">
        <f t="shared" si="823"/>
        <v>SPS1</v>
      </c>
      <c r="C1321" s="5" t="str">
        <f t="shared" si="824"/>
        <v>CH</v>
      </c>
      <c r="D1321" t="s">
        <v>1381</v>
      </c>
      <c r="E1321" t="s">
        <v>8</v>
      </c>
      <c r="F1321" s="13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3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3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3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7.1128488720587063E-6</v>
      </c>
      <c r="J1321" s="13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8.2042362535269476E-5</v>
      </c>
      <c r="K1321" s="13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3.1176867150457577E-2</v>
      </c>
    </row>
    <row r="1322" spans="1:16">
      <c r="A1322" t="s">
        <v>5</v>
      </c>
      <c r="B1322" s="5" t="str">
        <f t="shared" si="823"/>
        <v>SPS1</v>
      </c>
      <c r="C1322" s="5" t="str">
        <f t="shared" si="824"/>
        <v>CH</v>
      </c>
      <c r="D1322" t="s">
        <v>1382</v>
      </c>
      <c r="E1322" t="s">
        <v>8</v>
      </c>
      <c r="F1322" s="13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3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3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3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2.8777697763498948E-6</v>
      </c>
      <c r="J1322" s="13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6.5098259733855401E-5</v>
      </c>
      <c r="K1322" s="13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3.2314871918134992E-5</v>
      </c>
    </row>
    <row r="1323" spans="1:16">
      <c r="A1323" t="s">
        <v>5</v>
      </c>
      <c r="B1323" s="5" t="str">
        <f t="shared" si="823"/>
        <v>SPS1</v>
      </c>
      <c r="C1323" s="5" t="str">
        <f t="shared" si="824"/>
        <v>CH</v>
      </c>
      <c r="D1323" t="s">
        <v>1383</v>
      </c>
      <c r="E1323" t="s">
        <v>8</v>
      </c>
      <c r="F1323" s="13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3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3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3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0</v>
      </c>
      <c r="J1323" s="13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6.806865325558438E-2</v>
      </c>
      <c r="K1323" s="13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2.3321077687369331E-2</v>
      </c>
    </row>
    <row r="1324" spans="1:16">
      <c r="A1324" t="s">
        <v>5</v>
      </c>
      <c r="B1324" s="5" t="str">
        <f t="shared" si="823"/>
        <v>SPS1</v>
      </c>
      <c r="C1324" s="5" t="str">
        <f t="shared" si="824"/>
        <v>CH</v>
      </c>
      <c r="D1324" t="s">
        <v>1384</v>
      </c>
      <c r="E1324" t="s">
        <v>8</v>
      </c>
      <c r="F1324" s="13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3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3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3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3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0</v>
      </c>
      <c r="K1324" s="13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1:16">
      <c r="A1325" t="s">
        <v>5</v>
      </c>
      <c r="B1325" s="5" t="str">
        <f t="shared" si="823"/>
        <v>SPS1</v>
      </c>
      <c r="C1325" s="5" t="str">
        <f t="shared" si="824"/>
        <v>CH</v>
      </c>
      <c r="D1325" t="s">
        <v>1385</v>
      </c>
      <c r="E1325" t="s">
        <v>8</v>
      </c>
      <c r="F1325" s="13">
        <f>SUM(F1330:F1338)</f>
        <v>0.75525591437831108</v>
      </c>
      <c r="G1325" s="13">
        <f t="shared" ref="G1325:K1325" si="826">SUM(G1330:G1338)</f>
        <v>1.3067538595965291</v>
      </c>
      <c r="H1325" s="13">
        <f t="shared" si="826"/>
        <v>2.2635376708439958</v>
      </c>
      <c r="I1325" s="13">
        <f t="shared" si="826"/>
        <v>3.6578744411729547</v>
      </c>
      <c r="J1325" s="13">
        <f t="shared" si="826"/>
        <v>1.6340396893842144</v>
      </c>
      <c r="K1325" s="13">
        <f t="shared" si="826"/>
        <v>0.45835939179348384</v>
      </c>
    </row>
    <row r="1326" spans="1:16">
      <c r="A1326" t="s">
        <v>5</v>
      </c>
      <c r="B1326" s="5" t="str">
        <f t="shared" si="823"/>
        <v>SPS1</v>
      </c>
      <c r="C1326" s="5" t="str">
        <f t="shared" si="824"/>
        <v>CH</v>
      </c>
      <c r="D1326" t="s">
        <v>1386</v>
      </c>
      <c r="E1326" t="s">
        <v>8</v>
      </c>
      <c r="F1326" s="13">
        <f>F1325-F1327</f>
        <v>0.73667717662468379</v>
      </c>
      <c r="G1326" s="13">
        <f t="shared" ref="G1326:K1326" si="827">G1325-G1327</f>
        <v>1.2728853772979474</v>
      </c>
      <c r="H1326" s="13">
        <f t="shared" si="827"/>
        <v>2.1922976626204944</v>
      </c>
      <c r="I1326" s="13">
        <f t="shared" si="827"/>
        <v>3.5150223664374756</v>
      </c>
      <c r="J1326" s="13">
        <f t="shared" si="827"/>
        <v>1.5883707957070237</v>
      </c>
      <c r="K1326" s="13">
        <f t="shared" si="827"/>
        <v>-4.4539545959020765E-2</v>
      </c>
    </row>
    <row r="1327" spans="1:16">
      <c r="A1327" t="s">
        <v>5</v>
      </c>
      <c r="B1327" s="5" t="str">
        <f t="shared" si="823"/>
        <v>SPS1</v>
      </c>
      <c r="C1327" s="5" t="str">
        <f t="shared" si="824"/>
        <v>CH</v>
      </c>
      <c r="D1327" t="s">
        <v>1387</v>
      </c>
      <c r="E1327" t="s">
        <v>8</v>
      </c>
      <c r="F1327" s="13">
        <f>SUM(F1328:F1329)</f>
        <v>1.8578737753627339E-2</v>
      </c>
      <c r="G1327" s="13">
        <f t="shared" ref="G1327" si="828">SUM(G1328:G1329)</f>
        <v>3.3868482298581769E-2</v>
      </c>
      <c r="H1327" s="13">
        <f t="shared" ref="H1327" si="829">SUM(H1328:H1329)</f>
        <v>7.1240008223501267E-2</v>
      </c>
      <c r="I1327" s="13">
        <f t="shared" ref="I1327" si="830">SUM(I1328:I1329)</f>
        <v>0.14285207473547926</v>
      </c>
      <c r="J1327" s="13">
        <f t="shared" ref="J1327" si="831">SUM(J1328:J1329)</f>
        <v>4.5668893677190833E-2</v>
      </c>
      <c r="K1327" s="13">
        <f t="shared" ref="K1327" si="832">SUM(K1328:K1329)</f>
        <v>0.5028989377525046</v>
      </c>
    </row>
    <row r="1328" spans="1:16">
      <c r="A1328" t="s">
        <v>5</v>
      </c>
      <c r="B1328" s="5" t="str">
        <f t="shared" si="823"/>
        <v>SPS1</v>
      </c>
      <c r="C1328" s="5" t="str">
        <f t="shared" si="824"/>
        <v>CH</v>
      </c>
      <c r="D1328" t="s">
        <v>1389</v>
      </c>
      <c r="E1328" t="s">
        <v>8</v>
      </c>
      <c r="F1328" s="13">
        <f>[1]Transport!B$26/SUM([1]Transport!B$22,[1]Transport!B$26)*F1325*(F$33+F$580)/(F$33+F$580+F$36)</f>
        <v>1.8578737753627339E-2</v>
      </c>
      <c r="G1328" s="13">
        <f>[1]Transport!C$26/SUM([1]Transport!C$22,[1]Transport!C$26)*G1325*(G$33+G$580)/(G$33+G$580+G$36)</f>
        <v>3.3868482298581769E-2</v>
      </c>
      <c r="H1328" s="13">
        <f>[1]Transport!D$26/SUM([1]Transport!D$22,[1]Transport!D$26)*H1325*(H$33+H$580)/(H$33+H$580+H$36)</f>
        <v>7.1240008223501267E-2</v>
      </c>
      <c r="I1328" s="13">
        <f>[1]Transport!E$26/SUM([1]Transport!E$22,[1]Transport!E$26)*I1325*(I$33+I$580)/(I$33+I$580+I$36)</f>
        <v>0.14285207473547926</v>
      </c>
      <c r="J1328" s="13">
        <f>[1]Transport!F$26/SUM([1]Transport!F$22,[1]Transport!F$26)*J1325*(J$33+J$580)/(J$33+J$580+J$36)</f>
        <v>4.5668582518119755E-2</v>
      </c>
      <c r="K1328" s="13">
        <f>[1]Transport!G$26/SUM([1]Transport!G$22,[1]Transport!G$26)*K1325*(K$33+K$580)/(K$33+K$580+K$36)</f>
        <v>0.10592718484372868</v>
      </c>
    </row>
    <row r="1329" spans="1:11">
      <c r="A1329" t="s">
        <v>5</v>
      </c>
      <c r="B1329" s="5" t="str">
        <f t="shared" si="823"/>
        <v>SPS1</v>
      </c>
      <c r="C1329" s="5" t="str">
        <f t="shared" si="824"/>
        <v>CH</v>
      </c>
      <c r="D1329" t="s">
        <v>1388</v>
      </c>
      <c r="E1329" t="s">
        <v>8</v>
      </c>
      <c r="F1329" s="13">
        <f>(F$36+F$716)/([1]Transport!B$22+[1]Transport!B$26)*F1325</f>
        <v>0</v>
      </c>
      <c r="G1329" s="13">
        <f>(G$36+G$716)/([1]Transport!C$22+[1]Transport!C$26)*G1325</f>
        <v>0</v>
      </c>
      <c r="H1329" s="13">
        <f>(H$36+H$716)/([1]Transport!D$22+[1]Transport!D$26)*H1325</f>
        <v>0</v>
      </c>
      <c r="I1329" s="13">
        <f>(I$36+I$716)/([1]Transport!E$22+[1]Transport!E$26)*I1325</f>
        <v>0</v>
      </c>
      <c r="J1329" s="13">
        <f>(J$36+J$716)/([1]Transport!F$22+[1]Transport!F$26)*J1325</f>
        <v>3.1115907107570268E-7</v>
      </c>
      <c r="K1329" s="13">
        <f>(K$36+K$716)/([1]Transport!G$22+[1]Transport!G$26)*K1325</f>
        <v>0.3969717529087759</v>
      </c>
    </row>
    <row r="1330" spans="1:11">
      <c r="A1330" t="s">
        <v>5</v>
      </c>
      <c r="B1330" s="5" t="str">
        <f t="shared" si="823"/>
        <v>SPS1</v>
      </c>
      <c r="C1330" s="5" t="str">
        <f t="shared" si="824"/>
        <v>CH</v>
      </c>
      <c r="D1330" t="s">
        <v>1390</v>
      </c>
      <c r="E1330" t="s">
        <v>8</v>
      </c>
      <c r="F1330" s="13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3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0.21086682195952089</v>
      </c>
      <c r="H1330" s="13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0.21083138168657622</v>
      </c>
      <c r="I1330" s="13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9.2762163438957726E-2</v>
      </c>
      <c r="J1330" s="13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5.7763830095217216E-5</v>
      </c>
      <c r="K1330" s="13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0.40433824957215864</v>
      </c>
    </row>
    <row r="1331" spans="1:11">
      <c r="A1331" t="s">
        <v>5</v>
      </c>
      <c r="B1331" s="5" t="str">
        <f t="shared" si="823"/>
        <v>SPS1</v>
      </c>
      <c r="C1331" s="5" t="str">
        <f t="shared" si="824"/>
        <v>CH</v>
      </c>
      <c r="D1331" t="s">
        <v>1391</v>
      </c>
      <c r="E1331" t="s">
        <v>8</v>
      </c>
      <c r="F1331" s="13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3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1.0226837321580905E-4</v>
      </c>
      <c r="H1331" s="13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1.0753008370666073E-4</v>
      </c>
      <c r="I1331" s="13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1.4449249715310213E-4</v>
      </c>
      <c r="J1331" s="13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3.1354487849079498E-5</v>
      </c>
      <c r="K1331" s="13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9.8685058233256241E-6</v>
      </c>
    </row>
    <row r="1332" spans="1:11">
      <c r="A1332" t="s">
        <v>5</v>
      </c>
      <c r="B1332" s="5" t="str">
        <f t="shared" si="823"/>
        <v>SPS1</v>
      </c>
      <c r="C1332" s="5" t="str">
        <f t="shared" si="824"/>
        <v>CH</v>
      </c>
      <c r="D1332" t="s">
        <v>1392</v>
      </c>
      <c r="E1332" t="s">
        <v>8</v>
      </c>
      <c r="F1332" s="13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3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6.4401163104654671E-2</v>
      </c>
      <c r="H1332" s="13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6.4402369773310847E-2</v>
      </c>
      <c r="I1332" s="13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3.8285593059448585E-2</v>
      </c>
      <c r="J1332" s="13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1.1251495544679275</v>
      </c>
      <c r="K1332" s="13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5.4002997264017978E-2</v>
      </c>
    </row>
    <row r="1333" spans="1:11">
      <c r="A1333" t="s">
        <v>5</v>
      </c>
      <c r="B1333" s="5" t="str">
        <f t="shared" si="823"/>
        <v>SPS1</v>
      </c>
      <c r="C1333" s="5" t="str">
        <f t="shared" si="824"/>
        <v>CH</v>
      </c>
      <c r="D1333" t="s">
        <v>1393</v>
      </c>
      <c r="E1333" t="s">
        <v>8</v>
      </c>
      <c r="F1333" s="13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3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3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0</v>
      </c>
      <c r="I1333" s="13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3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0</v>
      </c>
      <c r="K1333" s="13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1:11">
      <c r="A1334" t="s">
        <v>5</v>
      </c>
      <c r="B1334" s="5" t="str">
        <f t="shared" si="823"/>
        <v>SPS1</v>
      </c>
      <c r="C1334" s="5" t="str">
        <f t="shared" si="824"/>
        <v>CH</v>
      </c>
      <c r="D1334" t="s">
        <v>1398</v>
      </c>
      <c r="E1334" t="s">
        <v>8</v>
      </c>
      <c r="F1334" s="13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1.7340741484878224E-2</v>
      </c>
      <c r="G1334" s="13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1.7318095558247606E-2</v>
      </c>
      <c r="H1334" s="13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1.7250330618972975E-2</v>
      </c>
      <c r="I1334" s="13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3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3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1:11">
      <c r="A1335" t="s">
        <v>5</v>
      </c>
      <c r="B1335" s="5" t="str">
        <f t="shared" si="823"/>
        <v>SPS1</v>
      </c>
      <c r="C1335" s="5" t="str">
        <f t="shared" si="824"/>
        <v>CH</v>
      </c>
      <c r="D1335" t="s">
        <v>1394</v>
      </c>
      <c r="E1335" t="s">
        <v>8</v>
      </c>
      <c r="F1335" s="13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2.7679954230532385E-4</v>
      </c>
      <c r="G1335" s="13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2.5899034935232822E-4</v>
      </c>
      <c r="H1335" s="13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0.16243301545907649</v>
      </c>
      <c r="I1335" s="13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0.50493737456910603</v>
      </c>
      <c r="J1335" s="13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0.45365254340274885</v>
      </c>
      <c r="K1335" s="13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5.4241588364020932E-6</v>
      </c>
    </row>
    <row r="1336" spans="1:11">
      <c r="A1336" t="s">
        <v>5</v>
      </c>
      <c r="B1336" s="5" t="str">
        <f t="shared" si="823"/>
        <v>SPS1</v>
      </c>
      <c r="C1336" s="5" t="str">
        <f t="shared" si="824"/>
        <v>CH</v>
      </c>
      <c r="D1336" t="s">
        <v>1395</v>
      </c>
      <c r="E1336" t="s">
        <v>8</v>
      </c>
      <c r="F1336" s="13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0.11182728472204051</v>
      </c>
      <c r="G1336" s="13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0.14430732128303078</v>
      </c>
      <c r="H1336" s="13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0.25415806199715213</v>
      </c>
      <c r="I1336" s="13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0.41440660316972139</v>
      </c>
      <c r="J1336" s="13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3.9001399886261827E-2</v>
      </c>
      <c r="K1336" s="13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8.1542455630438816E-7</v>
      </c>
    </row>
    <row r="1337" spans="1:11">
      <c r="A1337" t="s">
        <v>5</v>
      </c>
      <c r="B1337" s="5" t="str">
        <f t="shared" si="823"/>
        <v>SPS1</v>
      </c>
      <c r="C1337" s="5" t="str">
        <f t="shared" si="824"/>
        <v>CH</v>
      </c>
      <c r="D1337" t="s">
        <v>1396</v>
      </c>
      <c r="E1337" t="s">
        <v>8</v>
      </c>
      <c r="F1337" s="13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0.6235221030491197</v>
      </c>
      <c r="G1337" s="13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0.86949919896850691</v>
      </c>
      <c r="H1337" s="13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1.5543549812252004</v>
      </c>
      <c r="I1337" s="13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2.6073382144385677</v>
      </c>
      <c r="J1337" s="13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1.6147073309331923E-2</v>
      </c>
      <c r="K1337" s="13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2.0368680911141461E-6</v>
      </c>
    </row>
    <row r="1338" spans="1:11">
      <c r="A1338" t="s">
        <v>5</v>
      </c>
      <c r="B1338" s="5" t="str">
        <f t="shared" si="823"/>
        <v>SPS1</v>
      </c>
      <c r="C1338" s="5" t="str">
        <f t="shared" si="824"/>
        <v>CH</v>
      </c>
      <c r="D1338" t="s">
        <v>1397</v>
      </c>
      <c r="E1338" t="s">
        <v>8</v>
      </c>
      <c r="F1338" s="13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2.2889855799672963E-3</v>
      </c>
      <c r="G1338" s="13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13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0</v>
      </c>
      <c r="I1338" s="13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3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0</v>
      </c>
      <c r="K1338" s="13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1:11">
      <c r="A1339" t="s">
        <v>5</v>
      </c>
      <c r="B1339" s="5" t="str">
        <f t="shared" si="823"/>
        <v>SPS1</v>
      </c>
      <c r="C1339" s="5" t="str">
        <f t="shared" si="824"/>
        <v>CH</v>
      </c>
      <c r="D1339" t="s">
        <v>1413</v>
      </c>
      <c r="E1339" t="s">
        <v>8</v>
      </c>
      <c r="F1339" s="13">
        <f>SUM(F1344:F1348)</f>
        <v>3.1723993929553521E-4</v>
      </c>
      <c r="G1339" s="13">
        <f t="shared" ref="G1339:K1339" si="833">SUM(G1344:G1348)</f>
        <v>3.1695472762101611E-4</v>
      </c>
      <c r="H1339" s="13">
        <f t="shared" si="833"/>
        <v>9.0379351468055091E-2</v>
      </c>
      <c r="I1339" s="13">
        <f t="shared" si="833"/>
        <v>4.3144057723402497E-2</v>
      </c>
      <c r="J1339" s="13">
        <f t="shared" si="833"/>
        <v>0.11446256536058799</v>
      </c>
      <c r="K1339" s="13">
        <f t="shared" si="833"/>
        <v>1.5270667122763808E-2</v>
      </c>
    </row>
    <row r="1340" spans="1:11">
      <c r="A1340" t="s">
        <v>5</v>
      </c>
      <c r="B1340" s="5" t="str">
        <f t="shared" si="823"/>
        <v>SPS1</v>
      </c>
      <c r="C1340" s="5" t="str">
        <f t="shared" si="824"/>
        <v>CH</v>
      </c>
      <c r="D1340" t="s">
        <v>1414</v>
      </c>
      <c r="E1340" t="s">
        <v>8</v>
      </c>
      <c r="F1340" s="13">
        <f>F1339-F1341</f>
        <v>2.9332271306060296E-4</v>
      </c>
      <c r="G1340" s="13">
        <f t="shared" ref="G1340:K1340" si="834">G1339-G1341</f>
        <v>2.6527463868414975E-4</v>
      </c>
      <c r="H1340" s="13">
        <f t="shared" si="834"/>
        <v>8.4307491028119755E-2</v>
      </c>
      <c r="I1340" s="13">
        <f t="shared" si="834"/>
        <v>4.3143998369689331E-2</v>
      </c>
      <c r="J1340" s="13">
        <f t="shared" si="834"/>
        <v>-0.60662931248794161</v>
      </c>
      <c r="K1340" s="13">
        <f t="shared" si="834"/>
        <v>1.5270128965333491E-2</v>
      </c>
    </row>
    <row r="1341" spans="1:11">
      <c r="A1341" t="s">
        <v>5</v>
      </c>
      <c r="B1341" s="5" t="str">
        <f t="shared" si="823"/>
        <v>SPS1</v>
      </c>
      <c r="C1341" s="5" t="str">
        <f t="shared" si="824"/>
        <v>CH</v>
      </c>
      <c r="D1341" t="s">
        <v>1415</v>
      </c>
      <c r="E1341" t="s">
        <v>8</v>
      </c>
      <c r="F1341" s="13">
        <f>SUM(F1342:F1343)</f>
        <v>2.3917226234932228E-5</v>
      </c>
      <c r="G1341" s="13">
        <f t="shared" ref="G1341" si="835">SUM(G1342:G1343)</f>
        <v>5.1680088936866369E-5</v>
      </c>
      <c r="H1341" s="13">
        <f t="shared" ref="H1341" si="836">SUM(H1342:H1343)</f>
        <v>6.0718604399353313E-3</v>
      </c>
      <c r="I1341" s="13">
        <f t="shared" ref="I1341" si="837">SUM(I1342:I1343)</f>
        <v>5.9353713169663711E-8</v>
      </c>
      <c r="J1341" s="13">
        <f t="shared" ref="J1341" si="838">SUM(J1342:J1343)</f>
        <v>0.72109187784852957</v>
      </c>
      <c r="K1341" s="13">
        <f t="shared" ref="K1341" si="839">SUM(K1342:K1343)</f>
        <v>5.3815743031732749E-7</v>
      </c>
    </row>
    <row r="1342" spans="1:11">
      <c r="A1342" t="s">
        <v>5</v>
      </c>
      <c r="B1342" s="5" t="str">
        <f t="shared" si="823"/>
        <v>SPS1</v>
      </c>
      <c r="C1342" s="5" t="str">
        <f t="shared" si="824"/>
        <v>CH</v>
      </c>
      <c r="D1342" t="s">
        <v>1416</v>
      </c>
      <c r="E1342" t="s">
        <v>8</v>
      </c>
      <c r="F1342" s="13">
        <f>[1]Transport!B$27/SUM([1]Transport!B$24,[1]Transport!B$27)*F1339*(F$45+F$612)/(F$45+F$612+F$47)</f>
        <v>2.3917226234932228E-5</v>
      </c>
      <c r="G1342" s="13">
        <f>[1]Transport!C$27/SUM([1]Transport!C$24,[1]Transport!C$27)*G1339*(G$45+G$612)/(G$45+G$612+G$47)</f>
        <v>5.1680088936866369E-5</v>
      </c>
      <c r="H1342" s="13">
        <f>[1]Transport!D$27/SUM([1]Transport!D$24,[1]Transport!D$27)*H1339*(H$45+H$612)/(H$45+H$612+H$47)</f>
        <v>6.0718604399353313E-3</v>
      </c>
      <c r="I1342" s="13">
        <f>[1]Transport!E$27/SUM([1]Transport!E$24,[1]Transport!E$27)*I1339*(I$45+I$612)/(I$45+I$612+I$47)</f>
        <v>5.9353713169663711E-8</v>
      </c>
      <c r="J1342" s="13">
        <f>[1]Transport!F$27/SUM([1]Transport!F$24,[1]Transport!F$27)*J1339*(J$45+J$612)/(J$45+J$612+J$47)</f>
        <v>1.3258859829956968E-6</v>
      </c>
      <c r="K1342" s="13">
        <f>[1]Transport!G$27/SUM([1]Transport!G$24,[1]Transport!G$27)*K1339*(K$45+K$612)/(K$45+K$612+K$47)</f>
        <v>2.24171088773521E-7</v>
      </c>
    </row>
    <row r="1343" spans="1:11">
      <c r="A1343" t="s">
        <v>5</v>
      </c>
      <c r="B1343" s="5" t="str">
        <f t="shared" si="823"/>
        <v>SPS1</v>
      </c>
      <c r="C1343" s="5" t="str">
        <f t="shared" si="824"/>
        <v>CH</v>
      </c>
      <c r="D1343" t="s">
        <v>1417</v>
      </c>
      <c r="E1343" t="s">
        <v>8</v>
      </c>
      <c r="F1343" s="13">
        <f>(F$47+F$714)/([1]Transport!B$24+[1]Transport!B$27)*F1339</f>
        <v>0</v>
      </c>
      <c r="G1343" s="13">
        <f>(G$47+G$714)/([1]Transport!C$24+[1]Transport!C$27)*G1339</f>
        <v>0</v>
      </c>
      <c r="H1343" s="13">
        <f>(H$47+H$714)/([1]Transport!D$24+[1]Transport!D$27)*H1339</f>
        <v>0</v>
      </c>
      <c r="I1343" s="13">
        <f>(I$47+I$714)/([1]Transport!E$24+[1]Transport!E$27)*I1339</f>
        <v>0</v>
      </c>
      <c r="J1343" s="13">
        <f>(J$47+J$714)/([1]Transport!F$24+[1]Transport!F$27)*J1339</f>
        <v>0.72109055196254657</v>
      </c>
      <c r="K1343" s="13">
        <f>(K$47+K$714)/([1]Transport!G$24+[1]Transport!G$27)*K1339</f>
        <v>3.1398634154380652E-7</v>
      </c>
    </row>
    <row r="1344" spans="1:11">
      <c r="A1344" t="s">
        <v>5</v>
      </c>
      <c r="B1344" s="5" t="str">
        <f t="shared" si="823"/>
        <v>SPS1</v>
      </c>
      <c r="C1344" s="5" t="str">
        <f t="shared" si="824"/>
        <v>CH</v>
      </c>
      <c r="D1344" t="s">
        <v>1408</v>
      </c>
      <c r="E1344" t="s">
        <v>8</v>
      </c>
      <c r="F1344" s="13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3.1723993929553521E-4</v>
      </c>
      <c r="G1344" s="13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3.1695472762101611E-4</v>
      </c>
      <c r="H1344" s="13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3.1592759659912397E-4</v>
      </c>
      <c r="I1344" s="13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3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3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1:11">
      <c r="A1345" t="s">
        <v>5</v>
      </c>
      <c r="B1345" s="5" t="str">
        <f t="shared" si="823"/>
        <v>SPS1</v>
      </c>
      <c r="C1345" s="5" t="str">
        <f t="shared" si="824"/>
        <v>CH</v>
      </c>
      <c r="D1345" t="s">
        <v>1409</v>
      </c>
      <c r="E1345" t="s">
        <v>8</v>
      </c>
      <c r="F1345" s="13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3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0</v>
      </c>
      <c r="H1345" s="13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4.7104252129498959E-2</v>
      </c>
      <c r="I1345" s="13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1.2827044537464743E-5</v>
      </c>
      <c r="J1345" s="13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3.3181745588574705E-5</v>
      </c>
      <c r="K1345" s="13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1.2791277037477208E-5</v>
      </c>
    </row>
    <row r="1346" spans="1:11">
      <c r="A1346" t="s">
        <v>5</v>
      </c>
      <c r="B1346" s="5" t="str">
        <f t="shared" si="823"/>
        <v>SPS1</v>
      </c>
      <c r="C1346" s="5" t="str">
        <f t="shared" si="824"/>
        <v>CH</v>
      </c>
      <c r="D1346" t="s">
        <v>1410</v>
      </c>
      <c r="E1346" t="s">
        <v>8</v>
      </c>
      <c r="F1346" s="13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3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0</v>
      </c>
      <c r="H1346" s="13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2.2483476265879966E-5</v>
      </c>
      <c r="I1346" s="13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3.7903195828747965E-5</v>
      </c>
      <c r="J1346" s="13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2.2888729144811195E-5</v>
      </c>
      <c r="K1346" s="13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5.2498964339071651E-6</v>
      </c>
    </row>
    <row r="1347" spans="1:11">
      <c r="A1347" t="s">
        <v>5</v>
      </c>
      <c r="B1347" s="5" t="str">
        <f t="shared" si="823"/>
        <v>SPS1</v>
      </c>
      <c r="C1347" s="5" t="str">
        <f t="shared" si="824"/>
        <v>CH</v>
      </c>
      <c r="D1347" t="s">
        <v>1411</v>
      </c>
      <c r="E1347" t="s">
        <v>8</v>
      </c>
      <c r="F1347" s="13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3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0</v>
      </c>
      <c r="H1347" s="13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4.2936688265691136E-2</v>
      </c>
      <c r="I1347" s="13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4.3093327483036285E-2</v>
      </c>
      <c r="J1347" s="13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0.11440649488585461</v>
      </c>
      <c r="K1347" s="13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1.5252625949292423E-2</v>
      </c>
    </row>
    <row r="1348" spans="1:11">
      <c r="A1348" t="s">
        <v>5</v>
      </c>
      <c r="B1348" s="5" t="str">
        <f t="shared" si="823"/>
        <v>SPS1</v>
      </c>
      <c r="C1348" s="5" t="str">
        <f t="shared" si="824"/>
        <v>CH</v>
      </c>
      <c r="D1348" t="s">
        <v>1412</v>
      </c>
      <c r="E1348" t="s">
        <v>8</v>
      </c>
      <c r="F1348" s="13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3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3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0</v>
      </c>
      <c r="I1348" s="13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3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13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1:11">
      <c r="A1349" t="s">
        <v>5</v>
      </c>
      <c r="B1349" s="5" t="str">
        <f>B1348</f>
        <v>SPS1</v>
      </c>
      <c r="C1349" s="5" t="str">
        <f>C1348</f>
        <v>CH</v>
      </c>
      <c r="D1349" s="1" t="s">
        <v>1418</v>
      </c>
      <c r="E1349" s="1" t="s">
        <v>1199</v>
      </c>
      <c r="F1349" s="16">
        <f>SUM(F1350:F1372)</f>
        <v>0.29536113805933595</v>
      </c>
      <c r="G1349" s="16">
        <f t="shared" ref="G1349:K1349" si="840">SUM(G1350:G1372)</f>
        <v>0.30242797563688573</v>
      </c>
      <c r="H1349" s="16">
        <f t="shared" si="840"/>
        <v>0.3130302426098503</v>
      </c>
      <c r="I1349" s="16">
        <f t="shared" si="840"/>
        <v>0.33070453234971336</v>
      </c>
      <c r="J1349" s="16">
        <f t="shared" si="840"/>
        <v>0.35540796993130142</v>
      </c>
      <c r="K1349" s="16">
        <f t="shared" si="840"/>
        <v>0.37210871886203251</v>
      </c>
    </row>
    <row r="1350" spans="1:11">
      <c r="A1350" t="s">
        <v>5</v>
      </c>
      <c r="B1350" s="5" t="str">
        <f>B1349</f>
        <v>SPS1</v>
      </c>
      <c r="C1350" s="5" t="str">
        <f>C1349</f>
        <v>CH</v>
      </c>
      <c r="D1350" t="s">
        <v>1419</v>
      </c>
      <c r="E1350" t="str">
        <f>E1349</f>
        <v>billion km/yr.</v>
      </c>
      <c r="F1350" s="13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2.0035880107985922E-3</v>
      </c>
      <c r="G1350" s="13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1.6034272030224215E-3</v>
      </c>
      <c r="H1350" s="13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1.0020243957942453E-3</v>
      </c>
      <c r="I1350" s="13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3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3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1:11">
      <c r="A1351" t="s">
        <v>5</v>
      </c>
      <c r="B1351" s="5" t="str">
        <f t="shared" ref="B1351:B1372" si="841">B1350</f>
        <v>SPS1</v>
      </c>
      <c r="C1351" s="5" t="str">
        <f t="shared" ref="C1351:C1372" si="842">C1350</f>
        <v>CH</v>
      </c>
      <c r="D1351" t="s">
        <v>1420</v>
      </c>
      <c r="E1351" t="str">
        <f t="shared" ref="E1351:E1372" si="843">E1350</f>
        <v>billion km/yr.</v>
      </c>
      <c r="F1351" s="13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1.3801912878400819E-7</v>
      </c>
      <c r="G1351" s="13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9.2363791645625631E-4</v>
      </c>
      <c r="H1351" s="13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1.9970867468703424E-3</v>
      </c>
      <c r="I1351" s="13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2.2581666059130895E-2</v>
      </c>
      <c r="J1351" s="13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4.8007884717506187E-2</v>
      </c>
      <c r="K1351" s="13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2.6240700538854023E-2</v>
      </c>
    </row>
    <row r="1352" spans="1:11">
      <c r="A1352" t="s">
        <v>5</v>
      </c>
      <c r="B1352" s="5" t="str">
        <f t="shared" si="841"/>
        <v>SPS1</v>
      </c>
      <c r="C1352" s="5" t="str">
        <f t="shared" si="842"/>
        <v>CH</v>
      </c>
      <c r="D1352" t="s">
        <v>1421</v>
      </c>
      <c r="E1352" t="str">
        <f t="shared" si="843"/>
        <v>billion km/yr.</v>
      </c>
      <c r="F1352" s="13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1.2378494166921344E-4</v>
      </c>
      <c r="G1352" s="13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8.5604212639291451E-6</v>
      </c>
      <c r="H1352" s="13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1.4071223085760498E-5</v>
      </c>
      <c r="I1352" s="13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4.5535661362998374E-5</v>
      </c>
      <c r="J1352" s="13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3.9617637629459711E-2</v>
      </c>
      <c r="K1352" s="13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4.5694526652988558E-2</v>
      </c>
    </row>
    <row r="1353" spans="1:11">
      <c r="A1353" t="s">
        <v>5</v>
      </c>
      <c r="B1353" s="5" t="str">
        <f t="shared" si="841"/>
        <v>SPS1</v>
      </c>
      <c r="C1353" s="5" t="str">
        <f t="shared" si="842"/>
        <v>CH</v>
      </c>
      <c r="D1353" t="s">
        <v>1422</v>
      </c>
      <c r="E1353" t="str">
        <f t="shared" si="843"/>
        <v>billion km/yr.</v>
      </c>
      <c r="F1353" s="13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5.3828069430952809E-4</v>
      </c>
      <c r="G1353" s="13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0</v>
      </c>
      <c r="H1353" s="13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4.3367810791972607E-7</v>
      </c>
      <c r="I1353" s="13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2.2896624589281559E-5</v>
      </c>
      <c r="J1353" s="13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6.6619287205241462E-2</v>
      </c>
      <c r="K1353" s="13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0.19031117485991805</v>
      </c>
    </row>
    <row r="1354" spans="1:11">
      <c r="A1354" t="s">
        <v>5</v>
      </c>
      <c r="B1354" s="5" t="str">
        <f t="shared" si="841"/>
        <v>SPS1</v>
      </c>
      <c r="C1354" s="5" t="str">
        <f t="shared" si="842"/>
        <v>CH</v>
      </c>
      <c r="D1354" t="s">
        <v>1423</v>
      </c>
      <c r="E1354" t="str">
        <f t="shared" si="843"/>
        <v>billion km/yr.</v>
      </c>
      <c r="F1354" s="13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0</v>
      </c>
      <c r="G1354" s="13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0</v>
      </c>
      <c r="H1354" s="13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0</v>
      </c>
      <c r="I1354" s="13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0</v>
      </c>
      <c r="J1354" s="13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0</v>
      </c>
      <c r="K1354" s="13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0</v>
      </c>
    </row>
    <row r="1355" spans="1:11">
      <c r="A1355" t="s">
        <v>5</v>
      </c>
      <c r="B1355" s="5" t="str">
        <f t="shared" si="841"/>
        <v>SPS1</v>
      </c>
      <c r="C1355" s="5" t="str">
        <f t="shared" si="842"/>
        <v>CH</v>
      </c>
      <c r="D1355" t="s">
        <v>1424</v>
      </c>
      <c r="E1355" t="str">
        <f t="shared" si="843"/>
        <v>billion km/yr.</v>
      </c>
      <c r="F1355" s="13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3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3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3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1.6672643066325202E-6</v>
      </c>
      <c r="J1355" s="13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2.138884881096074E-5</v>
      </c>
      <c r="K1355" s="13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9.4594017358022794E-3</v>
      </c>
    </row>
    <row r="1356" spans="1:11">
      <c r="A1356" t="s">
        <v>5</v>
      </c>
      <c r="B1356" s="5" t="str">
        <f t="shared" si="841"/>
        <v>SPS1</v>
      </c>
      <c r="C1356" s="5" t="str">
        <f t="shared" si="842"/>
        <v>CH</v>
      </c>
      <c r="D1356" t="s">
        <v>1425</v>
      </c>
      <c r="E1356" t="str">
        <f t="shared" si="843"/>
        <v>billion km/yr.</v>
      </c>
      <c r="F1356" s="13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3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3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3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4.8663522759329885E-7</v>
      </c>
      <c r="J1356" s="13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1.2447380119563872E-5</v>
      </c>
      <c r="K1356" s="13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6.4665444559504699E-6</v>
      </c>
    </row>
    <row r="1357" spans="1:11">
      <c r="A1357" t="s">
        <v>5</v>
      </c>
      <c r="B1357" s="5" t="str">
        <f t="shared" si="841"/>
        <v>SPS1</v>
      </c>
      <c r="C1357" s="5" t="str">
        <f t="shared" si="842"/>
        <v>CH</v>
      </c>
      <c r="D1357" t="s">
        <v>1426</v>
      </c>
      <c r="E1357" t="str">
        <f t="shared" si="843"/>
        <v>billion km/yr.</v>
      </c>
      <c r="F1357" s="13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3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3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3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0</v>
      </c>
      <c r="J1357" s="13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8.838523679006274E-3</v>
      </c>
      <c r="K1357" s="13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3.0284126241949538E-3</v>
      </c>
    </row>
    <row r="1358" spans="1:11">
      <c r="A1358" t="s">
        <v>5</v>
      </c>
      <c r="B1358" s="5" t="str">
        <f t="shared" si="841"/>
        <v>SPS1</v>
      </c>
      <c r="C1358" s="5" t="str">
        <f t="shared" si="842"/>
        <v>CH</v>
      </c>
      <c r="D1358" t="s">
        <v>1427</v>
      </c>
      <c r="E1358" t="str">
        <f t="shared" si="843"/>
        <v>billion km/yr.</v>
      </c>
      <c r="F1358" s="13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3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3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3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3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0</v>
      </c>
      <c r="K1358" s="13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1:11">
      <c r="A1359" t="s">
        <v>5</v>
      </c>
      <c r="B1359" s="5" t="str">
        <f t="shared" si="841"/>
        <v>SPS1</v>
      </c>
      <c r="C1359" s="5" t="str">
        <f t="shared" si="842"/>
        <v>CH</v>
      </c>
      <c r="D1359" t="s">
        <v>1428</v>
      </c>
      <c r="E1359" t="str">
        <f t="shared" si="843"/>
        <v>billion km/yr.</v>
      </c>
      <c r="F1359" s="13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3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3.426874737826939E-2</v>
      </c>
      <c r="H1359" s="13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3.4263079179218552E-2</v>
      </c>
      <c r="I1359" s="13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1.7101730620337346E-2</v>
      </c>
      <c r="J1359" s="13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1.1556352614755382E-5</v>
      </c>
      <c r="K1359" s="13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9.0948682047196888E-2</v>
      </c>
    </row>
    <row r="1360" spans="1:11">
      <c r="A1360" t="s">
        <v>5</v>
      </c>
      <c r="B1360" s="5" t="str">
        <f t="shared" si="841"/>
        <v>SPS1</v>
      </c>
      <c r="C1360" s="5" t="str">
        <f t="shared" si="842"/>
        <v>CH</v>
      </c>
      <c r="D1360" t="s">
        <v>1429</v>
      </c>
      <c r="E1360" t="str">
        <f t="shared" si="843"/>
        <v>billion km/yr.</v>
      </c>
      <c r="F1360" s="13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3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1.1913645156244777E-5</v>
      </c>
      <c r="H1360" s="13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1.2560929900284587E-5</v>
      </c>
      <c r="I1360" s="13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1.7650412579322393E-5</v>
      </c>
      <c r="J1360" s="13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4.4660848877293795E-6</v>
      </c>
      <c r="K1360" s="13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1.4918449627694033E-6</v>
      </c>
    </row>
    <row r="1361" spans="1:11">
      <c r="A1361" t="s">
        <v>5</v>
      </c>
      <c r="B1361" s="5" t="str">
        <f t="shared" si="841"/>
        <v>SPS1</v>
      </c>
      <c r="C1361" s="5" t="str">
        <f t="shared" si="842"/>
        <v>CH</v>
      </c>
      <c r="D1361" t="s">
        <v>1430</v>
      </c>
      <c r="E1361" t="str">
        <f t="shared" si="843"/>
        <v>billion km/yr.</v>
      </c>
      <c r="F1361" s="13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3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5.0384783302547748E-3</v>
      </c>
      <c r="H1361" s="13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5.0385794595705843E-3</v>
      </c>
      <c r="I1361" s="13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2.9966523664595878E-3</v>
      </c>
      <c r="J1361" s="13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0.10629063061735383</v>
      </c>
      <c r="K1361" s="13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5.3318363582800883E-3</v>
      </c>
    </row>
    <row r="1362" spans="1:11">
      <c r="A1362" t="s">
        <v>5</v>
      </c>
      <c r="B1362" s="5" t="str">
        <f t="shared" si="841"/>
        <v>SPS1</v>
      </c>
      <c r="C1362" s="5" t="str">
        <f t="shared" si="842"/>
        <v>CH</v>
      </c>
      <c r="D1362" t="s">
        <v>1431</v>
      </c>
      <c r="E1362" t="str">
        <f t="shared" si="843"/>
        <v>billion km/yr.</v>
      </c>
      <c r="F1362" s="13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3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3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0</v>
      </c>
      <c r="I1362" s="13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3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0</v>
      </c>
      <c r="K1362" s="13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1:11">
      <c r="A1363" t="s">
        <v>5</v>
      </c>
      <c r="B1363" s="5" t="str">
        <f t="shared" si="841"/>
        <v>SPS1</v>
      </c>
      <c r="C1363" s="5" t="str">
        <f t="shared" si="842"/>
        <v>CH</v>
      </c>
      <c r="D1363" t="s">
        <v>1432</v>
      </c>
      <c r="E1363" t="str">
        <f t="shared" si="843"/>
        <v>billion km/yr.</v>
      </c>
      <c r="F1363" s="13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0.24222728116165598</v>
      </c>
      <c r="G1363" s="13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0.19378250216397974</v>
      </c>
      <c r="H1363" s="13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0.1211140586205894</v>
      </c>
      <c r="I1363" s="13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3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3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1:11">
      <c r="A1364" t="s">
        <v>5</v>
      </c>
      <c r="B1364" s="5" t="str">
        <f t="shared" si="841"/>
        <v>SPS1</v>
      </c>
      <c r="C1364" s="5" t="str">
        <f t="shared" si="842"/>
        <v>CH</v>
      </c>
      <c r="D1364" t="s">
        <v>1433</v>
      </c>
      <c r="E1364" t="str">
        <f t="shared" si="843"/>
        <v>billion km/yr.</v>
      </c>
      <c r="F1364" s="13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3.4300768842974603E-5</v>
      </c>
      <c r="G1364" s="13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3.2294127371006164E-5</v>
      </c>
      <c r="H1364" s="13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2.19916226792694E-2</v>
      </c>
      <c r="I1364" s="13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7.2869998770763125E-2</v>
      </c>
      <c r="J1364" s="13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7.2922345276647718E-2</v>
      </c>
      <c r="K1364" s="13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8.8126332154194478E-7</v>
      </c>
    </row>
    <row r="1365" spans="1:11">
      <c r="A1365" t="s">
        <v>5</v>
      </c>
      <c r="B1365" s="5" t="str">
        <f t="shared" si="841"/>
        <v>SPS1</v>
      </c>
      <c r="C1365" s="5" t="str">
        <f t="shared" si="842"/>
        <v>CH</v>
      </c>
      <c r="D1365" t="s">
        <v>1434</v>
      </c>
      <c r="E1365" t="str">
        <f t="shared" si="843"/>
        <v>billion km/yr.</v>
      </c>
      <c r="F1365" s="13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9.7810682414113566E-3</v>
      </c>
      <c r="G1365" s="13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1.2691273535741548E-2</v>
      </c>
      <c r="H1365" s="13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2.3147173956456175E-2</v>
      </c>
      <c r="I1365" s="13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4.0551138496229502E-2</v>
      </c>
      <c r="J1365" s="13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4.0134247599514141E-3</v>
      </c>
      <c r="K1365" s="13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9.2499748557686506E-8</v>
      </c>
    </row>
    <row r="1366" spans="1:11">
      <c r="A1366" t="s">
        <v>5</v>
      </c>
      <c r="B1366" s="5" t="str">
        <f t="shared" si="841"/>
        <v>SPS1</v>
      </c>
      <c r="C1366" s="5" t="str">
        <f t="shared" si="842"/>
        <v>CH</v>
      </c>
      <c r="D1366" t="s">
        <v>1435</v>
      </c>
      <c r="E1366" t="str">
        <f t="shared" si="843"/>
        <v>billion km/yr.</v>
      </c>
      <c r="F1366" s="13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3.6132811560876624E-2</v>
      </c>
      <c r="G1366" s="13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5.0521369621033589E-2</v>
      </c>
      <c r="H1366" s="13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9.3710051178867618E-2</v>
      </c>
      <c r="I1366" s="13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0.17195125636945763</v>
      </c>
      <c r="J1366" s="13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1.1573692941783979E-3</v>
      </c>
      <c r="K1366" s="13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1.5311246891447771E-7</v>
      </c>
    </row>
    <row r="1367" spans="1:11">
      <c r="A1367" t="s">
        <v>5</v>
      </c>
      <c r="B1367" s="5" t="str">
        <f t="shared" si="841"/>
        <v>SPS1</v>
      </c>
      <c r="C1367" s="5" t="str">
        <f t="shared" si="842"/>
        <v>CH</v>
      </c>
      <c r="D1367" t="s">
        <v>1436</v>
      </c>
      <c r="E1367" t="str">
        <f t="shared" si="843"/>
        <v>billion km/yr.</v>
      </c>
      <c r="F1367" s="13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8.8461238613486289E-5</v>
      </c>
      <c r="G1367" s="13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13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0</v>
      </c>
      <c r="I1367" s="13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3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0</v>
      </c>
      <c r="K1367" s="13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1:11">
      <c r="A1368" t="s">
        <v>5</v>
      </c>
      <c r="B1368" s="5" t="str">
        <f t="shared" si="841"/>
        <v>SPS1</v>
      </c>
      <c r="C1368" s="5" t="str">
        <f t="shared" si="842"/>
        <v>CH</v>
      </c>
      <c r="D1368" t="s">
        <v>1437</v>
      </c>
      <c r="E1368" t="str">
        <f t="shared" si="843"/>
        <v>billion km/yr.</v>
      </c>
      <c r="F1368" s="13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4.4314234220294048E-3</v>
      </c>
      <c r="G1368" s="13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3.5457712943368193E-3</v>
      </c>
      <c r="H1368" s="13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2.2160643701899627E-3</v>
      </c>
      <c r="I1368" s="13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3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3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1:11">
      <c r="A1369" t="s">
        <v>5</v>
      </c>
      <c r="B1369" s="5" t="str">
        <f t="shared" si="841"/>
        <v>SPS1</v>
      </c>
      <c r="C1369" s="5" t="str">
        <f t="shared" si="842"/>
        <v>CH</v>
      </c>
      <c r="D1369" t="s">
        <v>1438</v>
      </c>
      <c r="E1369" t="str">
        <f t="shared" si="843"/>
        <v>billion km/yr.</v>
      </c>
      <c r="F1369" s="13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3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0</v>
      </c>
      <c r="H1369" s="13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5.9728486676145229E-3</v>
      </c>
      <c r="I1369" s="13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1.714355542513393E-6</v>
      </c>
      <c r="J1369" s="13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4.9894110678682516E-6</v>
      </c>
      <c r="K1369" s="13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2.0407291571744617E-6</v>
      </c>
    </row>
    <row r="1370" spans="1:11">
      <c r="A1370" t="s">
        <v>5</v>
      </c>
      <c r="B1370" s="5" t="str">
        <f t="shared" si="841"/>
        <v>SPS1</v>
      </c>
      <c r="C1370" s="5" t="str">
        <f t="shared" si="842"/>
        <v>CH</v>
      </c>
      <c r="D1370" t="s">
        <v>1439</v>
      </c>
      <c r="E1370" t="str">
        <f t="shared" si="843"/>
        <v>billion km/yr.</v>
      </c>
      <c r="F1370" s="13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3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0</v>
      </c>
      <c r="H1370" s="13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2.0105480292780044E-6</v>
      </c>
      <c r="I1370" s="13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3.5012475315836931E-6</v>
      </c>
      <c r="J1370" s="13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2.4003528735313768E-6</v>
      </c>
      <c r="K1370" s="13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5.6124437843179449E-7</v>
      </c>
    </row>
    <row r="1371" spans="1:11">
      <c r="A1371" t="s">
        <v>5</v>
      </c>
      <c r="B1371" s="5" t="str">
        <f t="shared" si="841"/>
        <v>SPS1</v>
      </c>
      <c r="C1371" s="5" t="str">
        <f t="shared" si="842"/>
        <v>CH</v>
      </c>
      <c r="D1371" t="s">
        <v>1440</v>
      </c>
      <c r="E1371" t="str">
        <f t="shared" si="843"/>
        <v>billion km/yr.</v>
      </c>
      <c r="F1371" s="13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3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0</v>
      </c>
      <c r="H1371" s="13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2.5485769762861915E-3</v>
      </c>
      <c r="I1371" s="13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2.5586374661953921E-3</v>
      </c>
      <c r="J1371" s="13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7.8836183215819835E-3</v>
      </c>
      <c r="K1371" s="13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1.0822968063042249E-3</v>
      </c>
    </row>
    <row r="1372" spans="1:11">
      <c r="A1372" t="s">
        <v>5</v>
      </c>
      <c r="B1372" s="5" t="str">
        <f t="shared" si="841"/>
        <v>SPS1</v>
      </c>
      <c r="C1372" s="5" t="str">
        <f t="shared" si="842"/>
        <v>CH</v>
      </c>
      <c r="D1372" t="s">
        <v>1441</v>
      </c>
      <c r="E1372" t="str">
        <f t="shared" si="843"/>
        <v>billion km/yr.</v>
      </c>
      <c r="F1372" s="13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3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3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0</v>
      </c>
      <c r="I1372" s="13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3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13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1:11">
      <c r="A1373" t="s">
        <v>5</v>
      </c>
      <c r="B1373" s="5" t="str">
        <f>B1372</f>
        <v>SPS1</v>
      </c>
      <c r="C1373" s="5" t="str">
        <f>C1372</f>
        <v>CH</v>
      </c>
      <c r="D1373" s="1" t="s">
        <v>1442</v>
      </c>
      <c r="E1373" s="1" t="s">
        <v>1297</v>
      </c>
      <c r="F1373" s="25" t="s">
        <v>295</v>
      </c>
      <c r="G1373" s="25" t="s">
        <v>295</v>
      </c>
      <c r="H1373" s="25" t="s">
        <v>295</v>
      </c>
      <c r="I1373" s="25" t="s">
        <v>295</v>
      </c>
      <c r="J1373" s="25" t="s">
        <v>295</v>
      </c>
      <c r="K1373" s="25" t="s">
        <v>295</v>
      </c>
    </row>
    <row r="1374" spans="1:11">
      <c r="A1374" t="s">
        <v>5</v>
      </c>
      <c r="B1374" s="5" t="str">
        <f t="shared" ref="B1374:B1396" si="844">B1373</f>
        <v>SPS1</v>
      </c>
      <c r="C1374" s="5" t="str">
        <f t="shared" ref="C1374:C1396" si="845">C1373</f>
        <v>CH</v>
      </c>
      <c r="D1374" t="s">
        <v>1443</v>
      </c>
      <c r="E1374" t="s">
        <v>1297</v>
      </c>
      <c r="F1374" s="13">
        <f>IFERROR(F1350/F1315,"-")</f>
        <v>4.1906042144660294</v>
      </c>
      <c r="G1374" s="13">
        <f t="shared" ref="G1374:K1374" si="846">IFERROR(G1350/G1315,"-")</f>
        <v>3.373750732683936</v>
      </c>
      <c r="H1374" s="13">
        <f t="shared" si="846"/>
        <v>2.1484705100107937</v>
      </c>
      <c r="I1374" s="13" t="str">
        <f t="shared" si="846"/>
        <v>-</v>
      </c>
      <c r="J1374" s="13" t="str">
        <f t="shared" si="846"/>
        <v>-</v>
      </c>
      <c r="K1374" s="13" t="str">
        <f t="shared" si="846"/>
        <v>-</v>
      </c>
    </row>
    <row r="1375" spans="1:11">
      <c r="A1375" t="s">
        <v>5</v>
      </c>
      <c r="B1375" s="5" t="str">
        <f t="shared" si="844"/>
        <v>SPS1</v>
      </c>
      <c r="C1375" s="5" t="str">
        <f t="shared" si="845"/>
        <v>CH</v>
      </c>
      <c r="D1375" t="s">
        <v>1444</v>
      </c>
      <c r="E1375" t="s">
        <v>1297</v>
      </c>
      <c r="F1375" s="13">
        <f t="shared" ref="F1375:K1375" si="847">IFERROR(F1351/F1316,"-")</f>
        <v>0.378693217018718</v>
      </c>
      <c r="G1375" s="13">
        <f t="shared" si="847"/>
        <v>0.39242440634734571</v>
      </c>
      <c r="H1375" s="13">
        <f t="shared" si="847"/>
        <v>0.39918030440117896</v>
      </c>
      <c r="I1375" s="13">
        <f t="shared" si="847"/>
        <v>0.4473488934571348</v>
      </c>
      <c r="J1375" s="13">
        <f t="shared" si="847"/>
        <v>0.47200546859748821</v>
      </c>
      <c r="K1375" s="13">
        <f t="shared" si="847"/>
        <v>0.51646309874679475</v>
      </c>
    </row>
    <row r="1376" spans="1:11">
      <c r="A1376" t="s">
        <v>5</v>
      </c>
      <c r="B1376" s="5" t="str">
        <f t="shared" si="844"/>
        <v>SPS1</v>
      </c>
      <c r="C1376" s="5" t="str">
        <f t="shared" si="845"/>
        <v>CH</v>
      </c>
      <c r="D1376" t="s">
        <v>1445</v>
      </c>
      <c r="E1376" t="s">
        <v>1297</v>
      </c>
      <c r="F1376" s="13">
        <f t="shared" ref="F1376:K1376" si="848">IFERROR(F1352/F1317,"-")</f>
        <v>0.2751807049649071</v>
      </c>
      <c r="G1376" s="13">
        <f t="shared" si="848"/>
        <v>0.28005647482237439</v>
      </c>
      <c r="H1376" s="13">
        <f t="shared" si="848"/>
        <v>0.28164371563462093</v>
      </c>
      <c r="I1376" s="13">
        <f t="shared" si="848"/>
        <v>0.32393558875785244</v>
      </c>
      <c r="J1376" s="13">
        <f t="shared" si="848"/>
        <v>0.34981711318533076</v>
      </c>
      <c r="K1376" s="13">
        <f t="shared" si="848"/>
        <v>0.38018135623296678</v>
      </c>
    </row>
    <row r="1377" spans="1:11">
      <c r="A1377" t="s">
        <v>5</v>
      </c>
      <c r="B1377" s="5" t="str">
        <f t="shared" si="844"/>
        <v>SPS1</v>
      </c>
      <c r="C1377" s="5" t="str">
        <f t="shared" si="845"/>
        <v>CH</v>
      </c>
      <c r="D1377" t="s">
        <v>1446</v>
      </c>
      <c r="E1377" t="s">
        <v>1297</v>
      </c>
      <c r="F1377" s="13">
        <f t="shared" ref="F1377:K1377" si="849">IFERROR(F1353/F1318,"-")</f>
        <v>0.1829704071343991</v>
      </c>
      <c r="G1377" s="13" t="str">
        <f t="shared" si="849"/>
        <v>-</v>
      </c>
      <c r="H1377" s="13">
        <f t="shared" si="849"/>
        <v>0.19651498931791767</v>
      </c>
      <c r="I1377" s="13">
        <f t="shared" si="849"/>
        <v>0.21567909080961972</v>
      </c>
      <c r="J1377" s="13">
        <f t="shared" si="849"/>
        <v>0.23906398373600413</v>
      </c>
      <c r="K1377" s="13">
        <f t="shared" si="849"/>
        <v>0.2591488152659327</v>
      </c>
    </row>
    <row r="1378" spans="1:11">
      <c r="A1378" t="s">
        <v>5</v>
      </c>
      <c r="B1378" s="5" t="str">
        <f t="shared" si="844"/>
        <v>SPS1</v>
      </c>
      <c r="C1378" s="5" t="str">
        <f t="shared" si="845"/>
        <v>CH</v>
      </c>
      <c r="D1378" t="s">
        <v>1447</v>
      </c>
      <c r="E1378" t="s">
        <v>1297</v>
      </c>
      <c r="F1378" s="13" t="str">
        <f t="shared" ref="F1378:K1378" si="850">IFERROR(F1354/F1319,"-")</f>
        <v>-</v>
      </c>
      <c r="G1378" s="13" t="str">
        <f t="shared" si="850"/>
        <v>-</v>
      </c>
      <c r="H1378" s="13" t="str">
        <f t="shared" si="850"/>
        <v>-</v>
      </c>
      <c r="I1378" s="13" t="str">
        <f t="shared" si="850"/>
        <v>-</v>
      </c>
      <c r="J1378" s="13" t="str">
        <f t="shared" si="850"/>
        <v>-</v>
      </c>
      <c r="K1378" s="13" t="str">
        <f t="shared" si="850"/>
        <v>-</v>
      </c>
    </row>
    <row r="1379" spans="1:11">
      <c r="A1379" t="s">
        <v>5</v>
      </c>
      <c r="B1379" s="5" t="str">
        <f t="shared" si="844"/>
        <v>SPS1</v>
      </c>
      <c r="C1379" s="5" t="str">
        <f t="shared" si="845"/>
        <v>CH</v>
      </c>
      <c r="D1379" t="s">
        <v>1448</v>
      </c>
      <c r="E1379" t="s">
        <v>1297</v>
      </c>
      <c r="F1379" s="13" t="str">
        <f>IFERROR(F1355/F1321,"-")</f>
        <v>-</v>
      </c>
      <c r="G1379" s="13" t="str">
        <f t="shared" ref="G1379:K1379" si="851">IFERROR(G1355/G1321,"-")</f>
        <v>-</v>
      </c>
      <c r="H1379" s="13" t="str">
        <f t="shared" si="851"/>
        <v>-</v>
      </c>
      <c r="I1379" s="13">
        <f t="shared" si="851"/>
        <v>0.23440176174444091</v>
      </c>
      <c r="J1379" s="13">
        <f t="shared" si="851"/>
        <v>0.26070493523106203</v>
      </c>
      <c r="K1379" s="13">
        <f t="shared" si="851"/>
        <v>0.30341091329516234</v>
      </c>
    </row>
    <row r="1380" spans="1:11">
      <c r="A1380" t="s">
        <v>5</v>
      </c>
      <c r="B1380" s="5" t="str">
        <f t="shared" si="844"/>
        <v>SPS1</v>
      </c>
      <c r="C1380" s="5" t="str">
        <f t="shared" si="845"/>
        <v>CH</v>
      </c>
      <c r="D1380" t="s">
        <v>1449</v>
      </c>
      <c r="E1380" t="s">
        <v>1297</v>
      </c>
      <c r="F1380" s="13" t="str">
        <f t="shared" ref="F1380:K1380" si="852">IFERROR(F1356/F1322,"-")</f>
        <v>-</v>
      </c>
      <c r="G1380" s="13" t="str">
        <f t="shared" si="852"/>
        <v>-</v>
      </c>
      <c r="H1380" s="13" t="str">
        <f t="shared" si="852"/>
        <v>-</v>
      </c>
      <c r="I1380" s="13">
        <f t="shared" si="852"/>
        <v>0.1691015145104961</v>
      </c>
      <c r="J1380" s="13">
        <f t="shared" si="852"/>
        <v>0.19120910713209757</v>
      </c>
      <c r="K1380" s="13">
        <f t="shared" si="852"/>
        <v>0.2001104776875649</v>
      </c>
    </row>
    <row r="1381" spans="1:11">
      <c r="A1381" t="s">
        <v>5</v>
      </c>
      <c r="B1381" s="5" t="str">
        <f t="shared" si="844"/>
        <v>SPS1</v>
      </c>
      <c r="C1381" s="5" t="str">
        <f t="shared" si="845"/>
        <v>CH</v>
      </c>
      <c r="D1381" t="s">
        <v>1450</v>
      </c>
      <c r="E1381" t="s">
        <v>1297</v>
      </c>
      <c r="F1381" s="13" t="str">
        <f t="shared" ref="F1381:K1381" si="853">IFERROR(F1357/F1323,"-")</f>
        <v>-</v>
      </c>
      <c r="G1381" s="13" t="str">
        <f t="shared" si="853"/>
        <v>-</v>
      </c>
      <c r="H1381" s="13" t="str">
        <f t="shared" si="853"/>
        <v>-</v>
      </c>
      <c r="I1381" s="13" t="str">
        <f t="shared" si="853"/>
        <v>-</v>
      </c>
      <c r="J1381" s="13">
        <f t="shared" si="853"/>
        <v>0.12984719479933529</v>
      </c>
      <c r="K1381" s="13">
        <f t="shared" si="853"/>
        <v>0.12985731897952291</v>
      </c>
    </row>
    <row r="1382" spans="1:11">
      <c r="A1382" t="s">
        <v>5</v>
      </c>
      <c r="B1382" s="5" t="str">
        <f t="shared" si="844"/>
        <v>SPS1</v>
      </c>
      <c r="C1382" s="5" t="str">
        <f t="shared" si="845"/>
        <v>CH</v>
      </c>
      <c r="D1382" t="s">
        <v>1451</v>
      </c>
      <c r="E1382" t="s">
        <v>1297</v>
      </c>
      <c r="F1382" s="13" t="str">
        <f t="shared" ref="F1382:K1382" si="854">IFERROR(F1358/F1324,"-")</f>
        <v>-</v>
      </c>
      <c r="G1382" s="13" t="str">
        <f t="shared" si="854"/>
        <v>-</v>
      </c>
      <c r="H1382" s="13" t="str">
        <f t="shared" si="854"/>
        <v>-</v>
      </c>
      <c r="I1382" s="13" t="str">
        <f t="shared" si="854"/>
        <v>-</v>
      </c>
      <c r="J1382" s="13" t="str">
        <f t="shared" si="854"/>
        <v>-</v>
      </c>
      <c r="K1382" s="13" t="str">
        <f t="shared" si="854"/>
        <v>-</v>
      </c>
    </row>
    <row r="1383" spans="1:11">
      <c r="A1383" t="s">
        <v>5</v>
      </c>
      <c r="B1383" s="5" t="str">
        <f t="shared" si="844"/>
        <v>SPS1</v>
      </c>
      <c r="C1383" s="5" t="str">
        <f t="shared" si="845"/>
        <v>CH</v>
      </c>
      <c r="D1383" t="s">
        <v>1452</v>
      </c>
      <c r="E1383" t="s">
        <v>1297</v>
      </c>
      <c r="F1383" s="13" t="str">
        <f>IFERROR(F1359/F1330,"-")</f>
        <v>-</v>
      </c>
      <c r="G1383" s="13">
        <f t="shared" ref="G1383:K1383" si="855">IFERROR(G1359/G1330,"-")</f>
        <v>0.16251369968883866</v>
      </c>
      <c r="H1383" s="13">
        <f t="shared" si="855"/>
        <v>0.16251413288252478</v>
      </c>
      <c r="I1383" s="13">
        <f t="shared" si="855"/>
        <v>0.18436105828419111</v>
      </c>
      <c r="J1383" s="13">
        <f t="shared" si="855"/>
        <v>0.2000620906838419</v>
      </c>
      <c r="K1383" s="13">
        <f t="shared" si="855"/>
        <v>0.22493217533446855</v>
      </c>
    </row>
    <row r="1384" spans="1:11">
      <c r="A1384" t="s">
        <v>5</v>
      </c>
      <c r="B1384" s="5" t="str">
        <f t="shared" si="844"/>
        <v>SPS1</v>
      </c>
      <c r="C1384" s="5" t="str">
        <f t="shared" si="845"/>
        <v>CH</v>
      </c>
      <c r="D1384" t="s">
        <v>1453</v>
      </c>
      <c r="E1384" t="s">
        <v>1297</v>
      </c>
      <c r="F1384" s="13" t="str">
        <f t="shared" ref="F1384:K1384" si="856">IFERROR(F1360/F1331,"-")</f>
        <v>-</v>
      </c>
      <c r="G1384" s="13">
        <f t="shared" si="856"/>
        <v>0.11649393435744139</v>
      </c>
      <c r="H1384" s="13">
        <f t="shared" si="856"/>
        <v>0.11681316955495429</v>
      </c>
      <c r="I1384" s="13">
        <f t="shared" si="856"/>
        <v>0.12215452654694088</v>
      </c>
      <c r="J1384" s="13">
        <f t="shared" si="856"/>
        <v>0.14243845758942908</v>
      </c>
      <c r="K1384" s="13">
        <f t="shared" si="856"/>
        <v>0.15117232430903718</v>
      </c>
    </row>
    <row r="1385" spans="1:11">
      <c r="A1385" t="s">
        <v>5</v>
      </c>
      <c r="B1385" s="5" t="str">
        <f t="shared" si="844"/>
        <v>SPS1</v>
      </c>
      <c r="C1385" s="5" t="str">
        <f t="shared" si="845"/>
        <v>CH</v>
      </c>
      <c r="D1385" t="s">
        <v>1454</v>
      </c>
      <c r="E1385" t="s">
        <v>1297</v>
      </c>
      <c r="F1385" s="13" t="str">
        <f t="shared" ref="F1385:K1385" si="857">IFERROR(F1361/F1332,"-")</f>
        <v>-</v>
      </c>
      <c r="G1385" s="13">
        <f t="shared" si="857"/>
        <v>7.8235828164578802E-2</v>
      </c>
      <c r="H1385" s="13">
        <f t="shared" si="857"/>
        <v>7.8235932579900733E-2</v>
      </c>
      <c r="I1385" s="13">
        <f t="shared" si="857"/>
        <v>7.8271018599776851E-2</v>
      </c>
      <c r="J1385" s="13">
        <f t="shared" si="857"/>
        <v>9.4468002227150738E-2</v>
      </c>
      <c r="K1385" s="13">
        <f t="shared" si="857"/>
        <v>9.8732230217019337E-2</v>
      </c>
    </row>
    <row r="1386" spans="1:11">
      <c r="A1386" t="s">
        <v>5</v>
      </c>
      <c r="B1386" s="5" t="str">
        <f t="shared" si="844"/>
        <v>SPS1</v>
      </c>
      <c r="C1386" s="5" t="str">
        <f t="shared" si="845"/>
        <v>CH</v>
      </c>
      <c r="D1386" t="s">
        <v>1455</v>
      </c>
      <c r="E1386" t="s">
        <v>1297</v>
      </c>
      <c r="F1386" s="13" t="str">
        <f t="shared" ref="F1386:K1386" si="858">IFERROR(F1362/F1333,"-")</f>
        <v>-</v>
      </c>
      <c r="G1386" s="13" t="str">
        <f t="shared" si="858"/>
        <v>-</v>
      </c>
      <c r="H1386" s="13" t="str">
        <f t="shared" si="858"/>
        <v>-</v>
      </c>
      <c r="I1386" s="13" t="str">
        <f t="shared" si="858"/>
        <v>-</v>
      </c>
      <c r="J1386" s="13" t="str">
        <f t="shared" si="858"/>
        <v>-</v>
      </c>
      <c r="K1386" s="13" t="str">
        <f t="shared" si="858"/>
        <v>-</v>
      </c>
    </row>
    <row r="1387" spans="1:11">
      <c r="A1387" t="s">
        <v>5</v>
      </c>
      <c r="B1387" s="5" t="str">
        <f t="shared" si="844"/>
        <v>SPS1</v>
      </c>
      <c r="C1387" s="5" t="str">
        <f t="shared" si="845"/>
        <v>CH</v>
      </c>
      <c r="D1387" t="s">
        <v>1456</v>
      </c>
      <c r="E1387" t="s">
        <v>1297</v>
      </c>
      <c r="F1387" s="13">
        <f>IFERROR(F1363/F1334,"-")</f>
        <v>13.968680714886803</v>
      </c>
      <c r="G1387" s="13">
        <f t="shared" ref="G1387:K1387" si="859">IFERROR(G1363/G1334,"-")</f>
        <v>11.189596541502645</v>
      </c>
      <c r="H1387" s="13">
        <f t="shared" si="859"/>
        <v>7.0209702814264157</v>
      </c>
      <c r="I1387" s="13" t="str">
        <f t="shared" si="859"/>
        <v>-</v>
      </c>
      <c r="J1387" s="13" t="str">
        <f t="shared" si="859"/>
        <v>-</v>
      </c>
      <c r="K1387" s="13" t="str">
        <f t="shared" si="859"/>
        <v>-</v>
      </c>
    </row>
    <row r="1388" spans="1:11">
      <c r="A1388" t="s">
        <v>5</v>
      </c>
      <c r="B1388" s="5" t="str">
        <f t="shared" si="844"/>
        <v>SPS1</v>
      </c>
      <c r="C1388" s="5" t="str">
        <f t="shared" si="845"/>
        <v>CH</v>
      </c>
      <c r="D1388" t="s">
        <v>1457</v>
      </c>
      <c r="E1388" t="s">
        <v>1297</v>
      </c>
      <c r="F1388" s="13">
        <f t="shared" ref="F1388:K1388" si="860">IFERROR(F1364/F1335,"-")</f>
        <v>0.12391916748597484</v>
      </c>
      <c r="G1388" s="13">
        <f t="shared" si="860"/>
        <v>0.12469239665402942</v>
      </c>
      <c r="H1388" s="13">
        <f t="shared" si="860"/>
        <v>0.1353888716349663</v>
      </c>
      <c r="I1388" s="13">
        <f t="shared" si="860"/>
        <v>0.14431492387139605</v>
      </c>
      <c r="J1388" s="13">
        <f t="shared" si="860"/>
        <v>0.16074492767013515</v>
      </c>
      <c r="K1388" s="13">
        <f t="shared" si="860"/>
        <v>0.16247004339690332</v>
      </c>
    </row>
    <row r="1389" spans="1:11">
      <c r="A1389" t="s">
        <v>5</v>
      </c>
      <c r="B1389" s="5" t="str">
        <f t="shared" si="844"/>
        <v>SPS1</v>
      </c>
      <c r="C1389" s="5" t="str">
        <f t="shared" si="845"/>
        <v>CH</v>
      </c>
      <c r="D1389" t="s">
        <v>1458</v>
      </c>
      <c r="E1389" t="s">
        <v>1297</v>
      </c>
      <c r="F1389" s="13">
        <f t="shared" ref="F1389:K1389" si="861">IFERROR(F1365/F1336,"-")</f>
        <v>8.7465847585616679E-2</v>
      </c>
      <c r="G1389" s="13">
        <f t="shared" si="861"/>
        <v>8.7946151469682404E-2</v>
      </c>
      <c r="H1389" s="13">
        <f t="shared" si="861"/>
        <v>9.1073931609989778E-2</v>
      </c>
      <c r="I1389" s="13">
        <f t="shared" si="861"/>
        <v>9.7853504712669043E-2</v>
      </c>
      <c r="J1389" s="13">
        <f t="shared" si="861"/>
        <v>0.1029046334658653</v>
      </c>
      <c r="K1389" s="13">
        <f t="shared" si="861"/>
        <v>0.11343753121307457</v>
      </c>
    </row>
    <row r="1390" spans="1:11">
      <c r="A1390" t="s">
        <v>5</v>
      </c>
      <c r="B1390" s="5" t="str">
        <f t="shared" si="844"/>
        <v>SPS1</v>
      </c>
      <c r="C1390" s="5" t="str">
        <f t="shared" si="845"/>
        <v>CH</v>
      </c>
      <c r="D1390" t="s">
        <v>1459</v>
      </c>
      <c r="E1390" t="s">
        <v>1297</v>
      </c>
      <c r="F1390" s="13">
        <f t="shared" ref="F1390:K1390" si="862">IFERROR(F1366/F1337,"-")</f>
        <v>5.7949527986548635E-2</v>
      </c>
      <c r="G1390" s="13">
        <f t="shared" si="862"/>
        <v>5.8103986387759127E-2</v>
      </c>
      <c r="H1390" s="13">
        <f t="shared" si="862"/>
        <v>6.0288706447868087E-2</v>
      </c>
      <c r="I1390" s="13">
        <f t="shared" si="862"/>
        <v>6.5948964893487561E-2</v>
      </c>
      <c r="J1390" s="13">
        <f t="shared" si="862"/>
        <v>7.1676722586595076E-2</v>
      </c>
      <c r="K1390" s="13">
        <f t="shared" si="862"/>
        <v>7.5170537347230351E-2</v>
      </c>
    </row>
    <row r="1391" spans="1:11">
      <c r="A1391" t="s">
        <v>5</v>
      </c>
      <c r="B1391" s="5" t="str">
        <f t="shared" si="844"/>
        <v>SPS1</v>
      </c>
      <c r="C1391" s="5" t="str">
        <f t="shared" si="845"/>
        <v>CH</v>
      </c>
      <c r="D1391" t="s">
        <v>1460</v>
      </c>
      <c r="E1391" t="s">
        <v>1297</v>
      </c>
      <c r="F1391" s="13">
        <f t="shared" ref="F1391:K1391" si="863">IFERROR(F1367/F1338,"-")</f>
        <v>3.8646481387947483E-2</v>
      </c>
      <c r="G1391" s="13" t="str">
        <f t="shared" si="863"/>
        <v>-</v>
      </c>
      <c r="H1391" s="13" t="str">
        <f t="shared" si="863"/>
        <v>-</v>
      </c>
      <c r="I1391" s="13" t="str">
        <f t="shared" si="863"/>
        <v>-</v>
      </c>
      <c r="J1391" s="13" t="str">
        <f t="shared" si="863"/>
        <v>-</v>
      </c>
      <c r="K1391" s="13" t="str">
        <f t="shared" si="863"/>
        <v>-</v>
      </c>
    </row>
    <row r="1392" spans="1:11">
      <c r="A1392" t="s">
        <v>5</v>
      </c>
      <c r="B1392" s="5" t="str">
        <f t="shared" si="844"/>
        <v>SPS1</v>
      </c>
      <c r="C1392" s="5" t="str">
        <f t="shared" si="845"/>
        <v>CH</v>
      </c>
      <c r="D1392" t="s">
        <v>1461</v>
      </c>
      <c r="E1392" t="s">
        <v>1297</v>
      </c>
      <c r="F1392" s="13">
        <f>IFERROR(F1368/F1344,"-")</f>
        <v>13.96868071488681</v>
      </c>
      <c r="G1392" s="13">
        <f t="shared" ref="G1392:K1392" si="864">IFERROR(G1368/G1344,"-")</f>
        <v>11.186996076539078</v>
      </c>
      <c r="H1392" s="13">
        <f t="shared" si="864"/>
        <v>7.0144691190174662</v>
      </c>
      <c r="I1392" s="13" t="str">
        <f t="shared" si="864"/>
        <v>-</v>
      </c>
      <c r="J1392" s="13" t="str">
        <f t="shared" si="864"/>
        <v>-</v>
      </c>
      <c r="K1392" s="13" t="str">
        <f t="shared" si="864"/>
        <v>-</v>
      </c>
    </row>
    <row r="1393" spans="1:11">
      <c r="A1393" t="s">
        <v>5</v>
      </c>
      <c r="B1393" s="5" t="str">
        <f t="shared" si="844"/>
        <v>SPS1</v>
      </c>
      <c r="C1393" s="5" t="str">
        <f t="shared" si="845"/>
        <v>CH</v>
      </c>
      <c r="D1393" t="s">
        <v>1462</v>
      </c>
      <c r="E1393" t="s">
        <v>1297</v>
      </c>
      <c r="F1393" s="13" t="str">
        <f t="shared" ref="F1393:K1393" si="865">IFERROR(F1369/F1345,"-")</f>
        <v>-</v>
      </c>
      <c r="G1393" s="13" t="str">
        <f t="shared" si="865"/>
        <v>-</v>
      </c>
      <c r="H1393" s="13">
        <f t="shared" si="865"/>
        <v>0.12680062621934796</v>
      </c>
      <c r="I1393" s="13">
        <f t="shared" si="865"/>
        <v>0.13365164029065063</v>
      </c>
      <c r="J1393" s="13">
        <f t="shared" si="865"/>
        <v>0.15036614196651032</v>
      </c>
      <c r="K1393" s="13">
        <f t="shared" si="865"/>
        <v>0.15954068942415384</v>
      </c>
    </row>
    <row r="1394" spans="1:11">
      <c r="A1394" t="s">
        <v>5</v>
      </c>
      <c r="B1394" s="5" t="str">
        <f t="shared" si="844"/>
        <v>SPS1</v>
      </c>
      <c r="C1394" s="5" t="str">
        <f t="shared" si="845"/>
        <v>CH</v>
      </c>
      <c r="D1394" t="s">
        <v>1463</v>
      </c>
      <c r="E1394" t="s">
        <v>1297</v>
      </c>
      <c r="F1394" s="13" t="str">
        <f t="shared" ref="F1394:K1394" si="866">IFERROR(F1370/F1346,"-")</f>
        <v>-</v>
      </c>
      <c r="G1394" s="13" t="str">
        <f t="shared" si="866"/>
        <v>-</v>
      </c>
      <c r="H1394" s="13">
        <f t="shared" si="866"/>
        <v>8.9423361650223659E-2</v>
      </c>
      <c r="I1394" s="13">
        <f t="shared" si="866"/>
        <v>9.2373412189379167E-2</v>
      </c>
      <c r="J1394" s="13">
        <f t="shared" si="866"/>
        <v>0.10487051763970606</v>
      </c>
      <c r="K1394" s="13">
        <f t="shared" si="866"/>
        <v>0.10690580004720129</v>
      </c>
    </row>
    <row r="1395" spans="1:11">
      <c r="A1395" t="s">
        <v>5</v>
      </c>
      <c r="B1395" s="5" t="str">
        <f t="shared" si="844"/>
        <v>SPS1</v>
      </c>
      <c r="C1395" s="5" t="str">
        <f t="shared" si="845"/>
        <v>CH</v>
      </c>
      <c r="D1395" t="s">
        <v>1464</v>
      </c>
      <c r="E1395" t="s">
        <v>1297</v>
      </c>
      <c r="F1395" s="13" t="str">
        <f t="shared" ref="F1395:K1395" si="867">IFERROR(F1371/F1347,"-")</f>
        <v>-</v>
      </c>
      <c r="G1395" s="13" t="str">
        <f t="shared" si="867"/>
        <v>-</v>
      </c>
      <c r="H1395" s="13">
        <f t="shared" si="867"/>
        <v>5.935662668055957E-2</v>
      </c>
      <c r="I1395" s="13">
        <f t="shared" si="867"/>
        <v>5.9374330450638821E-2</v>
      </c>
      <c r="J1395" s="13">
        <f t="shared" si="867"/>
        <v>6.89088353720443E-2</v>
      </c>
      <c r="K1395" s="13">
        <f t="shared" si="867"/>
        <v>7.0958063870597526E-2</v>
      </c>
    </row>
    <row r="1396" spans="1:11">
      <c r="A1396" t="s">
        <v>5</v>
      </c>
      <c r="B1396" s="5" t="str">
        <f t="shared" si="844"/>
        <v>SPS1</v>
      </c>
      <c r="C1396" s="5" t="str">
        <f t="shared" si="845"/>
        <v>CH</v>
      </c>
      <c r="D1396" t="s">
        <v>1465</v>
      </c>
      <c r="E1396" t="s">
        <v>1297</v>
      </c>
      <c r="F1396" s="13" t="str">
        <f t="shared" ref="F1396:K1396" si="868">IFERROR(F1372/F1348,"-")</f>
        <v>-</v>
      </c>
      <c r="G1396" s="13" t="str">
        <f t="shared" si="868"/>
        <v>-</v>
      </c>
      <c r="H1396" s="13" t="str">
        <f t="shared" si="868"/>
        <v>-</v>
      </c>
      <c r="I1396" s="13" t="str">
        <f t="shared" si="868"/>
        <v>-</v>
      </c>
      <c r="J1396" s="13" t="str">
        <f t="shared" si="868"/>
        <v>-</v>
      </c>
      <c r="K1396" s="13" t="str">
        <f t="shared" si="868"/>
        <v>-</v>
      </c>
    </row>
    <row r="1397" spans="1:11">
      <c r="A1397" t="s">
        <v>5</v>
      </c>
      <c r="B1397" s="8" t="str">
        <f>B1396</f>
        <v>SPS1</v>
      </c>
      <c r="C1397" s="8" t="str">
        <f>C1396</f>
        <v>CH</v>
      </c>
      <c r="D1397" s="1" t="s">
        <v>1468</v>
      </c>
      <c r="E1397" s="1" t="s">
        <v>8</v>
      </c>
      <c r="F1397" s="16">
        <f>F1398+F1404+F1409+F1423</f>
        <v>0.8142982833331901</v>
      </c>
      <c r="G1397" s="16">
        <f t="shared" ref="G1397" si="869">G1398+G1404+G1409+G1423</f>
        <v>0.81245604938857419</v>
      </c>
      <c r="H1397" s="16">
        <f t="shared" ref="H1397" si="870">H1398+H1404+H1409+H1423</f>
        <v>0.995987855394874</v>
      </c>
      <c r="I1397" s="16">
        <f t="shared" ref="I1397" si="871">I1398+I1404+I1409+I1423</f>
        <v>1.1811925655475088</v>
      </c>
      <c r="J1397" s="16">
        <f t="shared" ref="J1397" si="872">J1398+J1404+J1409+J1423</f>
        <v>0.7280342371032924</v>
      </c>
      <c r="K1397" s="16">
        <f t="shared" ref="K1397" si="873">K1398+K1404+K1409+K1423</f>
        <v>0.41624670634701288</v>
      </c>
    </row>
    <row r="1398" spans="1:11">
      <c r="A1398" t="s">
        <v>5</v>
      </c>
      <c r="B1398" s="5" t="str">
        <f>B1397</f>
        <v>SPS1</v>
      </c>
      <c r="C1398" s="5" t="str">
        <f>C1397</f>
        <v>CH</v>
      </c>
      <c r="D1398" t="s">
        <v>1469</v>
      </c>
      <c r="E1398" t="s">
        <v>8</v>
      </c>
      <c r="F1398" s="13">
        <f>SUM(F1399:F1403)</f>
        <v>7.1266208321691901E-4</v>
      </c>
      <c r="G1398" s="13">
        <f t="shared" ref="G1398" si="874">SUM(G1399:G1403)</f>
        <v>4.7373594432911087E-4</v>
      </c>
      <c r="H1398" s="13">
        <f t="shared" ref="H1398" si="875">SUM(H1399:H1403)</f>
        <v>9.6693437043794152E-4</v>
      </c>
      <c r="I1398" s="13">
        <f t="shared" ref="I1398" si="876">SUM(I1399:I1403)</f>
        <v>1.28787167795385E-2</v>
      </c>
      <c r="J1398" s="13">
        <f t="shared" ref="J1398" si="877">SUM(J1399:J1403)</f>
        <v>0.1496694742764785</v>
      </c>
      <c r="K1398" s="13">
        <f t="shared" ref="K1398" si="878">SUM(K1399:K1403)</f>
        <v>0.19774900734454273</v>
      </c>
    </row>
    <row r="1399" spans="1:11">
      <c r="A1399" t="s">
        <v>5</v>
      </c>
      <c r="B1399" s="5" t="str">
        <f t="shared" ref="B1399:B1432" si="879">B1398</f>
        <v>SPS1</v>
      </c>
      <c r="C1399" s="5" t="str">
        <f t="shared" ref="C1399:C1432" si="880">C1398</f>
        <v>CH</v>
      </c>
      <c r="D1399" t="s">
        <v>1470</v>
      </c>
      <c r="E1399" t="s">
        <v>8</v>
      </c>
      <c r="F1399" s="13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3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3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3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3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3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1:11">
      <c r="A1400" t="s">
        <v>5</v>
      </c>
      <c r="B1400" s="5" t="str">
        <f t="shared" si="879"/>
        <v>SPS1</v>
      </c>
      <c r="C1400" s="5" t="str">
        <f t="shared" si="880"/>
        <v>CH</v>
      </c>
      <c r="D1400" t="s">
        <v>1471</v>
      </c>
      <c r="E1400" t="s">
        <v>8</v>
      </c>
      <c r="F1400" s="13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1.2000842985586925E-4</v>
      </c>
      <c r="G1400" s="13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3.2163023660217106E-4</v>
      </c>
      <c r="H1400" s="13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7.5474692329774581E-4</v>
      </c>
      <c r="I1400" s="13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1.2746526925561311E-2</v>
      </c>
      <c r="J1400" s="13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2.513981792767046E-2</v>
      </c>
      <c r="K1400" s="13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9.4327093458921624E-2</v>
      </c>
    </row>
    <row r="1401" spans="1:11">
      <c r="A1401" t="s">
        <v>5</v>
      </c>
      <c r="B1401" s="5" t="str">
        <f t="shared" si="879"/>
        <v>SPS1</v>
      </c>
      <c r="C1401" s="5" t="str">
        <f t="shared" si="880"/>
        <v>CH</v>
      </c>
      <c r="D1401" t="s">
        <v>1472</v>
      </c>
      <c r="E1401" t="s">
        <v>8</v>
      </c>
      <c r="F1401" s="13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4.4864100428432648E-4</v>
      </c>
      <c r="G1401" s="13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3.1834854699457084E-5</v>
      </c>
      <c r="H1401" s="13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5.0499790048135114E-5</v>
      </c>
      <c r="I1401" s="13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4.9419981836288462E-5</v>
      </c>
      <c r="J1401" s="13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0.11550908270459773</v>
      </c>
      <c r="K1401" s="13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0.10030126048317828</v>
      </c>
    </row>
    <row r="1402" spans="1:11">
      <c r="A1402" t="s">
        <v>5</v>
      </c>
      <c r="B1402" s="5" t="str">
        <f t="shared" si="879"/>
        <v>SPS1</v>
      </c>
      <c r="C1402" s="5" t="str">
        <f t="shared" si="880"/>
        <v>CH</v>
      </c>
      <c r="D1402" t="s">
        <v>1473</v>
      </c>
      <c r="E1402" t="s">
        <v>8</v>
      </c>
      <c r="F1402" s="13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1.4401264907672325E-4</v>
      </c>
      <c r="G1402" s="13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1.2027085302748269E-4</v>
      </c>
      <c r="H1402" s="13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1.6168765709206054E-4</v>
      </c>
      <c r="I1402" s="13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8.2769872140901076E-5</v>
      </c>
      <c r="J1402" s="13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9.0205736442103175E-3</v>
      </c>
      <c r="K1402" s="13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3.1206534024428192E-3</v>
      </c>
    </row>
    <row r="1403" spans="1:11">
      <c r="A1403" t="s">
        <v>5</v>
      </c>
      <c r="B1403" s="5" t="str">
        <f t="shared" si="879"/>
        <v>SPS1</v>
      </c>
      <c r="C1403" s="5" t="str">
        <f t="shared" si="880"/>
        <v>CH</v>
      </c>
      <c r="D1403" t="s">
        <v>1474</v>
      </c>
      <c r="E1403" t="s">
        <v>8</v>
      </c>
      <c r="F1403" s="13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3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0</v>
      </c>
      <c r="H1403" s="13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0</v>
      </c>
      <c r="I1403" s="13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0</v>
      </c>
      <c r="J1403" s="13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0</v>
      </c>
      <c r="K1403" s="13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0</v>
      </c>
    </row>
    <row r="1404" spans="1:11">
      <c r="A1404" t="s">
        <v>5</v>
      </c>
      <c r="B1404" s="5" t="str">
        <f t="shared" si="879"/>
        <v>SPS1</v>
      </c>
      <c r="C1404" s="5" t="str">
        <f t="shared" si="880"/>
        <v>CH</v>
      </c>
      <c r="D1404" t="s">
        <v>1475</v>
      </c>
      <c r="E1404" t="s">
        <v>8</v>
      </c>
      <c r="F1404" s="13">
        <f>SUM(F1405:F1408)</f>
        <v>0</v>
      </c>
      <c r="G1404" s="13">
        <f t="shared" ref="G1404" si="881">SUM(G1405:G1408)</f>
        <v>0</v>
      </c>
      <c r="H1404" s="13">
        <f t="shared" ref="H1404" si="882">SUM(H1405:H1408)</f>
        <v>0</v>
      </c>
      <c r="I1404" s="13">
        <f t="shared" ref="I1404" si="883">SUM(I1405:I1408)</f>
        <v>2.2603132446592435E-2</v>
      </c>
      <c r="J1404" s="13">
        <f t="shared" ref="J1404" si="884">SUM(J1405:J1408)</f>
        <v>8.3694159069544888E-2</v>
      </c>
      <c r="K1404" s="13">
        <f t="shared" ref="K1404" si="885">SUM(K1405:K1408)</f>
        <v>0.16968706560072361</v>
      </c>
    </row>
    <row r="1405" spans="1:11">
      <c r="A1405" t="s">
        <v>5</v>
      </c>
      <c r="B1405" s="5" t="str">
        <f t="shared" si="879"/>
        <v>SPS1</v>
      </c>
      <c r="C1405" s="5" t="str">
        <f t="shared" si="880"/>
        <v>CH</v>
      </c>
      <c r="D1405" t="s">
        <v>1476</v>
      </c>
      <c r="E1405" t="s">
        <v>8</v>
      </c>
      <c r="F1405" s="13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3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3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3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2.2592543167260358E-2</v>
      </c>
      <c r="J1405" s="13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2.2400904656515457E-3</v>
      </c>
      <c r="K1405" s="13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1.1753059398915862E-2</v>
      </c>
    </row>
    <row r="1406" spans="1:11">
      <c r="A1406" t="s">
        <v>5</v>
      </c>
      <c r="B1406" s="5" t="str">
        <f t="shared" si="879"/>
        <v>SPS1</v>
      </c>
      <c r="C1406" s="5" t="str">
        <f t="shared" si="880"/>
        <v>CH</v>
      </c>
      <c r="D1406" t="s">
        <v>1477</v>
      </c>
      <c r="E1406" t="s">
        <v>8</v>
      </c>
      <c r="F1406" s="13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3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3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3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7.7740012475249889E-6</v>
      </c>
      <c r="J1406" s="13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6.9761009012294942E-2</v>
      </c>
      <c r="K1406" s="13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8.5332212028629034E-2</v>
      </c>
    </row>
    <row r="1407" spans="1:11">
      <c r="A1407" t="s">
        <v>5</v>
      </c>
      <c r="B1407" s="5" t="str">
        <f t="shared" si="879"/>
        <v>SPS1</v>
      </c>
      <c r="C1407" s="5" t="str">
        <f t="shared" si="880"/>
        <v>CH</v>
      </c>
      <c r="D1407" t="s">
        <v>1478</v>
      </c>
      <c r="E1407" t="s">
        <v>8</v>
      </c>
      <c r="F1407" s="13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3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3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3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2.815278084550826E-6</v>
      </c>
      <c r="J1407" s="13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1.1693059591598394E-2</v>
      </c>
      <c r="K1407" s="13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7.2601794173178719E-2</v>
      </c>
    </row>
    <row r="1408" spans="1:11">
      <c r="A1408" t="s">
        <v>5</v>
      </c>
      <c r="B1408" s="5" t="str">
        <f t="shared" si="879"/>
        <v>SPS1</v>
      </c>
      <c r="C1408" s="5" t="str">
        <f t="shared" si="880"/>
        <v>CH</v>
      </c>
      <c r="D1408" t="s">
        <v>1479</v>
      </c>
      <c r="E1408" t="s">
        <v>8</v>
      </c>
      <c r="F1408" s="13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3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3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3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3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0</v>
      </c>
      <c r="K1408" s="13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1:11">
      <c r="A1409" t="s">
        <v>5</v>
      </c>
      <c r="B1409" s="5" t="str">
        <f t="shared" si="879"/>
        <v>SPS1</v>
      </c>
      <c r="C1409" s="5" t="str">
        <f t="shared" si="880"/>
        <v>CH</v>
      </c>
      <c r="D1409" t="s">
        <v>1480</v>
      </c>
      <c r="E1409" t="s">
        <v>8</v>
      </c>
      <c r="F1409" s="13">
        <f>SUM(F1414:F1422)</f>
        <v>0.81344810055825378</v>
      </c>
      <c r="G1409" s="13">
        <f t="shared" ref="G1409:K1409" si="886">SUM(G1414:G1422)</f>
        <v>0.81184507092017022</v>
      </c>
      <c r="H1409" s="13">
        <f t="shared" si="886"/>
        <v>0.99448142207218149</v>
      </c>
      <c r="I1409" s="13">
        <f t="shared" si="886"/>
        <v>1.129688040499691</v>
      </c>
      <c r="J1409" s="13">
        <f t="shared" si="886"/>
        <v>0.45170872458390732</v>
      </c>
      <c r="K1409" s="13">
        <f t="shared" si="886"/>
        <v>3.959229834524499E-2</v>
      </c>
    </row>
    <row r="1410" spans="1:11">
      <c r="A1410" t="s">
        <v>5</v>
      </c>
      <c r="B1410" s="5" t="str">
        <f t="shared" si="879"/>
        <v>SPS1</v>
      </c>
      <c r="C1410" s="5" t="str">
        <f t="shared" si="880"/>
        <v>CH</v>
      </c>
      <c r="D1410" t="s">
        <v>1481</v>
      </c>
      <c r="E1410" t="s">
        <v>8</v>
      </c>
      <c r="F1410" s="13">
        <f>F1409-F1411</f>
        <v>0.79343787799826471</v>
      </c>
      <c r="G1410" s="13">
        <f t="shared" ref="G1410" si="887">G1409-G1411</f>
        <v>0.7908036481520444</v>
      </c>
      <c r="H1410" s="13">
        <f t="shared" ref="H1410" si="888">H1409-H1411</f>
        <v>0.96318224574341949</v>
      </c>
      <c r="I1410" s="13">
        <f t="shared" ref="I1410" si="889">I1409-I1411</f>
        <v>1.0855699924407503</v>
      </c>
      <c r="J1410" s="13">
        <f t="shared" ref="J1410" si="890">J1409-J1411</f>
        <v>0.43908416114759569</v>
      </c>
      <c r="K1410" s="13">
        <f t="shared" ref="K1410" si="891">K1409-K1411</f>
        <v>-3.8472496109904566E-3</v>
      </c>
    </row>
    <row r="1411" spans="1:11">
      <c r="A1411" t="s">
        <v>5</v>
      </c>
      <c r="B1411" s="5" t="str">
        <f t="shared" si="879"/>
        <v>SPS1</v>
      </c>
      <c r="C1411" s="5" t="str">
        <f t="shared" si="880"/>
        <v>CH</v>
      </c>
      <c r="D1411" t="s">
        <v>1482</v>
      </c>
      <c r="E1411" t="s">
        <v>8</v>
      </c>
      <c r="F1411" s="13">
        <f>SUM(F1412:F1413)</f>
        <v>2.0010222559989101E-2</v>
      </c>
      <c r="G1411" s="13">
        <f t="shared" ref="G1411" si="892">SUM(G1412:G1413)</f>
        <v>2.1041422768125782E-2</v>
      </c>
      <c r="H1411" s="13">
        <f t="shared" ref="H1411" si="893">SUM(H1412:H1413)</f>
        <v>3.1299176328761988E-2</v>
      </c>
      <c r="I1411" s="13">
        <f t="shared" ref="I1411" si="894">SUM(I1412:I1413)</f>
        <v>4.4118048058940623E-2</v>
      </c>
      <c r="J1411" s="13">
        <f t="shared" ref="J1411" si="895">SUM(J1412:J1413)</f>
        <v>1.2624563436311612E-2</v>
      </c>
      <c r="K1411" s="13">
        <f t="shared" ref="K1411" si="896">SUM(K1412:K1413)</f>
        <v>4.3439547956235447E-2</v>
      </c>
    </row>
    <row r="1412" spans="1:11">
      <c r="A1412" t="s">
        <v>5</v>
      </c>
      <c r="B1412" s="5" t="str">
        <f t="shared" si="879"/>
        <v>SPS1</v>
      </c>
      <c r="C1412" s="5" t="str">
        <f t="shared" si="880"/>
        <v>CH</v>
      </c>
      <c r="D1412" t="s">
        <v>1483</v>
      </c>
      <c r="E1412" t="s">
        <v>8</v>
      </c>
      <c r="F1412" s="13">
        <f>[1]Transport!B$26/SUM([1]Transport!B$22,[1]Transport!B$26)*F1409*(F$33+F$580)/(F$33+F$580+F$36)</f>
        <v>2.0010222559989101E-2</v>
      </c>
      <c r="G1412" s="13">
        <f>[1]Transport!C$26/SUM([1]Transport!C$22,[1]Transport!C$26)*G1409*(G$33+G$580)/(G$33+G$580+G$36)</f>
        <v>2.1041422768125782E-2</v>
      </c>
      <c r="H1412" s="13">
        <f>[1]Transport!D$26/SUM([1]Transport!D$22,[1]Transport!D$26)*H1409*(H$33+H$580)/(H$33+H$580+H$36)</f>
        <v>3.1299176328761988E-2</v>
      </c>
      <c r="I1412" s="13">
        <f>[1]Transport!E$26/SUM([1]Transport!E$22,[1]Transport!E$26)*I1409*(I$33+I$580)/(I$33+I$580+I$36)</f>
        <v>4.4118048058940623E-2</v>
      </c>
      <c r="J1412" s="13">
        <f>[1]Transport!F$26/SUM([1]Transport!F$22,[1]Transport!F$26)*J1409*(J$33+J$580)/(J$33+J$580+J$36)</f>
        <v>1.2624477420489565E-2</v>
      </c>
      <c r="K1412" s="13">
        <f>[1]Transport!G$26/SUM([1]Transport!G$22,[1]Transport!G$26)*K1409*(K$33+K$580)/(K$33+K$580+K$36)</f>
        <v>9.1498086006153063E-3</v>
      </c>
    </row>
    <row r="1413" spans="1:11">
      <c r="A1413" t="s">
        <v>5</v>
      </c>
      <c r="B1413" s="5" t="str">
        <f t="shared" si="879"/>
        <v>SPS1</v>
      </c>
      <c r="C1413" s="5" t="str">
        <f t="shared" si="880"/>
        <v>CH</v>
      </c>
      <c r="D1413" t="s">
        <v>1484</v>
      </c>
      <c r="E1413" t="s">
        <v>8</v>
      </c>
      <c r="F1413" s="13">
        <f>(F$36+F$716)/([1]Transport!B$22+[1]Transport!B$26)*F1409</f>
        <v>0</v>
      </c>
      <c r="G1413" s="13">
        <f>(G$36+G$716)/([1]Transport!C$22+[1]Transport!C$26)*G1409</f>
        <v>0</v>
      </c>
      <c r="H1413" s="13">
        <f>(H$36+H$716)/([1]Transport!D$22+[1]Transport!D$26)*H1409</f>
        <v>0</v>
      </c>
      <c r="I1413" s="13">
        <f>(I$36+I$716)/([1]Transport!E$22+[1]Transport!E$26)*I1409</f>
        <v>0</v>
      </c>
      <c r="J1413" s="13">
        <f>(J$36+J$716)/([1]Transport!F$22+[1]Transport!F$26)*J1409</f>
        <v>8.6015822046088926E-8</v>
      </c>
      <c r="K1413" s="13">
        <f>(K$36+K$716)/([1]Transport!G$22+[1]Transport!G$26)*K1409</f>
        <v>3.4289739355620137E-2</v>
      </c>
    </row>
    <row r="1414" spans="1:11">
      <c r="A1414" t="s">
        <v>5</v>
      </c>
      <c r="B1414" s="5" t="str">
        <f t="shared" si="879"/>
        <v>SPS1</v>
      </c>
      <c r="C1414" s="5" t="str">
        <f t="shared" si="880"/>
        <v>CH</v>
      </c>
      <c r="D1414" t="s">
        <v>1485</v>
      </c>
      <c r="E1414" t="s">
        <v>8</v>
      </c>
      <c r="F1414" s="13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3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0.14208611917063327</v>
      </c>
      <c r="H1414" s="13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0.14209052060590238</v>
      </c>
      <c r="I1414" s="13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4.2051702804346884E-2</v>
      </c>
      <c r="J1414" s="13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4.661513564527246E-5</v>
      </c>
      <c r="K1414" s="13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3.9561621996061273E-2</v>
      </c>
    </row>
    <row r="1415" spans="1:11">
      <c r="A1415" t="s">
        <v>5</v>
      </c>
      <c r="B1415" s="5" t="str">
        <f t="shared" si="879"/>
        <v>SPS1</v>
      </c>
      <c r="C1415" s="5" t="str">
        <f t="shared" si="880"/>
        <v>CH</v>
      </c>
      <c r="D1415" t="s">
        <v>1486</v>
      </c>
      <c r="E1415" t="s">
        <v>8</v>
      </c>
      <c r="F1415" s="13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3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4.5168576441647547E-6</v>
      </c>
      <c r="H1415" s="13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9.4194626245637988E-6</v>
      </c>
      <c r="I1415" s="13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8.4136760315515945E-5</v>
      </c>
      <c r="J1415" s="13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4.489180288916247E-5</v>
      </c>
      <c r="K1415" s="13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8.6301826438332973E-6</v>
      </c>
    </row>
    <row r="1416" spans="1:11">
      <c r="A1416" t="s">
        <v>5</v>
      </c>
      <c r="B1416" s="5" t="str">
        <f t="shared" si="879"/>
        <v>SPS1</v>
      </c>
      <c r="C1416" s="5" t="str">
        <f t="shared" si="880"/>
        <v>CH</v>
      </c>
      <c r="D1416" t="s">
        <v>1487</v>
      </c>
      <c r="E1416" t="s">
        <v>8</v>
      </c>
      <c r="F1416" s="13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3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1.7649421151130628E-6</v>
      </c>
      <c r="H1416" s="13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2.3081244645659762E-6</v>
      </c>
      <c r="I1416" s="13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7.1107471945135961E-2</v>
      </c>
      <c r="J1416" s="13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1.4856930694959953E-4</v>
      </c>
      <c r="K1416" s="13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1.5021777731510082E-5</v>
      </c>
    </row>
    <row r="1417" spans="1:11">
      <c r="A1417" t="s">
        <v>5</v>
      </c>
      <c r="B1417" s="5" t="str">
        <f t="shared" si="879"/>
        <v>SPS1</v>
      </c>
      <c r="C1417" s="5" t="str">
        <f t="shared" si="880"/>
        <v>CH</v>
      </c>
      <c r="D1417" t="s">
        <v>1488</v>
      </c>
      <c r="E1417" t="s">
        <v>8</v>
      </c>
      <c r="F1417" s="13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3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13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0</v>
      </c>
      <c r="I1417" s="13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3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13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1:11">
      <c r="A1418" t="s">
        <v>5</v>
      </c>
      <c r="B1418" s="5" t="str">
        <f t="shared" si="879"/>
        <v>SPS1</v>
      </c>
      <c r="C1418" s="5" t="str">
        <f t="shared" si="880"/>
        <v>CH</v>
      </c>
      <c r="D1418" t="s">
        <v>1489</v>
      </c>
      <c r="E1418" t="s">
        <v>8</v>
      </c>
      <c r="F1418" s="13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6.0278900218543501E-3</v>
      </c>
      <c r="G1418" s="13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6.0131123904136304E-3</v>
      </c>
      <c r="H1418" s="13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5.9692915375368187E-3</v>
      </c>
      <c r="I1418" s="13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3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3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1:11">
      <c r="A1419" t="s">
        <v>5</v>
      </c>
      <c r="B1419" s="5" t="str">
        <f t="shared" si="879"/>
        <v>SPS1</v>
      </c>
      <c r="C1419" s="5" t="str">
        <f t="shared" si="880"/>
        <v>CH</v>
      </c>
      <c r="D1419" t="s">
        <v>1490</v>
      </c>
      <c r="E1419" t="s">
        <v>8</v>
      </c>
      <c r="F1419" s="13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0.1135593239504409</v>
      </c>
      <c r="G1419" s="13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0.13312445949212887</v>
      </c>
      <c r="H1419" s="13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0.20094742196185977</v>
      </c>
      <c r="I1419" s="13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0.32908548393174658</v>
      </c>
      <c r="J1419" s="13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0.33110895747678021</v>
      </c>
      <c r="K1419" s="13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2.9598139499328371E-6</v>
      </c>
    </row>
    <row r="1420" spans="1:11">
      <c r="A1420" t="s">
        <v>5</v>
      </c>
      <c r="B1420" s="5" t="str">
        <f t="shared" si="879"/>
        <v>SPS1</v>
      </c>
      <c r="C1420" s="5" t="str">
        <f t="shared" si="880"/>
        <v>CH</v>
      </c>
      <c r="D1420" t="s">
        <v>1491</v>
      </c>
      <c r="E1420" t="s">
        <v>8</v>
      </c>
      <c r="F1420" s="13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0.51973570915033196</v>
      </c>
      <c r="G1420" s="13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0.40140796491803371</v>
      </c>
      <c r="H1420" s="13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0.48856891394217333</v>
      </c>
      <c r="I1420" s="13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0.60523918671929255</v>
      </c>
      <c r="J1420" s="13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4.1850189167034299E-2</v>
      </c>
      <c r="K1420" s="13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2.8141535551583412E-6</v>
      </c>
    </row>
    <row r="1421" spans="1:11">
      <c r="A1421" t="s">
        <v>5</v>
      </c>
      <c r="B1421" s="5" t="str">
        <f t="shared" si="879"/>
        <v>SPS1</v>
      </c>
      <c r="C1421" s="5" t="str">
        <f t="shared" si="880"/>
        <v>CH</v>
      </c>
      <c r="D1421" t="s">
        <v>1492</v>
      </c>
      <c r="E1421" t="s">
        <v>8</v>
      </c>
      <c r="F1421" s="13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0.16251745650914873</v>
      </c>
      <c r="G1421" s="13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0.12920713314920143</v>
      </c>
      <c r="H1421" s="13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0.15689354643762007</v>
      </c>
      <c r="I1421" s="13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8.2120058338853594E-2</v>
      </c>
      <c r="J1421" s="13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7.8509501694608741E-2</v>
      </c>
      <c r="K1421" s="13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1.250421303286568E-6</v>
      </c>
    </row>
    <row r="1422" spans="1:11">
      <c r="A1422" t="s">
        <v>5</v>
      </c>
      <c r="B1422" s="5" t="str">
        <f t="shared" si="879"/>
        <v>SPS1</v>
      </c>
      <c r="C1422" s="5" t="str">
        <f t="shared" si="880"/>
        <v>CH</v>
      </c>
      <c r="D1422" t="s">
        <v>1493</v>
      </c>
      <c r="E1422" t="s">
        <v>8</v>
      </c>
      <c r="F1422" s="13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1.1607720926477914E-2</v>
      </c>
      <c r="G1422" s="13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0</v>
      </c>
      <c r="H1422" s="13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0</v>
      </c>
      <c r="I1422" s="13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3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13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1:11">
      <c r="A1423" t="s">
        <v>5</v>
      </c>
      <c r="B1423" s="5" t="str">
        <f t="shared" si="879"/>
        <v>SPS1</v>
      </c>
      <c r="C1423" s="5" t="str">
        <f t="shared" si="880"/>
        <v>CH</v>
      </c>
      <c r="D1423" t="s">
        <v>1494</v>
      </c>
      <c r="E1423" t="s">
        <v>8</v>
      </c>
      <c r="F1423" s="13">
        <f>SUM(F1428:F1432)</f>
        <v>1.3752069171936042E-4</v>
      </c>
      <c r="G1423" s="13">
        <f t="shared" ref="G1423" si="897">SUM(G1428:G1432)</f>
        <v>1.3724252407492629E-4</v>
      </c>
      <c r="H1423" s="13">
        <f t="shared" ref="H1423" si="898">SUM(H1428:H1432)</f>
        <v>5.3949895225457317E-4</v>
      </c>
      <c r="I1423" s="13">
        <f t="shared" ref="I1423" si="899">SUM(I1428:I1432)</f>
        <v>1.6022675821687118E-2</v>
      </c>
      <c r="J1423" s="13">
        <f t="shared" ref="J1423" si="900">SUM(J1428:J1432)</f>
        <v>4.2961879173361674E-2</v>
      </c>
      <c r="K1423" s="13">
        <f t="shared" ref="K1423" si="901">SUM(K1428:K1432)</f>
        <v>9.2183350565015598E-3</v>
      </c>
    </row>
    <row r="1424" spans="1:11">
      <c r="A1424" t="s">
        <v>5</v>
      </c>
      <c r="B1424" s="5" t="str">
        <f t="shared" si="879"/>
        <v>SPS1</v>
      </c>
      <c r="C1424" s="5" t="str">
        <f t="shared" si="880"/>
        <v>CH</v>
      </c>
      <c r="D1424" t="s">
        <v>1495</v>
      </c>
      <c r="E1424" t="s">
        <v>8</v>
      </c>
      <c r="F1424" s="13">
        <f>F1423-F1425</f>
        <v>1.2715278689898963E-4</v>
      </c>
      <c r="G1424" s="13">
        <f t="shared" ref="G1424" si="902">G1423-G1425</f>
        <v>1.1486486180325642E-4</v>
      </c>
      <c r="H1424" s="13">
        <f t="shared" ref="H1424" si="903">H1423-H1425</f>
        <v>5.0325436438829565E-4</v>
      </c>
      <c r="I1424" s="13">
        <f t="shared" ref="I1424" si="904">I1423-I1425</f>
        <v>1.6022653779131198E-2</v>
      </c>
      <c r="J1424" s="13">
        <f t="shared" ref="J1424" si="905">J1423-J1425</f>
        <v>-0.22768959566845517</v>
      </c>
      <c r="K1424" s="13">
        <f t="shared" ref="K1424" si="906">K1423-K1425</f>
        <v>9.2180101908315836E-3</v>
      </c>
    </row>
    <row r="1425" spans="1:11">
      <c r="A1425" t="s">
        <v>5</v>
      </c>
      <c r="B1425" s="5" t="str">
        <f t="shared" si="879"/>
        <v>SPS1</v>
      </c>
      <c r="C1425" s="5" t="str">
        <f t="shared" si="880"/>
        <v>CH</v>
      </c>
      <c r="D1425" t="s">
        <v>1496</v>
      </c>
      <c r="E1425" t="s">
        <v>8</v>
      </c>
      <c r="F1425" s="13">
        <f>SUM(F1426:F1427)</f>
        <v>1.0367904820370783E-5</v>
      </c>
      <c r="G1425" s="13">
        <f t="shared" ref="G1425" si="907">SUM(G1426:G1427)</f>
        <v>2.2377662271669877E-5</v>
      </c>
      <c r="H1425" s="13">
        <f t="shared" ref="H1425" si="908">SUM(H1426:H1427)</f>
        <v>3.6244587866277542E-5</v>
      </c>
      <c r="I1425" s="13">
        <f t="shared" ref="I1425" si="909">SUM(I1426:I1427)</f>
        <v>2.2042555918774237E-8</v>
      </c>
      <c r="J1425" s="13">
        <f t="shared" ref="J1425" si="910">SUM(J1426:J1427)</f>
        <v>0.27065147484181684</v>
      </c>
      <c r="K1425" s="13">
        <f t="shared" ref="K1425" si="911">SUM(K1426:K1427)</f>
        <v>3.2486566997559893E-7</v>
      </c>
    </row>
    <row r="1426" spans="1:11">
      <c r="A1426" t="s">
        <v>5</v>
      </c>
      <c r="B1426" s="5" t="str">
        <f t="shared" si="879"/>
        <v>SPS1</v>
      </c>
      <c r="C1426" s="5" t="str">
        <f t="shared" si="880"/>
        <v>CH</v>
      </c>
      <c r="D1426" t="s">
        <v>1497</v>
      </c>
      <c r="E1426" t="s">
        <v>8</v>
      </c>
      <c r="F1426" s="13">
        <f>[1]Transport!B$27/SUM([1]Transport!B$24,[1]Transport!B$27)*F1423*(F$45+F$612)/(F$45+F$612+F$47)</f>
        <v>1.0367904820370783E-5</v>
      </c>
      <c r="G1426" s="13">
        <f>[1]Transport!C$27/SUM([1]Transport!C$24,[1]Transport!C$27)*G1423*(G$45+G$612)/(G$45+G$612+G$47)</f>
        <v>2.2377662271669877E-5</v>
      </c>
      <c r="H1426" s="13">
        <f>[1]Transport!D$27/SUM([1]Transport!D$24,[1]Transport!D$27)*H1423*(H$45+H$612)/(H$45+H$612+H$47)</f>
        <v>3.6244587866277542E-5</v>
      </c>
      <c r="I1426" s="13">
        <f>[1]Transport!E$27/SUM([1]Transport!E$24,[1]Transport!E$27)*I1423*(I$45+I$612)/(I$45+I$612+I$47)</f>
        <v>2.2042555918774237E-8</v>
      </c>
      <c r="J1426" s="13">
        <f>[1]Transport!F$27/SUM([1]Transport!F$24,[1]Transport!F$27)*J1423*(J$45+J$612)/(J$45+J$612+J$47)</f>
        <v>4.976522518053616E-7</v>
      </c>
      <c r="K1426" s="13">
        <f>[1]Transport!G$27/SUM([1]Transport!G$24,[1]Transport!G$27)*K1423*(K$45+K$612)/(K$45+K$612+K$47)</f>
        <v>1.3532376743479581E-7</v>
      </c>
    </row>
    <row r="1427" spans="1:11">
      <c r="A1427" t="s">
        <v>5</v>
      </c>
      <c r="B1427" s="5" t="str">
        <f t="shared" si="879"/>
        <v>SPS1</v>
      </c>
      <c r="C1427" s="5" t="str">
        <f t="shared" si="880"/>
        <v>CH</v>
      </c>
      <c r="D1427" t="s">
        <v>1498</v>
      </c>
      <c r="E1427" t="s">
        <v>8</v>
      </c>
      <c r="F1427" s="13">
        <f>(F$47+F$714)/([1]Transport!B$24+[1]Transport!B$27)*F1423</f>
        <v>0</v>
      </c>
      <c r="G1427" s="13">
        <f>(G$47+G$714)/([1]Transport!C$24+[1]Transport!C$27)*G1423</f>
        <v>0</v>
      </c>
      <c r="H1427" s="13">
        <f>(H$47+H$714)/([1]Transport!D$24+[1]Transport!D$27)*H1423</f>
        <v>0</v>
      </c>
      <c r="I1427" s="13">
        <f>(I$47+I$714)/([1]Transport!E$24+[1]Transport!E$27)*I1423</f>
        <v>0</v>
      </c>
      <c r="J1427" s="13">
        <f>(J$47+J$714)/([1]Transport!F$24+[1]Transport!F$27)*J1423</f>
        <v>0.27065097718956505</v>
      </c>
      <c r="K1427" s="13">
        <f>(K$47+K$714)/([1]Transport!G$24+[1]Transport!G$27)*K1423</f>
        <v>1.8954190254080309E-7</v>
      </c>
    </row>
    <row r="1428" spans="1:11">
      <c r="A1428" t="s">
        <v>5</v>
      </c>
      <c r="B1428" s="5" t="str">
        <f t="shared" si="879"/>
        <v>SPS1</v>
      </c>
      <c r="C1428" s="5" t="str">
        <f t="shared" si="880"/>
        <v>CH</v>
      </c>
      <c r="D1428" t="s">
        <v>1499</v>
      </c>
      <c r="E1428" t="s">
        <v>8</v>
      </c>
      <c r="F1428" s="13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1.3752069171936042E-4</v>
      </c>
      <c r="G1428" s="13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1.3724252407492629E-4</v>
      </c>
      <c r="H1428" s="13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1.3635446566692287E-4</v>
      </c>
      <c r="I1428" s="13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3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3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1:11">
      <c r="A1429" t="s">
        <v>5</v>
      </c>
      <c r="B1429" s="5" t="str">
        <f t="shared" si="879"/>
        <v>SPS1</v>
      </c>
      <c r="C1429" s="5" t="str">
        <f t="shared" si="880"/>
        <v>CH</v>
      </c>
      <c r="D1429" t="s">
        <v>1500</v>
      </c>
      <c r="E1429" t="s">
        <v>8</v>
      </c>
      <c r="F1429" s="13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3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0</v>
      </c>
      <c r="H1429" s="13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1.5166129567802014E-5</v>
      </c>
      <c r="I1429" s="13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1.4841013121070091E-5</v>
      </c>
      <c r="J1429" s="13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4.4822228052376475E-5</v>
      </c>
      <c r="K1429" s="13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1.1265759496233355E-5</v>
      </c>
    </row>
    <row r="1430" spans="1:11">
      <c r="A1430" t="s">
        <v>5</v>
      </c>
      <c r="B1430" s="5" t="str">
        <f t="shared" si="879"/>
        <v>SPS1</v>
      </c>
      <c r="C1430" s="5" t="str">
        <f t="shared" si="880"/>
        <v>CH</v>
      </c>
      <c r="D1430" t="s">
        <v>1501</v>
      </c>
      <c r="E1430" t="s">
        <v>8</v>
      </c>
      <c r="F1430" s="13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3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0</v>
      </c>
      <c r="H1430" s="13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2.0565646800737292E-5</v>
      </c>
      <c r="I1430" s="13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4.0628181675473213E-5</v>
      </c>
      <c r="J1430" s="13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3.5115981786204505E-5</v>
      </c>
      <c r="K1430" s="13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5.6733576125310538E-6</v>
      </c>
    </row>
    <row r="1431" spans="1:11">
      <c r="A1431" t="s">
        <v>5</v>
      </c>
      <c r="B1431" s="5" t="str">
        <f t="shared" si="879"/>
        <v>SPS1</v>
      </c>
      <c r="C1431" s="5" t="str">
        <f t="shared" si="880"/>
        <v>CH</v>
      </c>
      <c r="D1431" t="s">
        <v>1502</v>
      </c>
      <c r="E1431" t="s">
        <v>8</v>
      </c>
      <c r="F1431" s="13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3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0</v>
      </c>
      <c r="H1431" s="13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3.6741271021911102E-4</v>
      </c>
      <c r="I1431" s="13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1.5967206626890575E-2</v>
      </c>
      <c r="J1431" s="13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4.2881940963523095E-2</v>
      </c>
      <c r="K1431" s="13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9.2013959393927956E-3</v>
      </c>
    </row>
    <row r="1432" spans="1:11">
      <c r="A1432" t="s">
        <v>5</v>
      </c>
      <c r="B1432" s="5" t="str">
        <f t="shared" si="879"/>
        <v>SPS1</v>
      </c>
      <c r="C1432" s="5" t="str">
        <f t="shared" si="880"/>
        <v>CH</v>
      </c>
      <c r="D1432" t="s">
        <v>1503</v>
      </c>
      <c r="E1432" t="s">
        <v>8</v>
      </c>
      <c r="F1432" s="13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3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3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0</v>
      </c>
      <c r="I1432" s="13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3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3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1:11">
      <c r="A1433" t="s">
        <v>5</v>
      </c>
      <c r="B1433" s="5" t="str">
        <f>B1432</f>
        <v>SPS1</v>
      </c>
      <c r="C1433" s="5" t="str">
        <f>C1432</f>
        <v>CH</v>
      </c>
      <c r="D1433" s="1" t="s">
        <v>1466</v>
      </c>
      <c r="E1433" s="1" t="s">
        <v>1199</v>
      </c>
      <c r="F1433" s="16">
        <f>SUM(F1434:F1456)</f>
        <v>0.13094033790060236</v>
      </c>
      <c r="G1433" s="16">
        <f t="shared" ref="G1433" si="912">SUM(G1434:G1456)</f>
        <v>0.13163042450293627</v>
      </c>
      <c r="H1433" s="16">
        <f t="shared" ref="H1433" si="913">SUM(H1434:H1456)</f>
        <v>0.13266884386712885</v>
      </c>
      <c r="I1433" s="16">
        <f t="shared" ref="I1433" si="914">SUM(I1434:I1456)</f>
        <v>0.13440420565116667</v>
      </c>
      <c r="J1433" s="16">
        <f t="shared" ref="J1433" si="915">SUM(J1434:J1456)</f>
        <v>0.13471857300699944</v>
      </c>
      <c r="K1433" s="16">
        <f t="shared" ref="K1433" si="916">SUM(K1434:K1456)</f>
        <v>0.13113663411232004</v>
      </c>
    </row>
    <row r="1434" spans="1:11">
      <c r="A1434" t="s">
        <v>5</v>
      </c>
      <c r="B1434" s="5" t="str">
        <f>B1433</f>
        <v>SPS1</v>
      </c>
      <c r="C1434" s="5" t="str">
        <f>C1433</f>
        <v>CH</v>
      </c>
      <c r="D1434" t="s">
        <v>1504</v>
      </c>
      <c r="E1434" t="str">
        <f>E1433</f>
        <v>billion km/yr.</v>
      </c>
      <c r="F1434" s="13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3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3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3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3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3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1:11">
      <c r="A1435" t="s">
        <v>5</v>
      </c>
      <c r="B1435" s="5" t="str">
        <f t="shared" ref="B1435:B1456" si="917">B1434</f>
        <v>SPS1</v>
      </c>
      <c r="C1435" s="5" t="str">
        <f t="shared" ref="C1435:C1456" si="918">C1434</f>
        <v>CH</v>
      </c>
      <c r="D1435" t="s">
        <v>1505</v>
      </c>
      <c r="E1435" t="str">
        <f t="shared" ref="E1435:E1456" si="919">E1434</f>
        <v>billion km/yr.</v>
      </c>
      <c r="F1435" s="13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4.5446378371484262E-5</v>
      </c>
      <c r="G1435" s="13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1.2375710902820145E-4</v>
      </c>
      <c r="H1435" s="13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2.9908751724406639E-4</v>
      </c>
      <c r="I1435" s="13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5.7021301468053419E-3</v>
      </c>
      <c r="J1435" s="13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1.2160550324145571E-2</v>
      </c>
      <c r="K1435" s="13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5.071475821489238E-2</v>
      </c>
    </row>
    <row r="1436" spans="1:11">
      <c r="A1436" t="s">
        <v>5</v>
      </c>
      <c r="B1436" s="5" t="str">
        <f t="shared" si="917"/>
        <v>SPS1</v>
      </c>
      <c r="C1436" s="5" t="str">
        <f t="shared" si="918"/>
        <v>CH</v>
      </c>
      <c r="D1436" t="s">
        <v>1506</v>
      </c>
      <c r="E1436" t="str">
        <f t="shared" si="919"/>
        <v>billion km/yr.</v>
      </c>
      <c r="F1436" s="13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1.2345734783512482E-4</v>
      </c>
      <c r="G1436" s="13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8.9142272877561782E-6</v>
      </c>
      <c r="H1436" s="13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1.4215165358988347E-5</v>
      </c>
      <c r="I1436" s="13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1.5927394929877448E-5</v>
      </c>
      <c r="J1436" s="13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4.055472216039329E-2</v>
      </c>
      <c r="K1436" s="13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3.7789660877031721E-2</v>
      </c>
    </row>
    <row r="1437" spans="1:11">
      <c r="A1437" t="s">
        <v>5</v>
      </c>
      <c r="B1437" s="5" t="str">
        <f t="shared" si="917"/>
        <v>SPS1</v>
      </c>
      <c r="C1437" s="5" t="str">
        <f t="shared" si="918"/>
        <v>CH</v>
      </c>
      <c r="D1437" t="s">
        <v>1507</v>
      </c>
      <c r="E1437" t="str">
        <f t="shared" si="919"/>
        <v>billion km/yr.</v>
      </c>
      <c r="F1437" s="13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2.6350053034071374E-5</v>
      </c>
      <c r="G1437" s="13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2.2006006944839962E-5</v>
      </c>
      <c r="H1437" s="13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2.9584056446741419E-5</v>
      </c>
      <c r="I1437" s="13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1.5345526977979869E-5</v>
      </c>
      <c r="J1437" s="13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2.1562436111557596E-3</v>
      </c>
      <c r="K1437" s="13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7.4706082720247104E-4</v>
      </c>
    </row>
    <row r="1438" spans="1:11">
      <c r="A1438" t="s">
        <v>5</v>
      </c>
      <c r="B1438" s="5" t="str">
        <f t="shared" si="917"/>
        <v>SPS1</v>
      </c>
      <c r="C1438" s="5" t="str">
        <f t="shared" si="918"/>
        <v>CH</v>
      </c>
      <c r="D1438" t="s">
        <v>1508</v>
      </c>
      <c r="E1438" t="str">
        <f t="shared" si="919"/>
        <v>billion km/yr.</v>
      </c>
      <c r="F1438" s="13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3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0</v>
      </c>
      <c r="H1438" s="13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0</v>
      </c>
      <c r="I1438" s="13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0</v>
      </c>
      <c r="J1438" s="13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0</v>
      </c>
      <c r="K1438" s="13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0</v>
      </c>
    </row>
    <row r="1439" spans="1:11">
      <c r="A1439" t="s">
        <v>5</v>
      </c>
      <c r="B1439" s="5" t="str">
        <f t="shared" si="917"/>
        <v>SPS1</v>
      </c>
      <c r="C1439" s="5" t="str">
        <f t="shared" si="918"/>
        <v>CH</v>
      </c>
      <c r="D1439" t="s">
        <v>1509</v>
      </c>
      <c r="E1439" t="str">
        <f t="shared" si="919"/>
        <v>billion km/yr.</v>
      </c>
      <c r="F1439" s="13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3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3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3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5.2957319206931586E-3</v>
      </c>
      <c r="J1439" s="13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5.993570533063176E-4</v>
      </c>
      <c r="K1439" s="13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3.5367513780573631E-3</v>
      </c>
    </row>
    <row r="1440" spans="1:11">
      <c r="A1440" t="s">
        <v>5</v>
      </c>
      <c r="B1440" s="5" t="str">
        <f t="shared" si="917"/>
        <v>SPS1</v>
      </c>
      <c r="C1440" s="5" t="str">
        <f t="shared" si="918"/>
        <v>CH</v>
      </c>
      <c r="D1440" t="s">
        <v>1510</v>
      </c>
      <c r="E1440" t="str">
        <f t="shared" si="919"/>
        <v>billion km/yr.</v>
      </c>
      <c r="F1440" s="13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3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3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3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1.3145953847629603E-6</v>
      </c>
      <c r="J1440" s="13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1.2664281869940265E-2</v>
      </c>
      <c r="K1440" s="13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1.8215123509621466E-2</v>
      </c>
    </row>
    <row r="1441" spans="1:11">
      <c r="A1441" t="s">
        <v>5</v>
      </c>
      <c r="B1441" s="5" t="str">
        <f t="shared" si="917"/>
        <v>SPS1</v>
      </c>
      <c r="C1441" s="5" t="str">
        <f t="shared" si="918"/>
        <v>CH</v>
      </c>
      <c r="D1441" t="s">
        <v>1511</v>
      </c>
      <c r="E1441" t="str">
        <f t="shared" si="919"/>
        <v>billion km/yr.</v>
      </c>
      <c r="F1441" s="13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3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3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3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3.1843157541324013E-7</v>
      </c>
      <c r="J1441" s="13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1.5181952611062577E-3</v>
      </c>
      <c r="K1441" s="13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1.0575736725967275E-2</v>
      </c>
    </row>
    <row r="1442" spans="1:11">
      <c r="A1442" t="s">
        <v>5</v>
      </c>
      <c r="B1442" s="5" t="str">
        <f t="shared" si="917"/>
        <v>SPS1</v>
      </c>
      <c r="C1442" s="5" t="str">
        <f t="shared" si="918"/>
        <v>CH</v>
      </c>
      <c r="D1442" t="s">
        <v>1512</v>
      </c>
      <c r="E1442" t="str">
        <f t="shared" si="919"/>
        <v>billion km/yr.</v>
      </c>
      <c r="F1442" s="13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3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3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3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3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0</v>
      </c>
      <c r="K1442" s="13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1:11">
      <c r="A1443" t="s">
        <v>5</v>
      </c>
      <c r="B1443" s="5" t="str">
        <f t="shared" si="917"/>
        <v>SPS1</v>
      </c>
      <c r="C1443" s="5" t="str">
        <f t="shared" si="918"/>
        <v>CH</v>
      </c>
      <c r="D1443" t="s">
        <v>1513</v>
      </c>
      <c r="E1443" t="str">
        <f t="shared" si="919"/>
        <v>billion km/yr.</v>
      </c>
      <c r="F1443" s="13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3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2.3090940900848855E-2</v>
      </c>
      <c r="H1443" s="13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2.3091731506931116E-2</v>
      </c>
      <c r="I1443" s="13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7.7523457412404743E-3</v>
      </c>
      <c r="J1443" s="13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9.2645792365706917E-6</v>
      </c>
      <c r="K1443" s="13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8.8985593848958707E-3</v>
      </c>
    </row>
    <row r="1444" spans="1:11">
      <c r="A1444" t="s">
        <v>5</v>
      </c>
      <c r="B1444" s="5" t="str">
        <f t="shared" si="917"/>
        <v>SPS1</v>
      </c>
      <c r="C1444" s="5" t="str">
        <f t="shared" si="918"/>
        <v>CH</v>
      </c>
      <c r="D1444" t="s">
        <v>1514</v>
      </c>
      <c r="E1444" t="str">
        <f t="shared" si="919"/>
        <v>billion km/yr.</v>
      </c>
      <c r="F1444" s="13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3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5.2618651790123675E-7</v>
      </c>
      <c r="H1444" s="13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1.1273981943093587E-6</v>
      </c>
      <c r="I1444" s="13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1.1015134861579637E-5</v>
      </c>
      <c r="J1444" s="13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6.2642402106112444E-6</v>
      </c>
      <c r="K1444" s="13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1.3146380354546995E-6</v>
      </c>
    </row>
    <row r="1445" spans="1:11">
      <c r="A1445" t="s">
        <v>5</v>
      </c>
      <c r="B1445" s="5" t="str">
        <f t="shared" si="917"/>
        <v>SPS1</v>
      </c>
      <c r="C1445" s="5" t="str">
        <f t="shared" si="918"/>
        <v>CH</v>
      </c>
      <c r="D1445" t="s">
        <v>1515</v>
      </c>
      <c r="E1445" t="str">
        <f t="shared" si="919"/>
        <v>billion km/yr.</v>
      </c>
      <c r="F1445" s="13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3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1.380817080384139E-7</v>
      </c>
      <c r="H1445" s="13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1.8504350519550617E-7</v>
      </c>
      <c r="I1445" s="13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6.3153498431743147E-3</v>
      </c>
      <c r="J1445" s="13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1.4218473956881888E-5</v>
      </c>
      <c r="K1445" s="13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1.4984077587288076E-6</v>
      </c>
    </row>
    <row r="1446" spans="1:11">
      <c r="A1446" t="s">
        <v>5</v>
      </c>
      <c r="B1446" s="5" t="str">
        <f t="shared" si="917"/>
        <v>SPS1</v>
      </c>
      <c r="C1446" s="5" t="str">
        <f t="shared" si="918"/>
        <v>CH</v>
      </c>
      <c r="D1446" t="s">
        <v>1516</v>
      </c>
      <c r="E1446" t="str">
        <f t="shared" si="919"/>
        <v>billion km/yr.</v>
      </c>
      <c r="F1446" s="13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3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13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0</v>
      </c>
      <c r="I1446" s="13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3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13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1:11">
      <c r="A1447" t="s">
        <v>5</v>
      </c>
      <c r="B1447" s="5" t="str">
        <f t="shared" si="917"/>
        <v>SPS1</v>
      </c>
      <c r="C1447" s="5" t="str">
        <f t="shared" si="918"/>
        <v>CH</v>
      </c>
      <c r="D1447" t="s">
        <v>1517</v>
      </c>
      <c r="E1447" t="str">
        <f t="shared" si="919"/>
        <v>billion km/yr.</v>
      </c>
      <c r="F1447" s="13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5.9979010243812345E-2</v>
      </c>
      <c r="G1447" s="13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4.7982993198446476E-2</v>
      </c>
      <c r="H1447" s="13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2.9989375878650613E-2</v>
      </c>
      <c r="I1447" s="13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3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3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1:11">
      <c r="A1448" t="s">
        <v>5</v>
      </c>
      <c r="B1448" s="5" t="str">
        <f t="shared" si="917"/>
        <v>SPS1</v>
      </c>
      <c r="C1448" s="5" t="str">
        <f t="shared" si="918"/>
        <v>CH</v>
      </c>
      <c r="D1448" t="s">
        <v>1518</v>
      </c>
      <c r="E1448" t="str">
        <f t="shared" si="919"/>
        <v>billion km/yr.</v>
      </c>
      <c r="F1448" s="13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1.4072176884208769E-2</v>
      </c>
      <c r="G1448" s="13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1.6541838129241045E-2</v>
      </c>
      <c r="H1448" s="13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2.5727199591878063E-2</v>
      </c>
      <c r="I1448" s="13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4.5975669154879273E-2</v>
      </c>
      <c r="J1448" s="13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5.2102051694819088E-2</v>
      </c>
      <c r="K1448" s="13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4.8118337389004483E-7</v>
      </c>
    </row>
    <row r="1449" spans="1:11">
      <c r="A1449" t="s">
        <v>5</v>
      </c>
      <c r="B1449" s="5" t="str">
        <f t="shared" si="917"/>
        <v>SPS1</v>
      </c>
      <c r="C1449" s="5" t="str">
        <f t="shared" si="918"/>
        <v>CH</v>
      </c>
      <c r="D1449" t="s">
        <v>1519</v>
      </c>
      <c r="E1449" t="str">
        <f t="shared" si="919"/>
        <v>billion km/yr.</v>
      </c>
      <c r="F1449" s="13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4.5459124321345266E-2</v>
      </c>
      <c r="G1449" s="13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3.5247538430284012E-2</v>
      </c>
      <c r="H1449" s="13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4.3543737632089421E-2</v>
      </c>
      <c r="I1449" s="13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5.7369880283541126E-2</v>
      </c>
      <c r="J1449" s="13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4.3068739938358991E-3</v>
      </c>
      <c r="K1449" s="13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3.1108049979515256E-7</v>
      </c>
    </row>
    <row r="1450" spans="1:11">
      <c r="A1450" t="s">
        <v>5</v>
      </c>
      <c r="B1450" s="5" t="str">
        <f t="shared" si="917"/>
        <v>SPS1</v>
      </c>
      <c r="C1450" s="5" t="str">
        <f t="shared" si="918"/>
        <v>CH</v>
      </c>
      <c r="D1450" t="s">
        <v>1520</v>
      </c>
      <c r="E1450" t="str">
        <f t="shared" si="919"/>
        <v>billion km/yr.</v>
      </c>
      <c r="F1450" s="13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9.4178098942796218E-3</v>
      </c>
      <c r="G1450" s="13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7.517016395308317E-3</v>
      </c>
      <c r="H1450" s="13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9.2629910859104766E-3</v>
      </c>
      <c r="I1450" s="13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4.9193916531187669E-3</v>
      </c>
      <c r="J1450" s="13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5.6270615772017162E-3</v>
      </c>
      <c r="K1450" s="13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9.3994841278475298E-8</v>
      </c>
    </row>
    <row r="1451" spans="1:11">
      <c r="A1451" t="s">
        <v>5</v>
      </c>
      <c r="B1451" s="5" t="str">
        <f t="shared" si="917"/>
        <v>SPS1</v>
      </c>
      <c r="C1451" s="5" t="str">
        <f t="shared" si="918"/>
        <v>CH</v>
      </c>
      <c r="D1451" t="s">
        <v>1521</v>
      </c>
      <c r="E1451" t="str">
        <f t="shared" si="919"/>
        <v>billion km/yr.</v>
      </c>
      <c r="F1451" s="13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4.4859757074161707E-4</v>
      </c>
      <c r="G1451" s="13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0</v>
      </c>
      <c r="H1451" s="13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0</v>
      </c>
      <c r="I1451" s="13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3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13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1:11">
      <c r="A1452" t="s">
        <v>5</v>
      </c>
      <c r="B1452" s="5" t="str">
        <f t="shared" si="917"/>
        <v>SPS1</v>
      </c>
      <c r="C1452" s="5" t="str">
        <f t="shared" si="918"/>
        <v>CH</v>
      </c>
      <c r="D1452" t="s">
        <v>1522</v>
      </c>
      <c r="E1452" t="str">
        <f t="shared" si="919"/>
        <v>billion km/yr.</v>
      </c>
      <c r="F1452" s="13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1.3683652069740727E-3</v>
      </c>
      <c r="G1452" s="13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1.0947558373208374E-3</v>
      </c>
      <c r="H1452" s="13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6.8403848784373208E-4</v>
      </c>
      <c r="I1452" s="13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3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3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1:11">
      <c r="A1453" t="s">
        <v>5</v>
      </c>
      <c r="B1453" s="5" t="str">
        <f t="shared" si="917"/>
        <v>SPS1</v>
      </c>
      <c r="C1453" s="5" t="str">
        <f t="shared" si="918"/>
        <v>CH</v>
      </c>
      <c r="D1453" t="s">
        <v>1523</v>
      </c>
      <c r="E1453" t="str">
        <f t="shared" si="919"/>
        <v>billion km/yr.</v>
      </c>
      <c r="F1453" s="13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3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0</v>
      </c>
      <c r="H1453" s="13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1.9230747265210645E-6</v>
      </c>
      <c r="I1453" s="13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1.9601592114764334E-6</v>
      </c>
      <c r="J1453" s="13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6.7638481249086241E-6</v>
      </c>
      <c r="K1453" s="13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1.7623283630490573E-6</v>
      </c>
    </row>
    <row r="1454" spans="1:11">
      <c r="A1454" t="s">
        <v>5</v>
      </c>
      <c r="B1454" s="5" t="str">
        <f t="shared" si="917"/>
        <v>SPS1</v>
      </c>
      <c r="C1454" s="5" t="str">
        <f t="shared" si="918"/>
        <v>CH</v>
      </c>
      <c r="D1454" t="s">
        <v>1524</v>
      </c>
      <c r="E1454" t="str">
        <f t="shared" si="919"/>
        <v>billion km/yr.</v>
      </c>
      <c r="F1454" s="13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3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0</v>
      </c>
      <c r="H1454" s="13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1.8390492714330966E-6</v>
      </c>
      <c r="I1454" s="13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3.7773208828938836E-6</v>
      </c>
      <c r="J1454" s="13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3.6418136787795031E-6</v>
      </c>
      <c r="K1454" s="13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6.0832101321296182E-7</v>
      </c>
    </row>
    <row r="1455" spans="1:11">
      <c r="A1455" t="s">
        <v>5</v>
      </c>
      <c r="B1455" s="5" t="str">
        <f t="shared" si="917"/>
        <v>SPS1</v>
      </c>
      <c r="C1455" s="5" t="str">
        <f t="shared" si="918"/>
        <v>CH</v>
      </c>
      <c r="D1455" t="s">
        <v>1525</v>
      </c>
      <c r="E1455" t="str">
        <f t="shared" si="919"/>
        <v>billion km/yr.</v>
      </c>
      <c r="F1455" s="13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3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0</v>
      </c>
      <c r="H1455" s="13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2.180837907816839E-5</v>
      </c>
      <c r="I1455" s="13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1.0240483438902622E-3</v>
      </c>
      <c r="J1455" s="13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2.9890825058874948E-3</v>
      </c>
      <c r="K1455" s="13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6.5291324076609074E-4</v>
      </c>
    </row>
    <row r="1456" spans="1:11">
      <c r="A1456" t="s">
        <v>5</v>
      </c>
      <c r="B1456" s="5" t="str">
        <f t="shared" si="917"/>
        <v>SPS1</v>
      </c>
      <c r="C1456" s="5" t="str">
        <f t="shared" si="918"/>
        <v>CH</v>
      </c>
      <c r="D1456" t="s">
        <v>1526</v>
      </c>
      <c r="E1456" t="str">
        <f t="shared" si="919"/>
        <v>billion km/yr.</v>
      </c>
      <c r="F1456" s="13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3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3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0</v>
      </c>
      <c r="I1456" s="13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3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3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1:11">
      <c r="A1457" t="s">
        <v>5</v>
      </c>
      <c r="B1457" s="5" t="str">
        <f>B1456</f>
        <v>SPS1</v>
      </c>
      <c r="C1457" s="5" t="str">
        <f>C1456</f>
        <v>CH</v>
      </c>
      <c r="D1457" s="1" t="s">
        <v>1467</v>
      </c>
      <c r="E1457" s="1" t="s">
        <v>1297</v>
      </c>
      <c r="F1457" s="25" t="s">
        <v>295</v>
      </c>
      <c r="G1457" s="25" t="s">
        <v>295</v>
      </c>
      <c r="H1457" s="25" t="s">
        <v>295</v>
      </c>
      <c r="I1457" s="25" t="s">
        <v>295</v>
      </c>
      <c r="J1457" s="25" t="s">
        <v>295</v>
      </c>
      <c r="K1457" s="25" t="s">
        <v>295</v>
      </c>
    </row>
    <row r="1458" spans="1:11">
      <c r="A1458" t="s">
        <v>5</v>
      </c>
      <c r="B1458" s="5" t="str">
        <f t="shared" ref="B1458:B1480" si="920">B1457</f>
        <v>SPS1</v>
      </c>
      <c r="C1458" s="5" t="str">
        <f t="shared" ref="C1458:C1480" si="921">C1457</f>
        <v>CH</v>
      </c>
      <c r="D1458" t="s">
        <v>1527</v>
      </c>
      <c r="E1458" t="s">
        <v>1297</v>
      </c>
      <c r="F1458" s="13" t="str">
        <f>IFERROR(F1434/F1399,"-")</f>
        <v>-</v>
      </c>
      <c r="G1458" s="13" t="str">
        <f t="shared" ref="G1458:K1458" si="922">IFERROR(G1434/G1399,"-")</f>
        <v>-</v>
      </c>
      <c r="H1458" s="13" t="str">
        <f t="shared" si="922"/>
        <v>-</v>
      </c>
      <c r="I1458" s="13" t="str">
        <f t="shared" si="922"/>
        <v>-</v>
      </c>
      <c r="J1458" s="13" t="str">
        <f t="shared" si="922"/>
        <v>-</v>
      </c>
      <c r="K1458" s="13" t="str">
        <f t="shared" si="922"/>
        <v>-</v>
      </c>
    </row>
    <row r="1459" spans="1:11">
      <c r="A1459" t="s">
        <v>5</v>
      </c>
      <c r="B1459" s="5" t="str">
        <f t="shared" si="920"/>
        <v>SPS1</v>
      </c>
      <c r="C1459" s="5" t="str">
        <f t="shared" si="921"/>
        <v>CH</v>
      </c>
      <c r="D1459" t="s">
        <v>1528</v>
      </c>
      <c r="E1459" t="s">
        <v>1297</v>
      </c>
      <c r="F1459" s="13">
        <f t="shared" ref="F1459:K1459" si="923">IFERROR(F1435/F1400,"-")</f>
        <v>0.37869321701871778</v>
      </c>
      <c r="G1459" s="13">
        <f t="shared" si="923"/>
        <v>0.38478070449974</v>
      </c>
      <c r="H1459" s="13">
        <f t="shared" si="923"/>
        <v>0.39627523877441112</v>
      </c>
      <c r="I1459" s="13">
        <f t="shared" si="923"/>
        <v>0.44734775049747449</v>
      </c>
      <c r="J1459" s="13">
        <f t="shared" si="923"/>
        <v>0.4837167221788391</v>
      </c>
      <c r="K1459" s="13">
        <f t="shared" si="923"/>
        <v>0.53764784173041524</v>
      </c>
    </row>
    <row r="1460" spans="1:11">
      <c r="A1460" t="s">
        <v>5</v>
      </c>
      <c r="B1460" s="5" t="str">
        <f t="shared" si="920"/>
        <v>SPS1</v>
      </c>
      <c r="C1460" s="5" t="str">
        <f t="shared" si="921"/>
        <v>CH</v>
      </c>
      <c r="D1460" t="s">
        <v>1529</v>
      </c>
      <c r="E1460" t="s">
        <v>1297</v>
      </c>
      <c r="F1460" s="13">
        <f t="shared" ref="F1460:K1460" si="924">IFERROR(F1436/F1401,"-")</f>
        <v>0.27518070496490699</v>
      </c>
      <c r="G1460" s="13">
        <f t="shared" si="924"/>
        <v>0.28001469998567963</v>
      </c>
      <c r="H1460" s="13">
        <f t="shared" si="924"/>
        <v>0.28148959323274042</v>
      </c>
      <c r="I1460" s="13">
        <f t="shared" si="924"/>
        <v>0.32228653953454439</v>
      </c>
      <c r="J1460" s="13">
        <f t="shared" si="924"/>
        <v>0.35109552609042621</v>
      </c>
      <c r="K1460" s="13">
        <f t="shared" si="924"/>
        <v>0.37676157502895491</v>
      </c>
    </row>
    <row r="1461" spans="1:11">
      <c r="A1461" t="s">
        <v>5</v>
      </c>
      <c r="B1461" s="5" t="str">
        <f t="shared" si="920"/>
        <v>SPS1</v>
      </c>
      <c r="C1461" s="5" t="str">
        <f t="shared" si="921"/>
        <v>CH</v>
      </c>
      <c r="D1461" t="s">
        <v>1530</v>
      </c>
      <c r="E1461" t="s">
        <v>1297</v>
      </c>
      <c r="F1461" s="13">
        <f t="shared" ref="F1461:K1461" si="925">IFERROR(F1437/F1402,"-")</f>
        <v>0.18297040713439894</v>
      </c>
      <c r="G1461" s="13">
        <f t="shared" si="925"/>
        <v>0.18297040713439891</v>
      </c>
      <c r="H1461" s="13">
        <f t="shared" si="925"/>
        <v>0.18297040713439902</v>
      </c>
      <c r="I1461" s="13">
        <f t="shared" si="925"/>
        <v>0.185399911598955</v>
      </c>
      <c r="J1461" s="13">
        <f t="shared" si="925"/>
        <v>0.23903619616693705</v>
      </c>
      <c r="K1461" s="13">
        <f t="shared" si="925"/>
        <v>0.23939243833284357</v>
      </c>
    </row>
    <row r="1462" spans="1:11">
      <c r="A1462" t="s">
        <v>5</v>
      </c>
      <c r="B1462" s="5" t="str">
        <f t="shared" si="920"/>
        <v>SPS1</v>
      </c>
      <c r="C1462" s="5" t="str">
        <f t="shared" si="921"/>
        <v>CH</v>
      </c>
      <c r="D1462" t="s">
        <v>1531</v>
      </c>
      <c r="E1462" t="s">
        <v>1297</v>
      </c>
      <c r="F1462" s="13" t="str">
        <f t="shared" ref="F1462:K1462" si="926">IFERROR(F1438/F1403,"-")</f>
        <v>-</v>
      </c>
      <c r="G1462" s="13" t="str">
        <f t="shared" si="926"/>
        <v>-</v>
      </c>
      <c r="H1462" s="13" t="str">
        <f t="shared" si="926"/>
        <v>-</v>
      </c>
      <c r="I1462" s="13" t="str">
        <f t="shared" si="926"/>
        <v>-</v>
      </c>
      <c r="J1462" s="13" t="str">
        <f t="shared" si="926"/>
        <v>-</v>
      </c>
      <c r="K1462" s="13" t="str">
        <f t="shared" si="926"/>
        <v>-</v>
      </c>
    </row>
    <row r="1463" spans="1:11">
      <c r="A1463" t="s">
        <v>5</v>
      </c>
      <c r="B1463" s="5" t="str">
        <f t="shared" si="920"/>
        <v>SPS1</v>
      </c>
      <c r="C1463" s="5" t="str">
        <f t="shared" si="921"/>
        <v>CH</v>
      </c>
      <c r="D1463" t="s">
        <v>1532</v>
      </c>
      <c r="E1463" t="s">
        <v>1297</v>
      </c>
      <c r="F1463" s="13" t="str">
        <f>IFERROR(F1439/F1405,"-")</f>
        <v>-</v>
      </c>
      <c r="G1463" s="13" t="str">
        <f t="shared" ref="G1463:K1463" si="927">IFERROR(G1439/G1405,"-")</f>
        <v>-</v>
      </c>
      <c r="H1463" s="13" t="str">
        <f t="shared" si="927"/>
        <v>-</v>
      </c>
      <c r="I1463" s="13">
        <f t="shared" si="927"/>
        <v>0.23440176174444088</v>
      </c>
      <c r="J1463" s="13">
        <f t="shared" si="927"/>
        <v>0.2675593073121672</v>
      </c>
      <c r="K1463" s="13">
        <f t="shared" si="927"/>
        <v>0.30092176496475492</v>
      </c>
    </row>
    <row r="1464" spans="1:11">
      <c r="A1464" t="s">
        <v>5</v>
      </c>
      <c r="B1464" s="5" t="str">
        <f t="shared" si="920"/>
        <v>SPS1</v>
      </c>
      <c r="C1464" s="5" t="str">
        <f t="shared" si="921"/>
        <v>CH</v>
      </c>
      <c r="D1464" t="s">
        <v>1533</v>
      </c>
      <c r="E1464" t="s">
        <v>1297</v>
      </c>
      <c r="F1464" s="13" t="str">
        <f t="shared" ref="F1464:K1464" si="928">IFERROR(F1440/F1406,"-")</f>
        <v>-</v>
      </c>
      <c r="G1464" s="13" t="str">
        <f t="shared" si="928"/>
        <v>-</v>
      </c>
      <c r="H1464" s="13" t="str">
        <f t="shared" si="928"/>
        <v>-</v>
      </c>
      <c r="I1464" s="13">
        <f t="shared" si="928"/>
        <v>0.16910151451049593</v>
      </c>
      <c r="J1464" s="13">
        <f t="shared" si="928"/>
        <v>0.18153811203774683</v>
      </c>
      <c r="K1464" s="13">
        <f t="shared" si="928"/>
        <v>0.21346128357144048</v>
      </c>
    </row>
    <row r="1465" spans="1:11">
      <c r="A1465" t="s">
        <v>5</v>
      </c>
      <c r="B1465" s="5" t="str">
        <f t="shared" si="920"/>
        <v>SPS1</v>
      </c>
      <c r="C1465" s="5" t="str">
        <f t="shared" si="921"/>
        <v>CH</v>
      </c>
      <c r="D1465" t="s">
        <v>1534</v>
      </c>
      <c r="E1465" t="s">
        <v>1297</v>
      </c>
      <c r="F1465" s="13" t="str">
        <f t="shared" ref="F1465:K1465" si="929">IFERROR(F1441/F1407,"-")</f>
        <v>-</v>
      </c>
      <c r="G1465" s="13" t="str">
        <f t="shared" si="929"/>
        <v>-</v>
      </c>
      <c r="H1465" s="13" t="str">
        <f t="shared" si="929"/>
        <v>-</v>
      </c>
      <c r="I1465" s="13">
        <f t="shared" si="929"/>
        <v>0.11310839137372303</v>
      </c>
      <c r="J1465" s="13">
        <f t="shared" si="929"/>
        <v>0.12983729786146814</v>
      </c>
      <c r="K1465" s="13">
        <f t="shared" si="929"/>
        <v>0.14566770486058139</v>
      </c>
    </row>
    <row r="1466" spans="1:11">
      <c r="A1466" t="s">
        <v>5</v>
      </c>
      <c r="B1466" s="5" t="str">
        <f t="shared" si="920"/>
        <v>SPS1</v>
      </c>
      <c r="C1466" s="5" t="str">
        <f t="shared" si="921"/>
        <v>CH</v>
      </c>
      <c r="D1466" t="s">
        <v>1535</v>
      </c>
      <c r="E1466" t="s">
        <v>1297</v>
      </c>
      <c r="F1466" s="13" t="str">
        <f t="shared" ref="F1466:K1466" si="930">IFERROR(F1442/F1408,"-")</f>
        <v>-</v>
      </c>
      <c r="G1466" s="13" t="str">
        <f t="shared" si="930"/>
        <v>-</v>
      </c>
      <c r="H1466" s="13" t="str">
        <f t="shared" si="930"/>
        <v>-</v>
      </c>
      <c r="I1466" s="13" t="str">
        <f t="shared" si="930"/>
        <v>-</v>
      </c>
      <c r="J1466" s="13" t="str">
        <f t="shared" si="930"/>
        <v>-</v>
      </c>
      <c r="K1466" s="13" t="str">
        <f t="shared" si="930"/>
        <v>-</v>
      </c>
    </row>
    <row r="1467" spans="1:11">
      <c r="A1467" t="s">
        <v>5</v>
      </c>
      <c r="B1467" s="5" t="str">
        <f t="shared" si="920"/>
        <v>SPS1</v>
      </c>
      <c r="C1467" s="5" t="str">
        <f t="shared" si="921"/>
        <v>CH</v>
      </c>
      <c r="D1467" t="s">
        <v>1536</v>
      </c>
      <c r="E1467" t="s">
        <v>1297</v>
      </c>
      <c r="F1467" s="13" t="str">
        <f>IFERROR(F1443/F1414,"-")</f>
        <v>-</v>
      </c>
      <c r="G1467" s="13">
        <f t="shared" ref="G1467:K1467" si="931">IFERROR(G1443/G1414,"-")</f>
        <v>0.16251369968883878</v>
      </c>
      <c r="H1467" s="13">
        <f t="shared" si="931"/>
        <v>0.16251422972104934</v>
      </c>
      <c r="I1467" s="13">
        <f t="shared" si="931"/>
        <v>0.18435271877834908</v>
      </c>
      <c r="J1467" s="13">
        <f t="shared" si="931"/>
        <v>0.19874616062627015</v>
      </c>
      <c r="K1467" s="13">
        <f t="shared" si="931"/>
        <v>0.22492908369080025</v>
      </c>
    </row>
    <row r="1468" spans="1:11">
      <c r="A1468" t="s">
        <v>5</v>
      </c>
      <c r="B1468" s="5" t="str">
        <f t="shared" si="920"/>
        <v>SPS1</v>
      </c>
      <c r="C1468" s="5" t="str">
        <f t="shared" si="921"/>
        <v>CH</v>
      </c>
      <c r="D1468" t="s">
        <v>1537</v>
      </c>
      <c r="E1468" t="s">
        <v>1297</v>
      </c>
      <c r="F1468" s="13" t="str">
        <f t="shared" ref="F1468:K1468" si="932">IFERROR(F1444/F1415,"-")</f>
        <v>-</v>
      </c>
      <c r="G1468" s="13">
        <f t="shared" si="932"/>
        <v>0.11649393435744149</v>
      </c>
      <c r="H1468" s="13">
        <f t="shared" si="932"/>
        <v>0.11968816473344909</v>
      </c>
      <c r="I1468" s="13">
        <f t="shared" si="932"/>
        <v>0.13091940811926292</v>
      </c>
      <c r="J1468" s="13">
        <f t="shared" si="932"/>
        <v>0.13954084726954735</v>
      </c>
      <c r="K1468" s="13">
        <f t="shared" si="932"/>
        <v>0.15233026804989752</v>
      </c>
    </row>
    <row r="1469" spans="1:11">
      <c r="A1469" t="s">
        <v>5</v>
      </c>
      <c r="B1469" s="5" t="str">
        <f t="shared" si="920"/>
        <v>SPS1</v>
      </c>
      <c r="C1469" s="5" t="str">
        <f t="shared" si="921"/>
        <v>CH</v>
      </c>
      <c r="D1469" t="s">
        <v>1538</v>
      </c>
      <c r="E1469" t="s">
        <v>1297</v>
      </c>
      <c r="F1469" s="13" t="str">
        <f t="shared" ref="F1469:K1469" si="933">IFERROR(F1445/F1416,"-")</f>
        <v>-</v>
      </c>
      <c r="G1469" s="13">
        <f t="shared" si="933"/>
        <v>7.823582816457883E-2</v>
      </c>
      <c r="H1469" s="13">
        <f t="shared" si="933"/>
        <v>8.0170505549535892E-2</v>
      </c>
      <c r="I1469" s="13">
        <f t="shared" si="933"/>
        <v>8.8814152302405261E-2</v>
      </c>
      <c r="J1469" s="13">
        <f t="shared" si="933"/>
        <v>9.5702633665144213E-2</v>
      </c>
      <c r="K1469" s="13">
        <f t="shared" si="933"/>
        <v>9.9749030075562059E-2</v>
      </c>
    </row>
    <row r="1470" spans="1:11">
      <c r="A1470" t="s">
        <v>5</v>
      </c>
      <c r="B1470" s="5" t="str">
        <f t="shared" si="920"/>
        <v>SPS1</v>
      </c>
      <c r="C1470" s="5" t="str">
        <f t="shared" si="921"/>
        <v>CH</v>
      </c>
      <c r="D1470" t="s">
        <v>1539</v>
      </c>
      <c r="E1470" t="s">
        <v>1297</v>
      </c>
      <c r="F1470" s="13" t="str">
        <f t="shared" ref="F1470:K1470" si="934">IFERROR(F1446/F1417,"-")</f>
        <v>-</v>
      </c>
      <c r="G1470" s="13" t="str">
        <f t="shared" si="934"/>
        <v>-</v>
      </c>
      <c r="H1470" s="13" t="str">
        <f t="shared" si="934"/>
        <v>-</v>
      </c>
      <c r="I1470" s="13" t="str">
        <f t="shared" si="934"/>
        <v>-</v>
      </c>
      <c r="J1470" s="13" t="str">
        <f t="shared" si="934"/>
        <v>-</v>
      </c>
      <c r="K1470" s="13" t="str">
        <f t="shared" si="934"/>
        <v>-</v>
      </c>
    </row>
    <row r="1471" spans="1:11">
      <c r="A1471" t="s">
        <v>5</v>
      </c>
      <c r="B1471" s="5" t="str">
        <f t="shared" si="920"/>
        <v>SPS1</v>
      </c>
      <c r="C1471" s="5" t="str">
        <f t="shared" si="921"/>
        <v>CH</v>
      </c>
      <c r="D1471" t="s">
        <v>1540</v>
      </c>
      <c r="E1471" t="s">
        <v>1297</v>
      </c>
      <c r="F1471" s="13">
        <f>IFERROR(F1447/F1418,"-")</f>
        <v>9.9502495941956646</v>
      </c>
      <c r="G1471" s="13">
        <f t="shared" ref="G1471:K1471" si="935">IFERROR(G1447/G1418,"-")</f>
        <v>7.9797266512003144</v>
      </c>
      <c r="H1471" s="13">
        <f t="shared" si="935"/>
        <v>5.0239422367072883</v>
      </c>
      <c r="I1471" s="13" t="str">
        <f t="shared" si="935"/>
        <v>-</v>
      </c>
      <c r="J1471" s="13" t="str">
        <f t="shared" si="935"/>
        <v>-</v>
      </c>
      <c r="K1471" s="13" t="str">
        <f t="shared" si="935"/>
        <v>-</v>
      </c>
    </row>
    <row r="1472" spans="1:11">
      <c r="A1472" t="s">
        <v>5</v>
      </c>
      <c r="B1472" s="5" t="str">
        <f t="shared" si="920"/>
        <v>SPS1</v>
      </c>
      <c r="C1472" s="5" t="str">
        <f t="shared" si="921"/>
        <v>CH</v>
      </c>
      <c r="D1472" t="s">
        <v>1541</v>
      </c>
      <c r="E1472" t="s">
        <v>1297</v>
      </c>
      <c r="F1472" s="13">
        <f t="shared" ref="F1472:K1472" si="936">IFERROR(F1448/F1419,"-")</f>
        <v>0.12391916748597492</v>
      </c>
      <c r="G1472" s="13">
        <f t="shared" si="936"/>
        <v>0.12425844350728875</v>
      </c>
      <c r="H1472" s="13">
        <f t="shared" si="936"/>
        <v>0.12802950812059255</v>
      </c>
      <c r="I1472" s="13">
        <f t="shared" si="936"/>
        <v>0.1397073751342213</v>
      </c>
      <c r="J1472" s="13">
        <f t="shared" si="936"/>
        <v>0.15735621316881127</v>
      </c>
      <c r="K1472" s="13">
        <f t="shared" si="936"/>
        <v>0.16257216907196603</v>
      </c>
    </row>
    <row r="1473" spans="1:11">
      <c r="A1473" t="s">
        <v>5</v>
      </c>
      <c r="B1473" s="5" t="str">
        <f t="shared" si="920"/>
        <v>SPS1</v>
      </c>
      <c r="C1473" s="5" t="str">
        <f t="shared" si="921"/>
        <v>CH</v>
      </c>
      <c r="D1473" t="s">
        <v>1542</v>
      </c>
      <c r="E1473" t="s">
        <v>1297</v>
      </c>
      <c r="F1473" s="13">
        <f t="shared" ref="F1473:K1473" si="937">IFERROR(F1449/F1420,"-")</f>
        <v>8.7465847585616541E-2</v>
      </c>
      <c r="G1473" s="13">
        <f t="shared" si="937"/>
        <v>8.7809763409855232E-2</v>
      </c>
      <c r="H1473" s="13">
        <f t="shared" si="937"/>
        <v>8.9125067906475994E-2</v>
      </c>
      <c r="I1473" s="13">
        <f t="shared" si="937"/>
        <v>9.4788773665689691E-2</v>
      </c>
      <c r="J1473" s="13">
        <f t="shared" si="937"/>
        <v>0.10291169716452453</v>
      </c>
      <c r="K1473" s="13">
        <f t="shared" si="937"/>
        <v>0.11054140923651527</v>
      </c>
    </row>
    <row r="1474" spans="1:11">
      <c r="A1474" t="s">
        <v>5</v>
      </c>
      <c r="B1474" s="5" t="str">
        <f t="shared" si="920"/>
        <v>SPS1</v>
      </c>
      <c r="C1474" s="5" t="str">
        <f t="shared" si="921"/>
        <v>CH</v>
      </c>
      <c r="D1474" t="s">
        <v>1543</v>
      </c>
      <c r="E1474" t="s">
        <v>1297</v>
      </c>
      <c r="F1474" s="13">
        <f t="shared" ref="F1474:K1474" si="938">IFERROR(F1450/F1421,"-")</f>
        <v>5.7949527986548677E-2</v>
      </c>
      <c r="G1474" s="13">
        <f t="shared" si="938"/>
        <v>5.8178029433004069E-2</v>
      </c>
      <c r="H1474" s="13">
        <f t="shared" si="938"/>
        <v>5.9039975169363552E-2</v>
      </c>
      <c r="I1474" s="13">
        <f t="shared" si="938"/>
        <v>5.9904872848723333E-2</v>
      </c>
      <c r="J1474" s="13">
        <f t="shared" si="938"/>
        <v>7.1673637658410047E-2</v>
      </c>
      <c r="K1474" s="13">
        <f t="shared" si="938"/>
        <v>7.5170537347230268E-2</v>
      </c>
    </row>
    <row r="1475" spans="1:11">
      <c r="A1475" t="s">
        <v>5</v>
      </c>
      <c r="B1475" s="5" t="str">
        <f t="shared" si="920"/>
        <v>SPS1</v>
      </c>
      <c r="C1475" s="5" t="str">
        <f t="shared" si="921"/>
        <v>CH</v>
      </c>
      <c r="D1475" t="s">
        <v>1544</v>
      </c>
      <c r="E1475" t="s">
        <v>1297</v>
      </c>
      <c r="F1475" s="13">
        <f t="shared" ref="F1475:K1475" si="939">IFERROR(F1451/F1422,"-")</f>
        <v>3.8646481387947469E-2</v>
      </c>
      <c r="G1475" s="13" t="str">
        <f t="shared" si="939"/>
        <v>-</v>
      </c>
      <c r="H1475" s="13" t="str">
        <f t="shared" si="939"/>
        <v>-</v>
      </c>
      <c r="I1475" s="13" t="str">
        <f t="shared" si="939"/>
        <v>-</v>
      </c>
      <c r="J1475" s="13" t="str">
        <f t="shared" si="939"/>
        <v>-</v>
      </c>
      <c r="K1475" s="13" t="str">
        <f t="shared" si="939"/>
        <v>-</v>
      </c>
    </row>
    <row r="1476" spans="1:11">
      <c r="A1476" t="s">
        <v>5</v>
      </c>
      <c r="B1476" s="5" t="str">
        <f t="shared" si="920"/>
        <v>SPS1</v>
      </c>
      <c r="C1476" s="5" t="str">
        <f t="shared" si="921"/>
        <v>CH</v>
      </c>
      <c r="D1476" t="s">
        <v>1545</v>
      </c>
      <c r="E1476" t="s">
        <v>1297</v>
      </c>
      <c r="F1476" s="13">
        <f>IFERROR(F1452/F1428,"-")</f>
        <v>9.9502495941956628</v>
      </c>
      <c r="G1476" s="13">
        <f t="shared" ref="G1476:K1476" si="940">IFERROR(G1452/G1428,"-")</f>
        <v>7.976797604823747</v>
      </c>
      <c r="H1476" s="13">
        <f t="shared" si="940"/>
        <v>5.0166196207658746</v>
      </c>
      <c r="I1476" s="13" t="str">
        <f t="shared" si="940"/>
        <v>-</v>
      </c>
      <c r="J1476" s="13" t="str">
        <f t="shared" si="940"/>
        <v>-</v>
      </c>
      <c r="K1476" s="13" t="str">
        <f t="shared" si="940"/>
        <v>-</v>
      </c>
    </row>
    <row r="1477" spans="1:11">
      <c r="A1477" t="s">
        <v>5</v>
      </c>
      <c r="B1477" s="5" t="str">
        <f t="shared" si="920"/>
        <v>SPS1</v>
      </c>
      <c r="C1477" s="5" t="str">
        <f t="shared" si="921"/>
        <v>CH</v>
      </c>
      <c r="D1477" t="s">
        <v>1546</v>
      </c>
      <c r="E1477" t="s">
        <v>1297</v>
      </c>
      <c r="F1477" s="13" t="str">
        <f t="shared" ref="F1477:K1477" si="941">IFERROR(F1453/F1429,"-")</f>
        <v>-</v>
      </c>
      <c r="G1477" s="13" t="str">
        <f t="shared" si="941"/>
        <v>-</v>
      </c>
      <c r="H1477" s="13">
        <f t="shared" si="941"/>
        <v>0.12680062621934796</v>
      </c>
      <c r="I1477" s="13">
        <f t="shared" si="941"/>
        <v>0.13207718337594859</v>
      </c>
      <c r="J1477" s="13">
        <f t="shared" si="941"/>
        <v>0.15090388003480798</v>
      </c>
      <c r="K1477" s="13">
        <f t="shared" si="941"/>
        <v>0.15643227282086769</v>
      </c>
    </row>
    <row r="1478" spans="1:11">
      <c r="A1478" t="s">
        <v>5</v>
      </c>
      <c r="B1478" s="5" t="str">
        <f t="shared" si="920"/>
        <v>SPS1</v>
      </c>
      <c r="C1478" s="5" t="str">
        <f t="shared" si="921"/>
        <v>CH</v>
      </c>
      <c r="D1478" t="s">
        <v>1547</v>
      </c>
      <c r="E1478" t="s">
        <v>1297</v>
      </c>
      <c r="F1478" s="13" t="str">
        <f t="shared" ref="F1478:K1478" si="942">IFERROR(F1454/F1430,"-")</f>
        <v>-</v>
      </c>
      <c r="G1478" s="13" t="str">
        <f t="shared" si="942"/>
        <v>-</v>
      </c>
      <c r="H1478" s="13">
        <f t="shared" si="942"/>
        <v>8.9423361650223687E-2</v>
      </c>
      <c r="I1478" s="13">
        <f t="shared" si="942"/>
        <v>9.2972924879239929E-2</v>
      </c>
      <c r="J1478" s="13">
        <f t="shared" si="942"/>
        <v>0.1037081549065562</v>
      </c>
      <c r="K1478" s="13">
        <f t="shared" si="942"/>
        <v>0.10722416155634718</v>
      </c>
    </row>
    <row r="1479" spans="1:11">
      <c r="A1479" t="s">
        <v>5</v>
      </c>
      <c r="B1479" s="5" t="str">
        <f t="shared" si="920"/>
        <v>SPS1</v>
      </c>
      <c r="C1479" s="5" t="str">
        <f t="shared" si="921"/>
        <v>CH</v>
      </c>
      <c r="D1479" t="s">
        <v>1548</v>
      </c>
      <c r="E1479" t="s">
        <v>1297</v>
      </c>
      <c r="F1479" s="13" t="str">
        <f t="shared" ref="F1479:K1479" si="943">IFERROR(F1455/F1431,"-")</f>
        <v>-</v>
      </c>
      <c r="G1479" s="13" t="str">
        <f t="shared" si="943"/>
        <v>-</v>
      </c>
      <c r="H1479" s="13">
        <f t="shared" si="943"/>
        <v>5.9356626680559577E-2</v>
      </c>
      <c r="I1479" s="13">
        <f t="shared" si="943"/>
        <v>6.4134470594602908E-2</v>
      </c>
      <c r="J1479" s="13">
        <f t="shared" si="943"/>
        <v>6.9704925633616133E-2</v>
      </c>
      <c r="K1479" s="13">
        <f t="shared" si="943"/>
        <v>7.0958063870597526E-2</v>
      </c>
    </row>
    <row r="1480" spans="1:11">
      <c r="A1480" t="s">
        <v>5</v>
      </c>
      <c r="B1480" s="5" t="str">
        <f t="shared" si="920"/>
        <v>SPS1</v>
      </c>
      <c r="C1480" s="5" t="str">
        <f t="shared" si="921"/>
        <v>CH</v>
      </c>
      <c r="D1480" t="s">
        <v>1549</v>
      </c>
      <c r="E1480" t="s">
        <v>1297</v>
      </c>
      <c r="F1480" s="13" t="str">
        <f t="shared" ref="F1480:K1480" si="944">IFERROR(F1456/F1432,"-")</f>
        <v>-</v>
      </c>
      <c r="G1480" s="13" t="str">
        <f t="shared" si="944"/>
        <v>-</v>
      </c>
      <c r="H1480" s="13" t="str">
        <f t="shared" si="944"/>
        <v>-</v>
      </c>
      <c r="I1480" s="13" t="str">
        <f t="shared" si="944"/>
        <v>-</v>
      </c>
      <c r="J1480" s="13" t="str">
        <f t="shared" si="944"/>
        <v>-</v>
      </c>
      <c r="K1480" s="13" t="str">
        <f t="shared" si="944"/>
        <v>-</v>
      </c>
    </row>
    <row r="1481" spans="1:11">
      <c r="A1481" t="s">
        <v>5</v>
      </c>
      <c r="B1481" s="8" t="str">
        <f>B1480</f>
        <v>SPS1</v>
      </c>
      <c r="C1481" s="8" t="str">
        <f>C1480</f>
        <v>CH</v>
      </c>
      <c r="D1481" s="1" t="s">
        <v>1553</v>
      </c>
      <c r="E1481" s="1" t="s">
        <v>8</v>
      </c>
      <c r="F1481" s="16">
        <f>F1482</f>
        <v>0.2816422643485601</v>
      </c>
      <c r="G1481" s="16">
        <f t="shared" ref="G1481:K1481" si="945">G1482</f>
        <v>0.30572256601970044</v>
      </c>
      <c r="H1481" s="16">
        <f t="shared" si="945"/>
        <v>0.34812655233284884</v>
      </c>
      <c r="I1481" s="16">
        <f t="shared" si="945"/>
        <v>0.4426134819667506</v>
      </c>
      <c r="J1481" s="16">
        <f t="shared" si="945"/>
        <v>0.46836782456147874</v>
      </c>
      <c r="K1481" s="16">
        <f t="shared" si="945"/>
        <v>0.49136705190506269</v>
      </c>
    </row>
    <row r="1482" spans="1:11">
      <c r="A1482" t="s">
        <v>5</v>
      </c>
      <c r="B1482" s="5" t="str">
        <f>B1481</f>
        <v>SPS1</v>
      </c>
      <c r="C1482" s="5" t="str">
        <f>C1481</f>
        <v>CH</v>
      </c>
      <c r="D1482" t="s">
        <v>1554</v>
      </c>
      <c r="E1482" t="s">
        <v>8</v>
      </c>
      <c r="F1482" s="13">
        <f>F1483</f>
        <v>0.2816422643485601</v>
      </c>
      <c r="G1482" s="13">
        <f t="shared" ref="G1482:K1482" si="946">G1483</f>
        <v>0.30572256601970044</v>
      </c>
      <c r="H1482" s="13">
        <f t="shared" si="946"/>
        <v>0.34812655233284884</v>
      </c>
      <c r="I1482" s="13">
        <f t="shared" si="946"/>
        <v>0.4426134819667506</v>
      </c>
      <c r="J1482" s="13">
        <f t="shared" si="946"/>
        <v>0.46836782456147874</v>
      </c>
      <c r="K1482" s="13">
        <f t="shared" si="946"/>
        <v>0.49136705190506269</v>
      </c>
    </row>
    <row r="1483" spans="1:11">
      <c r="A1483" t="s">
        <v>5</v>
      </c>
      <c r="B1483" s="5" t="str">
        <f t="shared" ref="B1483" si="947">B1482</f>
        <v>SPS1</v>
      </c>
      <c r="C1483" s="5" t="str">
        <f t="shared" ref="C1483" si="948">C1482</f>
        <v>CH</v>
      </c>
      <c r="D1483" t="s">
        <v>1555</v>
      </c>
      <c r="E1483" t="s">
        <v>8</v>
      </c>
      <c r="F1483" s="13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3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3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3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3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3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1:11">
      <c r="A1484" t="s">
        <v>5</v>
      </c>
      <c r="B1484" s="8" t="str">
        <f t="shared" ref="B1484:C1487" si="949">B1483</f>
        <v>SPS1</v>
      </c>
      <c r="C1484" s="8" t="str">
        <f t="shared" si="949"/>
        <v>CH</v>
      </c>
      <c r="D1484" s="1" t="s">
        <v>1558</v>
      </c>
      <c r="E1484" s="1" t="s">
        <v>1199</v>
      </c>
      <c r="F1484" s="16">
        <f>F1485</f>
        <v>2.7120999999999972E-2</v>
      </c>
      <c r="G1484" s="16">
        <f t="shared" ref="G1484:K1484" si="950">G1485</f>
        <v>2.7694845980498664E-2</v>
      </c>
      <c r="H1484" s="16">
        <f t="shared" si="950"/>
        <v>2.8555614951246824E-2</v>
      </c>
      <c r="I1484" s="16">
        <f t="shared" si="950"/>
        <v>2.9990229902493611E-2</v>
      </c>
      <c r="J1484" s="16">
        <f t="shared" si="950"/>
        <v>3.1735270862320301E-2</v>
      </c>
      <c r="K1484" s="16">
        <f t="shared" si="950"/>
        <v>3.3293633053523473E-2</v>
      </c>
    </row>
    <row r="1485" spans="1:11">
      <c r="A1485" t="s">
        <v>5</v>
      </c>
      <c r="B1485" s="5" t="str">
        <f t="shared" si="949"/>
        <v>SPS1</v>
      </c>
      <c r="C1485" s="5" t="str">
        <f t="shared" si="949"/>
        <v>CH</v>
      </c>
      <c r="D1485" t="s">
        <v>1559</v>
      </c>
      <c r="E1485" t="s">
        <v>1199</v>
      </c>
      <c r="F1485" s="13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3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3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3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3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3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1:11">
      <c r="A1486" t="s">
        <v>5</v>
      </c>
      <c r="B1486" s="8" t="str">
        <f t="shared" si="949"/>
        <v>SPS1</v>
      </c>
      <c r="C1486" s="8" t="str">
        <f t="shared" si="949"/>
        <v>CH</v>
      </c>
      <c r="D1486" s="1" t="s">
        <v>1560</v>
      </c>
      <c r="E1486" s="1" t="s">
        <v>1297</v>
      </c>
      <c r="F1486" s="13" t="s">
        <v>295</v>
      </c>
      <c r="G1486" s="13" t="s">
        <v>295</v>
      </c>
      <c r="H1486" s="13" t="s">
        <v>295</v>
      </c>
      <c r="I1486" s="13" t="s">
        <v>295</v>
      </c>
      <c r="J1486" s="13" t="s">
        <v>295</v>
      </c>
      <c r="K1486" s="13" t="s">
        <v>295</v>
      </c>
    </row>
    <row r="1487" spans="1:11">
      <c r="A1487" t="s">
        <v>5</v>
      </c>
      <c r="B1487" s="5" t="str">
        <f t="shared" si="949"/>
        <v>SPS1</v>
      </c>
      <c r="C1487" s="5" t="str">
        <f t="shared" si="949"/>
        <v>CH</v>
      </c>
      <c r="D1487" t="s">
        <v>1561</v>
      </c>
      <c r="E1487" t="str">
        <f>E1486</f>
        <v>km/MJ</v>
      </c>
      <c r="F1487" s="13">
        <f>F1485/F1483</f>
        <v>9.6295916604459117E-2</v>
      </c>
      <c r="G1487" s="13">
        <f t="shared" ref="G1487:K1487" si="951">G1485/G1483</f>
        <v>9.058816410272455E-2</v>
      </c>
      <c r="H1487" s="13">
        <f t="shared" si="951"/>
        <v>8.2026535350122873E-2</v>
      </c>
      <c r="I1487" s="13">
        <f t="shared" si="951"/>
        <v>6.7757154095786212E-2</v>
      </c>
      <c r="J1487" s="13">
        <f t="shared" si="951"/>
        <v>6.7757154095786268E-2</v>
      </c>
      <c r="K1487" s="13">
        <f t="shared" si="951"/>
        <v>6.7757154095786129E-2</v>
      </c>
    </row>
    <row r="1488" spans="1:11">
      <c r="A1488" t="s">
        <v>5</v>
      </c>
      <c r="B1488" s="8" t="str">
        <f>B1483</f>
        <v>SPS1</v>
      </c>
      <c r="C1488" s="8" t="str">
        <f>C1483</f>
        <v>CH</v>
      </c>
      <c r="D1488" s="1" t="s">
        <v>1552</v>
      </c>
      <c r="E1488" s="1" t="s">
        <v>8</v>
      </c>
      <c r="F1488" s="16">
        <f>F1489</f>
        <v>0.58772895164057959</v>
      </c>
      <c r="G1488" s="16">
        <f t="shared" ref="G1488:G1489" si="952">G1489</f>
        <v>0.6125507323013607</v>
      </c>
      <c r="H1488" s="16">
        <f t="shared" ref="H1488:H1489" si="953">H1489</f>
        <v>0.6520227065267854</v>
      </c>
      <c r="I1488" s="16">
        <f t="shared" ref="I1488:I1489" si="954">I1489</f>
        <v>0.72454506142995201</v>
      </c>
      <c r="J1488" s="16">
        <f t="shared" ref="J1488:J1489" si="955">J1489</f>
        <v>0.76670415207523457</v>
      </c>
      <c r="K1488" s="16">
        <f t="shared" ref="K1488:K1489" si="956">K1489</f>
        <v>0.80435320106506514</v>
      </c>
    </row>
    <row r="1489" spans="1:11">
      <c r="A1489" t="s">
        <v>5</v>
      </c>
      <c r="B1489" s="5" t="str">
        <f>B1488</f>
        <v>SPS1</v>
      </c>
      <c r="C1489" s="5" t="str">
        <f>C1488</f>
        <v>CH</v>
      </c>
      <c r="D1489" t="s">
        <v>1556</v>
      </c>
      <c r="E1489" t="s">
        <v>8</v>
      </c>
      <c r="F1489" s="13">
        <f>F1490</f>
        <v>0.58772895164057959</v>
      </c>
      <c r="G1489" s="13">
        <f t="shared" si="952"/>
        <v>0.6125507323013607</v>
      </c>
      <c r="H1489" s="13">
        <f t="shared" si="953"/>
        <v>0.6520227065267854</v>
      </c>
      <c r="I1489" s="13">
        <f t="shared" si="954"/>
        <v>0.72454506142995201</v>
      </c>
      <c r="J1489" s="13">
        <f t="shared" si="955"/>
        <v>0.76670415207523457</v>
      </c>
      <c r="K1489" s="13">
        <f t="shared" si="956"/>
        <v>0.80435320106506514</v>
      </c>
    </row>
    <row r="1490" spans="1:11">
      <c r="A1490" t="s">
        <v>5</v>
      </c>
      <c r="B1490" s="5" t="str">
        <f t="shared" ref="B1490" si="957">B1489</f>
        <v>SPS1</v>
      </c>
      <c r="C1490" s="5" t="str">
        <f t="shared" ref="C1490" si="958">C1489</f>
        <v>CH</v>
      </c>
      <c r="D1490" t="s">
        <v>1557</v>
      </c>
      <c r="E1490" t="s">
        <v>8</v>
      </c>
      <c r="F1490" s="13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3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3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3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3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3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1:11">
      <c r="A1491" t="s">
        <v>5</v>
      </c>
      <c r="B1491" s="8" t="str">
        <f t="shared" ref="B1491:C1495" si="959">B1490</f>
        <v>SPS1</v>
      </c>
      <c r="C1491" s="8" t="str">
        <f t="shared" si="959"/>
        <v>CH</v>
      </c>
      <c r="D1491" s="1" t="s">
        <v>1562</v>
      </c>
      <c r="E1491" s="1" t="s">
        <v>1199</v>
      </c>
      <c r="F1491" s="16">
        <f>F1492</f>
        <v>3.3477999999999994E-2</v>
      </c>
      <c r="G1491" s="16">
        <f t="shared" ref="G1491" si="960">G1492</f>
        <v>3.4100101820365179E-2</v>
      </c>
      <c r="H1491" s="16">
        <f t="shared" ref="H1491" si="961">H1492</f>
        <v>3.5033254550912878E-2</v>
      </c>
      <c r="I1491" s="16">
        <f t="shared" ref="I1491" si="962">I1492</f>
        <v>3.6588509101825824E-2</v>
      </c>
      <c r="J1491" s="16">
        <f t="shared" ref="J1491" si="963">J1492</f>
        <v>3.8717484032322634E-2</v>
      </c>
      <c r="K1491" s="16">
        <f t="shared" ref="K1491" si="964">K1492</f>
        <v>4.0618708186581282E-2</v>
      </c>
    </row>
    <row r="1492" spans="1:11">
      <c r="A1492" t="s">
        <v>5</v>
      </c>
      <c r="B1492" s="5" t="str">
        <f t="shared" si="959"/>
        <v>SPS1</v>
      </c>
      <c r="C1492" s="5" t="str">
        <f t="shared" si="959"/>
        <v>CH</v>
      </c>
      <c r="D1492" t="s">
        <v>1563</v>
      </c>
      <c r="E1492" t="s">
        <v>1199</v>
      </c>
      <c r="F1492" s="13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3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3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3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3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3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1:11">
      <c r="A1493" t="s">
        <v>5</v>
      </c>
      <c r="B1493" s="8" t="str">
        <f t="shared" si="959"/>
        <v>SPS1</v>
      </c>
      <c r="C1493" s="8" t="str">
        <f t="shared" si="959"/>
        <v>CH</v>
      </c>
      <c r="D1493" s="1" t="s">
        <v>1564</v>
      </c>
      <c r="E1493" s="1" t="s">
        <v>1297</v>
      </c>
      <c r="F1493" s="13" t="s">
        <v>295</v>
      </c>
      <c r="G1493" s="13" t="s">
        <v>295</v>
      </c>
      <c r="H1493" s="13" t="s">
        <v>295</v>
      </c>
      <c r="I1493" s="13" t="s">
        <v>295</v>
      </c>
      <c r="J1493" s="13" t="s">
        <v>295</v>
      </c>
      <c r="K1493" s="13" t="s">
        <v>295</v>
      </c>
    </row>
    <row r="1494" spans="1:11">
      <c r="A1494" t="s">
        <v>5</v>
      </c>
      <c r="B1494" s="5" t="str">
        <f t="shared" si="959"/>
        <v>SPS1</v>
      </c>
      <c r="C1494" s="5" t="str">
        <f t="shared" si="959"/>
        <v>CH</v>
      </c>
      <c r="D1494" t="s">
        <v>1565</v>
      </c>
      <c r="E1494" t="str">
        <f>E1493</f>
        <v>km/MJ</v>
      </c>
      <c r="F1494" s="13">
        <f>F1492/F1490</f>
        <v>5.6961631559156484E-2</v>
      </c>
      <c r="G1494" s="13">
        <f t="shared" ref="G1494:K1494" si="965">G1492/G1490</f>
        <v>5.5669024657354786E-2</v>
      </c>
      <c r="H1494" s="13">
        <f t="shared" si="965"/>
        <v>5.3730114304652202E-2</v>
      </c>
      <c r="I1494" s="13">
        <f t="shared" si="965"/>
        <v>5.0498597050147927E-2</v>
      </c>
      <c r="J1494" s="13">
        <f t="shared" si="965"/>
        <v>5.0498597050147961E-2</v>
      </c>
      <c r="K1494" s="13">
        <f t="shared" si="965"/>
        <v>5.049859705014785E-2</v>
      </c>
    </row>
    <row r="1495" spans="1:11">
      <c r="A1495" t="s">
        <v>5</v>
      </c>
      <c r="B1495" s="8" t="str">
        <f t="shared" si="959"/>
        <v>SPS1</v>
      </c>
      <c r="C1495" s="8" t="str">
        <f t="shared" si="959"/>
        <v>CH</v>
      </c>
      <c r="D1495" s="1" t="s">
        <v>1567</v>
      </c>
      <c r="E1495" s="1" t="s">
        <v>8</v>
      </c>
      <c r="F1495" s="16">
        <f>SUM(F1496,F1501,F1506)</f>
        <v>2.3993860649874645</v>
      </c>
      <c r="G1495" s="16">
        <f t="shared" ref="G1495:K1495" si="966">SUM(G1496,G1501,G1506)</f>
        <v>1.897709761043419</v>
      </c>
      <c r="H1495" s="16">
        <f t="shared" si="966"/>
        <v>1.6163508540472933</v>
      </c>
      <c r="I1495" s="16">
        <f t="shared" si="966"/>
        <v>1.2908271150414741</v>
      </c>
      <c r="J1495" s="16">
        <f t="shared" si="966"/>
        <v>0.95318456268533269</v>
      </c>
      <c r="K1495" s="16">
        <f t="shared" si="966"/>
        <v>0.56452900191607558</v>
      </c>
    </row>
    <row r="1496" spans="1:11">
      <c r="A1496" t="s">
        <v>5</v>
      </c>
      <c r="B1496" s="5" t="str">
        <f>B1495</f>
        <v>SPS1</v>
      </c>
      <c r="C1496" t="str">
        <f t="shared" ref="C1496:C1500" si="967">C1495</f>
        <v>CH</v>
      </c>
      <c r="D1496" t="s">
        <v>1568</v>
      </c>
      <c r="E1496" t="str">
        <f>E1495</f>
        <v>PJ/yr.</v>
      </c>
      <c r="F1496" s="13">
        <f>SUM(F1497:F1500)</f>
        <v>2.0021961322988801E-3</v>
      </c>
      <c r="G1496" s="13">
        <f t="shared" ref="G1496:K1496" si="968">SUM(G1497:G1500)</f>
        <v>2.5810129584327712E-3</v>
      </c>
      <c r="H1496" s="13">
        <f t="shared" si="968"/>
        <v>2.6185191911953978E-3</v>
      </c>
      <c r="I1496" s="13">
        <f t="shared" si="968"/>
        <v>1.8390459514400724E-3</v>
      </c>
      <c r="J1496" s="13">
        <f t="shared" si="968"/>
        <v>9.1355130233328511E-5</v>
      </c>
      <c r="K1496" s="13">
        <f t="shared" si="968"/>
        <v>7.2270279923658823E-2</v>
      </c>
    </row>
    <row r="1497" spans="1:11">
      <c r="A1497" t="s">
        <v>5</v>
      </c>
      <c r="B1497" t="str">
        <f t="shared" ref="B1497:B1500" si="969">B1496</f>
        <v>SPS1</v>
      </c>
      <c r="C1497" t="str">
        <f t="shared" si="967"/>
        <v>CH</v>
      </c>
      <c r="D1497" t="s">
        <v>1569</v>
      </c>
      <c r="E1497" t="str">
        <f t="shared" ref="E1497:E1500" si="970">E1496</f>
        <v>PJ/yr.</v>
      </c>
      <c r="F1497" s="13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1.5551302640502784E-3</v>
      </c>
      <c r="G1497" s="13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2.06582360630523E-3</v>
      </c>
      <c r="H1497" s="13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2.0664532734464584E-3</v>
      </c>
      <c r="I1497" s="13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1.3614400725435972E-3</v>
      </c>
      <c r="J1497" s="13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2.2267309254677776E-5</v>
      </c>
      <c r="K1497" s="13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7.2262879352101725E-2</v>
      </c>
    </row>
    <row r="1498" spans="1:11">
      <c r="A1498" t="s">
        <v>5</v>
      </c>
      <c r="B1498" t="str">
        <f t="shared" si="969"/>
        <v>SPS1</v>
      </c>
      <c r="C1498" t="str">
        <f t="shared" si="967"/>
        <v>CH</v>
      </c>
      <c r="D1498" t="s">
        <v>1570</v>
      </c>
      <c r="E1498" t="str">
        <f t="shared" si="970"/>
        <v>PJ/yr.</v>
      </c>
      <c r="F1498" s="13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3.6256450025744642E-4</v>
      </c>
      <c r="G1498" s="13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4.1749701483878717E-4</v>
      </c>
      <c r="H1498" s="13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4.1738226403728189E-4</v>
      </c>
      <c r="I1498" s="13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3.4201967377892555E-4</v>
      </c>
      <c r="J1498" s="13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3.7761093380429335E-6</v>
      </c>
      <c r="K1498" s="13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2.416746694154538E-6</v>
      </c>
    </row>
    <row r="1499" spans="1:11">
      <c r="A1499" t="s">
        <v>5</v>
      </c>
      <c r="B1499" t="str">
        <f t="shared" si="969"/>
        <v>SPS1</v>
      </c>
      <c r="C1499" t="str">
        <f t="shared" si="967"/>
        <v>CH</v>
      </c>
      <c r="D1499" t="s">
        <v>1572</v>
      </c>
      <c r="E1499" t="str">
        <f t="shared" si="970"/>
        <v>PJ/yr.</v>
      </c>
      <c r="F1499" s="13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7.5287236786911516E-5</v>
      </c>
      <c r="G1499" s="13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8.2686799073055812E-5</v>
      </c>
      <c r="H1499" s="13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1.1441053415198146E-4</v>
      </c>
      <c r="I1499" s="13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1.1495334661751783E-4</v>
      </c>
      <c r="J1499" s="13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4.4103103391684206E-5</v>
      </c>
      <c r="K1499" s="13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1.3189649061232591E-6</v>
      </c>
    </row>
    <row r="1500" spans="1:11">
      <c r="A1500" t="s">
        <v>5</v>
      </c>
      <c r="B1500" t="str">
        <f t="shared" si="969"/>
        <v>SPS1</v>
      </c>
      <c r="C1500" t="str">
        <f t="shared" si="967"/>
        <v>CH</v>
      </c>
      <c r="D1500" t="s">
        <v>1571</v>
      </c>
      <c r="E1500" t="str">
        <f t="shared" si="970"/>
        <v>PJ/yr.</v>
      </c>
      <c r="F1500" s="13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9.2141312042436453E-6</v>
      </c>
      <c r="G1500" s="13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1.5005538215698481E-5</v>
      </c>
      <c r="H1500" s="13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2.0273119559676047E-5</v>
      </c>
      <c r="I1500" s="13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2.0632858500032011E-5</v>
      </c>
      <c r="J1500" s="13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2.1208608248923597E-5</v>
      </c>
      <c r="K1500" s="13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3.6648599568157108E-6</v>
      </c>
    </row>
    <row r="1501" spans="1:11">
      <c r="A1501" t="s">
        <v>5</v>
      </c>
      <c r="B1501" s="5" t="str">
        <f>B1500</f>
        <v>SPS1</v>
      </c>
      <c r="C1501" t="str">
        <f t="shared" ref="C1501:C1505" si="971">C1500</f>
        <v>CH</v>
      </c>
      <c r="D1501" t="s">
        <v>1573</v>
      </c>
      <c r="E1501" t="str">
        <f>E1500</f>
        <v>PJ/yr.</v>
      </c>
      <c r="F1501" s="13">
        <f>SUM(F1502:F1505)</f>
        <v>0</v>
      </c>
      <c r="G1501" s="13">
        <f t="shared" ref="G1501:K1501" si="972">SUM(G1502:G1505)</f>
        <v>0</v>
      </c>
      <c r="H1501" s="13">
        <f t="shared" si="972"/>
        <v>0</v>
      </c>
      <c r="I1501" s="13">
        <f t="shared" si="972"/>
        <v>1.0245704126788168E-6</v>
      </c>
      <c r="J1501" s="13">
        <f t="shared" si="972"/>
        <v>4.6366071270608262E-6</v>
      </c>
      <c r="K1501" s="13">
        <f t="shared" si="972"/>
        <v>3.1750029058730381E-6</v>
      </c>
    </row>
    <row r="1502" spans="1:11">
      <c r="A1502" t="s">
        <v>5</v>
      </c>
      <c r="B1502" t="str">
        <f t="shared" ref="B1502:B1505" si="973">B1501</f>
        <v>SPS1</v>
      </c>
      <c r="C1502" t="str">
        <f t="shared" si="971"/>
        <v>CH</v>
      </c>
      <c r="D1502" t="s">
        <v>1574</v>
      </c>
      <c r="E1502" t="str">
        <f t="shared" ref="E1502:E1505" si="974">E1501</f>
        <v>PJ/yr.</v>
      </c>
      <c r="F1502" s="13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3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3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3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5.2572573420201743E-7</v>
      </c>
      <c r="J1502" s="13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2.426124595956752E-6</v>
      </c>
      <c r="K1502" s="13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1.7216739567695904E-6</v>
      </c>
    </row>
    <row r="1503" spans="1:11">
      <c r="A1503" t="s">
        <v>5</v>
      </c>
      <c r="B1503" t="str">
        <f t="shared" si="973"/>
        <v>SPS1</v>
      </c>
      <c r="C1503" t="str">
        <f t="shared" si="971"/>
        <v>CH</v>
      </c>
      <c r="D1503" t="s">
        <v>1575</v>
      </c>
      <c r="E1503" t="str">
        <f t="shared" si="974"/>
        <v>PJ/yr.</v>
      </c>
      <c r="F1503" s="13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3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3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3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3.4345875907058863E-7</v>
      </c>
      <c r="J1503" s="13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1.3752961894140878E-6</v>
      </c>
      <c r="K1503" s="13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8.3201654558119623E-7</v>
      </c>
    </row>
    <row r="1504" spans="1:11">
      <c r="A1504" t="s">
        <v>5</v>
      </c>
      <c r="B1504" t="str">
        <f t="shared" si="973"/>
        <v>SPS1</v>
      </c>
      <c r="C1504" t="str">
        <f t="shared" si="971"/>
        <v>CH</v>
      </c>
      <c r="D1504" t="s">
        <v>1576</v>
      </c>
      <c r="E1504" t="str">
        <f t="shared" si="974"/>
        <v>PJ/yr.</v>
      </c>
      <c r="F1504" s="13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3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3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3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1.5538591940621075E-7</v>
      </c>
      <c r="J1504" s="13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6.7388403907064131E-7</v>
      </c>
      <c r="K1504" s="13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5.2991620482118459E-7</v>
      </c>
    </row>
    <row r="1505" spans="1:11">
      <c r="A1505" t="s">
        <v>5</v>
      </c>
      <c r="B1505" t="str">
        <f t="shared" si="973"/>
        <v>SPS1</v>
      </c>
      <c r="C1505" t="str">
        <f t="shared" si="971"/>
        <v>CH</v>
      </c>
      <c r="D1505" t="s">
        <v>1577</v>
      </c>
      <c r="E1505" t="str">
        <f t="shared" si="974"/>
        <v>PJ/yr.</v>
      </c>
      <c r="F1505" s="13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3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3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3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0</v>
      </c>
      <c r="J1505" s="13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1.6130230261934542E-7</v>
      </c>
      <c r="K1505" s="13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9.1396198701066628E-8</v>
      </c>
    </row>
    <row r="1506" spans="1:11">
      <c r="A1506" t="s">
        <v>5</v>
      </c>
      <c r="B1506" s="5" t="str">
        <f>B1505</f>
        <v>SPS1</v>
      </c>
      <c r="C1506" t="str">
        <f t="shared" ref="C1506:C1516" si="975">C1505</f>
        <v>CH</v>
      </c>
      <c r="D1506" t="s">
        <v>1578</v>
      </c>
      <c r="E1506" t="str">
        <f>E1505</f>
        <v>PJ/yr.</v>
      </c>
      <c r="F1506" s="13">
        <f>SUM(F1511:F1515)</f>
        <v>2.3973838688551656</v>
      </c>
      <c r="G1506" s="13">
        <f t="shared" ref="G1506:K1506" si="976">SUM(G1511:G1515)</f>
        <v>1.8951287480849863</v>
      </c>
      <c r="H1506" s="13">
        <f t="shared" si="976"/>
        <v>1.6137323348560979</v>
      </c>
      <c r="I1506" s="13">
        <f t="shared" si="976"/>
        <v>1.2889870445196214</v>
      </c>
      <c r="J1506" s="13">
        <f t="shared" si="976"/>
        <v>0.95308857094797228</v>
      </c>
      <c r="K1506" s="13">
        <f t="shared" si="976"/>
        <v>0.49225554698951091</v>
      </c>
    </row>
    <row r="1507" spans="1:11">
      <c r="A1507" t="s">
        <v>5</v>
      </c>
      <c r="B1507" s="5" t="str">
        <f>B1506</f>
        <v>SPS1</v>
      </c>
      <c r="C1507" s="5" t="str">
        <f>C1506</f>
        <v>CH</v>
      </c>
      <c r="D1507" t="s">
        <v>1579</v>
      </c>
      <c r="E1507" t="str">
        <f>E1506</f>
        <v>PJ/yr.</v>
      </c>
      <c r="F1507" s="13">
        <f>F1506-F1508</f>
        <v>2.2661510665204463</v>
      </c>
      <c r="G1507" s="13">
        <f t="shared" ref="G1507:K1507" si="977">G1506-G1508</f>
        <v>1.7913893213396279</v>
      </c>
      <c r="H1507" s="13">
        <f t="shared" si="977"/>
        <v>1.5253965571720021</v>
      </c>
      <c r="I1507" s="13">
        <f t="shared" si="977"/>
        <v>1.2184271293920872</v>
      </c>
      <c r="J1507" s="13">
        <f t="shared" si="977"/>
        <v>0.46899088767769975</v>
      </c>
      <c r="K1507" s="13">
        <f t="shared" si="977"/>
        <v>5.5016481939560269E-2</v>
      </c>
    </row>
    <row r="1508" spans="1:11">
      <c r="A1508" t="s">
        <v>5</v>
      </c>
      <c r="B1508" s="5" t="str">
        <f t="shared" ref="B1508:B1510" si="978">B1507</f>
        <v>SPS1</v>
      </c>
      <c r="C1508" s="5" t="str">
        <f t="shared" ref="C1508:C1510" si="979">C1507</f>
        <v>CH</v>
      </c>
      <c r="D1508" t="s">
        <v>1580</v>
      </c>
      <c r="E1508" t="str">
        <f>E1507</f>
        <v>PJ/yr.</v>
      </c>
      <c r="F1508" s="13">
        <f>SUM(F1509:F1510)</f>
        <v>0.13123280233471926</v>
      </c>
      <c r="G1508" s="13">
        <f t="shared" ref="G1508" si="980">SUM(G1509:G1510)</f>
        <v>0.10373942674535835</v>
      </c>
      <c r="H1508" s="13">
        <f t="shared" ref="H1508" si="981">SUM(H1509:H1510)</f>
        <v>8.8335777684095743E-2</v>
      </c>
      <c r="I1508" s="13">
        <f t="shared" ref="I1508" si="982">SUM(I1509:I1510)</f>
        <v>7.0559915127534303E-2</v>
      </c>
      <c r="J1508" s="13">
        <f t="shared" ref="J1508" si="983">SUM(J1509:J1510)</f>
        <v>0.48409768327027253</v>
      </c>
      <c r="K1508" s="13">
        <f t="shared" ref="K1508" si="984">SUM(K1509:K1510)</f>
        <v>0.43723906504995064</v>
      </c>
    </row>
    <row r="1509" spans="1:11">
      <c r="A1509" t="s">
        <v>5</v>
      </c>
      <c r="B1509" s="5" t="str">
        <f t="shared" si="978"/>
        <v>SPS1</v>
      </c>
      <c r="C1509" s="5" t="str">
        <f t="shared" si="979"/>
        <v>CH</v>
      </c>
      <c r="D1509" t="s">
        <v>1581</v>
      </c>
      <c r="E1509" t="str">
        <f>E1508</f>
        <v>PJ/yr.</v>
      </c>
      <c r="F1509" s="13">
        <f>[1]Transport!B$25/SUM([1]Transport!B$21,[1]Transport!B$25)*F1506*(F$34+F$598)/(F$34+F$598+F$37)</f>
        <v>0.13123280233471926</v>
      </c>
      <c r="G1509" s="13">
        <f>[1]Transport!C$25/SUM([1]Transport!C$21,[1]Transport!C$25)*G1506*(G$34+G$598)/(G$34+G$598+G$37)</f>
        <v>0.10373942674535835</v>
      </c>
      <c r="H1509" s="13">
        <f>[1]Transport!D$25/SUM([1]Transport!D$21,[1]Transport!D$25)*H1506*(H$34+H$598)/(H$34+H$598+H$37)</f>
        <v>8.8335777684095743E-2</v>
      </c>
      <c r="I1509" s="13">
        <f>[1]Transport!E$25/SUM([1]Transport!E$21,[1]Transport!E$25)*I1506*(I$34+I$598)/(I$34+I$598+I$37)</f>
        <v>7.0559915127534303E-2</v>
      </c>
      <c r="J1509" s="13">
        <f>[1]Transport!F$25/SUM([1]Transport!F$21,[1]Transport!F$25)*J1506*(J$34+J$598)/(J$34+J$598+J$37)</f>
        <v>0.38349439411420533</v>
      </c>
      <c r="K1509" s="13">
        <f>[1]Transport!G$25/SUM([1]Transport!G$21,[1]Transport!G$25)*K1506*(K$34+K$598)/(K$34+K$598+K$37)</f>
        <v>0.41558361234520497</v>
      </c>
    </row>
    <row r="1510" spans="1:11">
      <c r="A1510" t="s">
        <v>5</v>
      </c>
      <c r="B1510" s="5" t="str">
        <f t="shared" si="978"/>
        <v>SPS1</v>
      </c>
      <c r="C1510" s="5" t="str">
        <f t="shared" si="979"/>
        <v>CH</v>
      </c>
      <c r="D1510" t="s">
        <v>1582</v>
      </c>
      <c r="E1510" t="str">
        <f>E1509</f>
        <v>PJ/yr.</v>
      </c>
      <c r="F1510" s="13">
        <f>(F$37+F$717)/([1]Transport!B$21+[1]Transport!B$25)*F1506</f>
        <v>0</v>
      </c>
      <c r="G1510" s="13">
        <f>(G$37+G$717)/([1]Transport!C$21+[1]Transport!C$25)*G1506</f>
        <v>0</v>
      </c>
      <c r="H1510" s="13">
        <f>(H$37+H$717)/([1]Transport!D$21+[1]Transport!D$25)*H1506</f>
        <v>0</v>
      </c>
      <c r="I1510" s="13">
        <f>(I$37+I$717)/([1]Transport!E$21+[1]Transport!E$25)*I1506</f>
        <v>0</v>
      </c>
      <c r="J1510" s="13">
        <f>(J$37+J$717)/([1]Transport!F$21+[1]Transport!F$25)*J1506</f>
        <v>0.10060328915606721</v>
      </c>
      <c r="K1510" s="13">
        <f>(K$37+K$717)/([1]Transport!G$21+[1]Transport!G$25)*K1506</f>
        <v>2.1655452704745646E-2</v>
      </c>
    </row>
    <row r="1511" spans="1:11">
      <c r="A1511" t="s">
        <v>5</v>
      </c>
      <c r="B1511" t="str">
        <f>B1505</f>
        <v>SPS1</v>
      </c>
      <c r="C1511" t="str">
        <f>C1505</f>
        <v>CH</v>
      </c>
      <c r="D1511" t="s">
        <v>1657</v>
      </c>
      <c r="E1511" t="str">
        <f>E1505</f>
        <v>PJ/yr.</v>
      </c>
      <c r="F1511" s="13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2.1014541440003693</v>
      </c>
      <c r="G1511" s="13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1.3955858658672708</v>
      </c>
      <c r="H1511" s="13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0.95087490132194319</v>
      </c>
      <c r="I1511" s="13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0.45299293971459542</v>
      </c>
      <c r="J1511" s="13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3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1:11">
      <c r="A1512" t="s">
        <v>5</v>
      </c>
      <c r="B1512" t="str">
        <f>B1506</f>
        <v>SPS1</v>
      </c>
      <c r="C1512" t="str">
        <f>C1506</f>
        <v>CH</v>
      </c>
      <c r="D1512" t="s">
        <v>1658</v>
      </c>
      <c r="E1512" t="str">
        <f>E1506</f>
        <v>PJ/yr.</v>
      </c>
      <c r="F1512" s="13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4.4347392646201876E-2</v>
      </c>
      <c r="G1512" s="13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0.33620825213863814</v>
      </c>
      <c r="H1512" s="13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0.51316804663397397</v>
      </c>
      <c r="I1512" s="13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0.73480608848473195</v>
      </c>
      <c r="J1512" s="13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0.95278610451459267</v>
      </c>
      <c r="K1512" s="13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0.4922350885604298</v>
      </c>
    </row>
    <row r="1513" spans="1:11">
      <c r="A1513" t="s">
        <v>5</v>
      </c>
      <c r="B1513" t="str">
        <f t="shared" ref="B1513:B1516" si="985">B1512</f>
        <v>SPS1</v>
      </c>
      <c r="C1513" t="str">
        <f t="shared" si="975"/>
        <v>CH</v>
      </c>
      <c r="D1513" t="s">
        <v>1659</v>
      </c>
      <c r="E1513" t="str">
        <f t="shared" ref="E1513:E1515" si="986">E1512</f>
        <v>PJ/yr.</v>
      </c>
      <c r="F1513" s="13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0.11255255194763708</v>
      </c>
      <c r="G1513" s="13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0.16283480050380691</v>
      </c>
      <c r="H1513" s="13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0.14915273682032196</v>
      </c>
      <c r="I1513" s="13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0.10068826937485344</v>
      </c>
      <c r="J1513" s="13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8.3315795506538702E-6</v>
      </c>
      <c r="K1513" s="13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3.6603582578461074E-6</v>
      </c>
    </row>
    <row r="1514" spans="1:11">
      <c r="A1514" t="s">
        <v>5</v>
      </c>
      <c r="B1514" t="str">
        <f t="shared" si="985"/>
        <v>SPS1</v>
      </c>
      <c r="C1514" t="str">
        <f t="shared" si="975"/>
        <v>CH</v>
      </c>
      <c r="D1514" t="s">
        <v>1660</v>
      </c>
      <c r="E1514" t="str">
        <f t="shared" si="986"/>
        <v>PJ/yr.</v>
      </c>
      <c r="F1514" s="13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0.11133219647228547</v>
      </c>
      <c r="G1514" s="13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2.9661405667098768E-4</v>
      </c>
      <c r="H1514" s="13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3.1526560188147333E-4</v>
      </c>
      <c r="I1514" s="13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2.9522828738877258E-4</v>
      </c>
      <c r="J1514" s="13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1.0244480285751988E-4</v>
      </c>
      <c r="K1514" s="13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2.1851380542099115E-6</v>
      </c>
    </row>
    <row r="1515" spans="1:11">
      <c r="A1515" t="s">
        <v>5</v>
      </c>
      <c r="B1515" t="str">
        <f t="shared" si="985"/>
        <v>SPS1</v>
      </c>
      <c r="C1515" t="str">
        <f t="shared" si="975"/>
        <v>CH</v>
      </c>
      <c r="D1515" t="s">
        <v>1661</v>
      </c>
      <c r="E1515" t="str">
        <f t="shared" si="986"/>
        <v>PJ/yr.</v>
      </c>
      <c r="F1515" s="13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2.7697583788671938E-2</v>
      </c>
      <c r="G1515" s="13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2.0321551859948849E-4</v>
      </c>
      <c r="H1515" s="13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2.2138447797717152E-4</v>
      </c>
      <c r="I1515" s="13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2.0451865805198969E-4</v>
      </c>
      <c r="J1515" s="13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1.9169005097155985E-4</v>
      </c>
      <c r="K1515" s="13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1.4612932769041087E-5</v>
      </c>
    </row>
    <row r="1516" spans="1:11">
      <c r="A1516" t="s">
        <v>5</v>
      </c>
      <c r="B1516" s="8" t="str">
        <f t="shared" si="985"/>
        <v>SPS1</v>
      </c>
      <c r="C1516" s="8" t="str">
        <f t="shared" si="975"/>
        <v>CH</v>
      </c>
      <c r="D1516" s="1" t="s">
        <v>1583</v>
      </c>
      <c r="E1516" s="1" t="s">
        <v>1597</v>
      </c>
      <c r="F1516" s="16" t="e">
        <f>SUM(#REF!,#REF!,#REF!)</f>
        <v>#REF!</v>
      </c>
      <c r="G1516" s="16" t="e">
        <f>SUM(#REF!,#REF!,#REF!)</f>
        <v>#REF!</v>
      </c>
      <c r="H1516" s="16" t="e">
        <f>SUM(#REF!,#REF!,#REF!)</f>
        <v>#REF!</v>
      </c>
      <c r="I1516" s="16" t="e">
        <f>SUM(#REF!,#REF!,#REF!)</f>
        <v>#REF!</v>
      </c>
      <c r="J1516" s="16" t="e">
        <f>SUM(#REF!,#REF!,#REF!)</f>
        <v>#REF!</v>
      </c>
      <c r="K1516" s="16" t="e">
        <f>SUM(#REF!,#REF!,#REF!)</f>
        <v>#REF!</v>
      </c>
    </row>
    <row r="1517" spans="1:11">
      <c r="A1517" t="s">
        <v>5</v>
      </c>
      <c r="B1517" t="str">
        <f>B1516</f>
        <v>SPS1</v>
      </c>
      <c r="C1517" t="str">
        <f>C1516</f>
        <v>CH</v>
      </c>
      <c r="D1517" t="s">
        <v>1584</v>
      </c>
      <c r="E1517" t="str">
        <f>E1516</f>
        <v>Billion km/yr.</v>
      </c>
      <c r="F1517" s="13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1.726027729551799E-2</v>
      </c>
      <c r="G1517" s="13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2.2942956783416981E-2</v>
      </c>
      <c r="H1517" s="13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2.2950052021276059E-2</v>
      </c>
      <c r="I1517" s="13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1.5123616368845445E-2</v>
      </c>
      <c r="J1517" s="13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2.5782916292460913E-4</v>
      </c>
      <c r="K1517" s="13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0.86092789349508381</v>
      </c>
    </row>
    <row r="1518" spans="1:11">
      <c r="A1518" t="s">
        <v>5</v>
      </c>
      <c r="B1518" t="str">
        <f t="shared" ref="B1518:B1543" si="987">B1517</f>
        <v>SPS1</v>
      </c>
      <c r="C1518" t="str">
        <f t="shared" ref="C1518:C1543" si="988">C1517</f>
        <v>CH</v>
      </c>
      <c r="D1518" t="s">
        <v>1585</v>
      </c>
      <c r="E1518" t="str">
        <f t="shared" ref="E1518:E1529" si="989">E1517</f>
        <v>Billion km/yr.</v>
      </c>
      <c r="F1518" s="13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2.2785454350036341E-3</v>
      </c>
      <c r="G1518" s="13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2.6246702189326918E-3</v>
      </c>
      <c r="H1518" s="13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2.6239799953746284E-3</v>
      </c>
      <c r="I1518" s="13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2.1504543050056566E-3</v>
      </c>
      <c r="J1518" s="13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2.4741252169395942E-5</v>
      </c>
      <c r="K1518" s="13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1.603059031944502E-5</v>
      </c>
    </row>
    <row r="1519" spans="1:11">
      <c r="A1519" t="s">
        <v>5</v>
      </c>
      <c r="B1519" t="str">
        <f t="shared" si="987"/>
        <v>SPS1</v>
      </c>
      <c r="C1519" t="str">
        <f t="shared" si="988"/>
        <v>CH</v>
      </c>
      <c r="D1519" t="s">
        <v>1586</v>
      </c>
      <c r="E1519" t="str">
        <f t="shared" si="989"/>
        <v>Billion km/yr.</v>
      </c>
      <c r="F1519" s="13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3.0793558512916806E-4</v>
      </c>
      <c r="G1519" s="13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3.3855837861607711E-4</v>
      </c>
      <c r="H1519" s="13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4.6846940983423215E-4</v>
      </c>
      <c r="I1519" s="13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4.7073264739978788E-4</v>
      </c>
      <c r="J1519" s="13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1.8091033637873785E-4</v>
      </c>
      <c r="K1519" s="13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5.7351070847305077E-6</v>
      </c>
    </row>
    <row r="1520" spans="1:11">
      <c r="A1520" t="s">
        <v>5</v>
      </c>
      <c r="B1520" t="str">
        <f t="shared" si="987"/>
        <v>SPS1</v>
      </c>
      <c r="C1520" t="str">
        <f t="shared" si="988"/>
        <v>CH</v>
      </c>
      <c r="D1520" t="s">
        <v>1587</v>
      </c>
      <c r="E1520" t="str">
        <f t="shared" si="989"/>
        <v>Billion km/yr.</v>
      </c>
      <c r="F1520" s="13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3.469169678298832E-5</v>
      </c>
      <c r="G1520" s="13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5.6599946788725577E-5</v>
      </c>
      <c r="H1520" s="13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7.6492219127833092E-5</v>
      </c>
      <c r="I1520" s="13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7.7883968794072267E-5</v>
      </c>
      <c r="J1520" s="13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8.0282907337235877E-5</v>
      </c>
      <c r="K1520" s="13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1.4246846636018324E-5</v>
      </c>
    </row>
    <row r="1521" spans="1:11">
      <c r="A1521" t="s">
        <v>5</v>
      </c>
      <c r="B1521" t="str">
        <f t="shared" si="987"/>
        <v>SPS1</v>
      </c>
      <c r="C1521" t="str">
        <f t="shared" si="988"/>
        <v>CH</v>
      </c>
      <c r="D1521" t="s">
        <v>1588</v>
      </c>
      <c r="E1521" t="str">
        <f t="shared" si="989"/>
        <v>Billion km/yr.</v>
      </c>
      <c r="F1521" s="13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3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3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3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2.4389036895442566E-6</v>
      </c>
      <c r="J1521" s="13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1.1522856625363267E-5</v>
      </c>
      <c r="K1521" s="13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8.3974750866641442E-6</v>
      </c>
    </row>
    <row r="1522" spans="1:11">
      <c r="A1522" t="s">
        <v>5</v>
      </c>
      <c r="B1522" t="str">
        <f t="shared" si="987"/>
        <v>SPS1</v>
      </c>
      <c r="C1522" t="str">
        <f t="shared" si="988"/>
        <v>CH</v>
      </c>
      <c r="D1522" t="s">
        <v>1589</v>
      </c>
      <c r="E1522" t="str">
        <f t="shared" si="989"/>
        <v>Billion km/yr.</v>
      </c>
      <c r="F1522" s="13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3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3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3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9.2764324623430994E-7</v>
      </c>
      <c r="J1522" s="13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3.7889396593295693E-6</v>
      </c>
      <c r="K1522" s="13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2.3418778849456295E-6</v>
      </c>
    </row>
    <row r="1523" spans="1:11">
      <c r="A1523" t="s">
        <v>5</v>
      </c>
      <c r="B1523" t="str">
        <f t="shared" si="987"/>
        <v>SPS1</v>
      </c>
      <c r="C1523" t="str">
        <f t="shared" si="988"/>
        <v>CH</v>
      </c>
      <c r="D1523" t="s">
        <v>1590</v>
      </c>
      <c r="E1523" t="str">
        <f t="shared" si="989"/>
        <v>Billion km/yr.</v>
      </c>
      <c r="F1523" s="13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3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3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3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2.7357999138901265E-7</v>
      </c>
      <c r="J1523" s="13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1.2054702988041673E-6</v>
      </c>
      <c r="K1523" s="13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9.6900121414344452E-7</v>
      </c>
    </row>
    <row r="1524" spans="1:11">
      <c r="A1524" t="s">
        <v>5</v>
      </c>
      <c r="B1524" t="str">
        <f t="shared" si="987"/>
        <v>SPS1</v>
      </c>
      <c r="C1524" t="str">
        <f t="shared" si="988"/>
        <v>CH</v>
      </c>
      <c r="D1524" t="s">
        <v>1591</v>
      </c>
      <c r="E1524" t="str">
        <f t="shared" si="989"/>
        <v>Billion km/yr.</v>
      </c>
      <c r="F1524" s="13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3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3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3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0</v>
      </c>
      <c r="J1524" s="13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2.5687307394818231E-7</v>
      </c>
      <c r="K1524" s="13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1.4811008409767741E-7</v>
      </c>
    </row>
    <row r="1525" spans="1:11">
      <c r="A1525" t="s">
        <v>5</v>
      </c>
      <c r="B1525" t="str">
        <f t="shared" si="987"/>
        <v>SPS1</v>
      </c>
      <c r="C1525" t="str">
        <f t="shared" si="988"/>
        <v>CH</v>
      </c>
      <c r="D1525" t="s">
        <v>1592</v>
      </c>
      <c r="E1525" t="str">
        <f t="shared" si="989"/>
        <v>Billion km/yr.</v>
      </c>
      <c r="F1525" s="13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1.6205681063373676</v>
      </c>
      <c r="G1525" s="13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1.0986586863713466</v>
      </c>
      <c r="H1525" s="13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0.77149060813842874</v>
      </c>
      <c r="I1525" s="13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0.38573763443592696</v>
      </c>
      <c r="J1525" s="13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3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1:11">
      <c r="A1526" t="s">
        <v>5</v>
      </c>
      <c r="B1526" t="str">
        <f t="shared" si="987"/>
        <v>SPS1</v>
      </c>
      <c r="C1526" t="str">
        <f t="shared" si="988"/>
        <v>CH</v>
      </c>
      <c r="D1526" t="s">
        <v>1593</v>
      </c>
      <c r="E1526" t="str">
        <f t="shared" si="989"/>
        <v>Billion km/yr.</v>
      </c>
      <c r="F1526" s="13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8.4609664614143751E-2</v>
      </c>
      <c r="G1526" s="13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0.64661203360052932</v>
      </c>
      <c r="H1526" s="13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0.99214015285026347</v>
      </c>
      <c r="I1526" s="13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1.4454833843471355</v>
      </c>
      <c r="J1526" s="13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1.9643694481264471</v>
      </c>
      <c r="K1526" s="13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1.0519074410545388</v>
      </c>
    </row>
    <row r="1527" spans="1:11">
      <c r="A1527" t="s">
        <v>5</v>
      </c>
      <c r="B1527" t="str">
        <f t="shared" si="987"/>
        <v>SPS1</v>
      </c>
      <c r="C1527" t="str">
        <f t="shared" si="988"/>
        <v>CH</v>
      </c>
      <c r="D1527" t="s">
        <v>1594</v>
      </c>
      <c r="E1527" t="str">
        <f t="shared" si="989"/>
        <v>Billion km/yr.</v>
      </c>
      <c r="F1527" s="13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0.12411878812670411</v>
      </c>
      <c r="G1527" s="13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0.17981678829706216</v>
      </c>
      <c r="H1527" s="13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0.1647284312704223</v>
      </c>
      <c r="I1527" s="13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0.11121309266547917</v>
      </c>
      <c r="J1527" s="13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9.8434656796798917E-6</v>
      </c>
      <c r="K1527" s="13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4.4464395968745221E-6</v>
      </c>
    </row>
    <row r="1528" spans="1:11">
      <c r="A1528" t="s">
        <v>5</v>
      </c>
      <c r="B1528" t="str">
        <f t="shared" si="987"/>
        <v>SPS1</v>
      </c>
      <c r="C1528" t="str">
        <f t="shared" si="988"/>
        <v>CH</v>
      </c>
      <c r="D1528" t="s">
        <v>1595</v>
      </c>
      <c r="E1528" t="str">
        <f t="shared" si="989"/>
        <v>Billion km/yr.</v>
      </c>
      <c r="F1528" s="13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8.1208707898127785E-2</v>
      </c>
      <c r="G1528" s="13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2.1677450087367883E-4</v>
      </c>
      <c r="H1528" s="13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2.304269713082224E-4</v>
      </c>
      <c r="I1528" s="13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2.1584032031213919E-4</v>
      </c>
      <c r="J1528" s="13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7.5139244066813553E-5</v>
      </c>
      <c r="K1528" s="13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1.7347445943701412E-6</v>
      </c>
    </row>
    <row r="1529" spans="1:11">
      <c r="A1529" t="s">
        <v>5</v>
      </c>
      <c r="B1529" t="str">
        <f t="shared" si="987"/>
        <v>SPS1</v>
      </c>
      <c r="C1529" t="str">
        <f t="shared" si="988"/>
        <v>CH</v>
      </c>
      <c r="D1529" t="s">
        <v>1596</v>
      </c>
      <c r="E1529" t="str">
        <f t="shared" si="989"/>
        <v>Billion km/yr.</v>
      </c>
      <c r="F1529" s="13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1.8718073247976259E-2</v>
      </c>
      <c r="G1529" s="13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1.3751466762637897E-4</v>
      </c>
      <c r="H1529" s="13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1.498169009795762E-4</v>
      </c>
      <c r="I1529" s="13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1.3841708482815974E-4</v>
      </c>
      <c r="J1529" s="13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1.2978052381584272E-4</v>
      </c>
      <c r="K1529" s="13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9.9508060760395887E-6</v>
      </c>
    </row>
    <row r="1530" spans="1:11">
      <c r="A1530" t="s">
        <v>5</v>
      </c>
      <c r="B1530" s="8" t="str">
        <f t="shared" si="987"/>
        <v>SPS1</v>
      </c>
      <c r="C1530" s="8" t="str">
        <f t="shared" si="988"/>
        <v>CH</v>
      </c>
      <c r="D1530" s="1" t="s">
        <v>1598</v>
      </c>
      <c r="E1530" s="1" t="s">
        <v>1297</v>
      </c>
      <c r="F1530" s="26" t="s">
        <v>1607</v>
      </c>
      <c r="G1530" s="26" t="s">
        <v>1607</v>
      </c>
      <c r="H1530" s="26" t="s">
        <v>1607</v>
      </c>
      <c r="I1530" s="26" t="s">
        <v>1607</v>
      </c>
      <c r="J1530" s="26" t="s">
        <v>1607</v>
      </c>
      <c r="K1530" s="26" t="s">
        <v>1607</v>
      </c>
    </row>
    <row r="1531" spans="1:11">
      <c r="A1531" t="s">
        <v>5</v>
      </c>
      <c r="B1531" t="str">
        <f t="shared" si="987"/>
        <v>SPS1</v>
      </c>
      <c r="C1531" t="str">
        <f t="shared" si="988"/>
        <v>CH</v>
      </c>
      <c r="D1531" t="s">
        <v>1599</v>
      </c>
      <c r="E1531" t="s">
        <v>1297</v>
      </c>
      <c r="F1531" s="13">
        <f t="shared" ref="F1531:K1534" si="990">IFERROR(F1517/F1497,"-")</f>
        <v>11.098927012431901</v>
      </c>
      <c r="G1531" s="13">
        <f t="shared" si="990"/>
        <v>11.105961183419215</v>
      </c>
      <c r="H1531" s="13">
        <f t="shared" si="990"/>
        <v>11.106010629990998</v>
      </c>
      <c r="I1531" s="13">
        <f t="shared" si="990"/>
        <v>11.108543573709994</v>
      </c>
      <c r="J1531" s="13">
        <f t="shared" si="990"/>
        <v>11.57881987337316</v>
      </c>
      <c r="K1531" s="13">
        <f t="shared" si="990"/>
        <v>11.913833232415257</v>
      </c>
    </row>
    <row r="1532" spans="1:11">
      <c r="A1532" t="s">
        <v>5</v>
      </c>
      <c r="B1532" t="str">
        <f t="shared" si="987"/>
        <v>SPS1</v>
      </c>
      <c r="C1532" t="str">
        <f t="shared" si="988"/>
        <v>CH</v>
      </c>
      <c r="D1532" t="s">
        <v>1600</v>
      </c>
      <c r="E1532" t="s">
        <v>1297</v>
      </c>
      <c r="F1532" s="13">
        <f t="shared" si="990"/>
        <v>6.2845243629359899</v>
      </c>
      <c r="G1532" s="13">
        <f t="shared" si="990"/>
        <v>6.28668020523736</v>
      </c>
      <c r="H1532" s="13">
        <f t="shared" si="990"/>
        <v>6.2867549042291033</v>
      </c>
      <c r="I1532" s="13">
        <f t="shared" si="990"/>
        <v>6.2875163912227627</v>
      </c>
      <c r="J1532" s="13">
        <f t="shared" si="990"/>
        <v>6.5520486708731633</v>
      </c>
      <c r="K1532" s="13">
        <f t="shared" si="990"/>
        <v>6.6331280635321512</v>
      </c>
    </row>
    <row r="1533" spans="1:11">
      <c r="A1533" t="s">
        <v>5</v>
      </c>
      <c r="B1533" t="str">
        <f t="shared" si="987"/>
        <v>SPS1</v>
      </c>
      <c r="C1533" t="str">
        <f t="shared" si="988"/>
        <v>CH</v>
      </c>
      <c r="D1533" t="s">
        <v>1601</v>
      </c>
      <c r="E1533" t="s">
        <v>1297</v>
      </c>
      <c r="F1533" s="13">
        <f t="shared" si="990"/>
        <v>4.0901432735634922</v>
      </c>
      <c r="G1533" s="13">
        <f t="shared" si="990"/>
        <v>4.0944671025051109</v>
      </c>
      <c r="H1533" s="13">
        <f t="shared" si="990"/>
        <v>4.0946352825511987</v>
      </c>
      <c r="I1533" s="13">
        <f t="shared" si="990"/>
        <v>4.0949886301792331</v>
      </c>
      <c r="J1533" s="13">
        <f t="shared" si="990"/>
        <v>4.10198653759248</v>
      </c>
      <c r="K1533" s="13">
        <f t="shared" si="990"/>
        <v>4.3481877782383949</v>
      </c>
    </row>
    <row r="1534" spans="1:11">
      <c r="A1534" t="s">
        <v>5</v>
      </c>
      <c r="B1534" t="str">
        <f t="shared" si="987"/>
        <v>SPS1</v>
      </c>
      <c r="C1534" t="str">
        <f t="shared" si="988"/>
        <v>CH</v>
      </c>
      <c r="D1534" t="s">
        <v>1602</v>
      </c>
      <c r="E1534" t="s">
        <v>1297</v>
      </c>
      <c r="F1534" s="13">
        <f t="shared" si="990"/>
        <v>3.7650534829600395</v>
      </c>
      <c r="G1534" s="13">
        <f t="shared" si="990"/>
        <v>3.7719371324856508</v>
      </c>
      <c r="H1534" s="13">
        <f t="shared" si="990"/>
        <v>3.7730857800483171</v>
      </c>
      <c r="I1534" s="13">
        <f t="shared" si="990"/>
        <v>3.7747541764003003</v>
      </c>
      <c r="J1534" s="13">
        <f t="shared" si="990"/>
        <v>3.7853925347180897</v>
      </c>
      <c r="K1534" s="13">
        <f t="shared" si="990"/>
        <v>3.8874191112058183</v>
      </c>
    </row>
    <row r="1535" spans="1:11">
      <c r="A1535" t="s">
        <v>5</v>
      </c>
      <c r="B1535" t="str">
        <f t="shared" si="987"/>
        <v>SPS1</v>
      </c>
      <c r="C1535" t="str">
        <f t="shared" si="988"/>
        <v>CH</v>
      </c>
      <c r="D1535" t="s">
        <v>1603</v>
      </c>
      <c r="E1535" t="s">
        <v>1297</v>
      </c>
      <c r="F1535" s="13" t="str">
        <f t="shared" ref="F1535:K1538" si="991">IFERROR(F1521/F1502,"-")</f>
        <v>-</v>
      </c>
      <c r="G1535" s="13" t="str">
        <f t="shared" si="991"/>
        <v>-</v>
      </c>
      <c r="H1535" s="13" t="str">
        <f t="shared" si="991"/>
        <v>-</v>
      </c>
      <c r="I1535" s="13">
        <f t="shared" si="991"/>
        <v>4.6391179485367822</v>
      </c>
      <c r="J1535" s="13">
        <f t="shared" si="991"/>
        <v>4.7494908730436336</v>
      </c>
      <c r="K1535" s="13">
        <f t="shared" si="991"/>
        <v>4.8775060188634596</v>
      </c>
    </row>
    <row r="1536" spans="1:11">
      <c r="A1536" t="s">
        <v>5</v>
      </c>
      <c r="B1536" t="str">
        <f t="shared" si="987"/>
        <v>SPS1</v>
      </c>
      <c r="C1536" t="str">
        <f t="shared" si="988"/>
        <v>CH</v>
      </c>
      <c r="D1536" t="s">
        <v>1604</v>
      </c>
      <c r="E1536" t="s">
        <v>1297</v>
      </c>
      <c r="F1536" s="13" t="str">
        <f t="shared" si="991"/>
        <v>-</v>
      </c>
      <c r="G1536" s="13" t="str">
        <f t="shared" si="991"/>
        <v>-</v>
      </c>
      <c r="H1536" s="13" t="str">
        <f t="shared" si="991"/>
        <v>-</v>
      </c>
      <c r="I1536" s="13">
        <f t="shared" si="991"/>
        <v>2.70088685099936</v>
      </c>
      <c r="J1536" s="13">
        <f t="shared" si="991"/>
        <v>2.7549990238420983</v>
      </c>
      <c r="K1536" s="13">
        <f t="shared" si="991"/>
        <v>2.8147010986539165</v>
      </c>
    </row>
    <row r="1537" spans="1:11">
      <c r="A1537" t="s">
        <v>5</v>
      </c>
      <c r="B1537" t="str">
        <f t="shared" si="987"/>
        <v>SPS1</v>
      </c>
      <c r="C1537" t="str">
        <f t="shared" si="988"/>
        <v>CH</v>
      </c>
      <c r="D1537" t="s">
        <v>1605</v>
      </c>
      <c r="E1537" t="s">
        <v>1297</v>
      </c>
      <c r="F1537" s="13" t="str">
        <f t="shared" si="991"/>
        <v>-</v>
      </c>
      <c r="G1537" s="13" t="str">
        <f t="shared" si="991"/>
        <v>-</v>
      </c>
      <c r="H1537" s="13" t="str">
        <f t="shared" si="991"/>
        <v>-</v>
      </c>
      <c r="I1537" s="13">
        <f t="shared" si="991"/>
        <v>1.7606485351727288</v>
      </c>
      <c r="J1537" s="13">
        <f t="shared" si="991"/>
        <v>1.7888393683676509</v>
      </c>
      <c r="K1537" s="13">
        <f t="shared" si="991"/>
        <v>1.8285932857449134</v>
      </c>
    </row>
    <row r="1538" spans="1:11">
      <c r="A1538" t="s">
        <v>5</v>
      </c>
      <c r="B1538" t="str">
        <f t="shared" si="987"/>
        <v>SPS1</v>
      </c>
      <c r="C1538" t="str">
        <f t="shared" si="988"/>
        <v>CH</v>
      </c>
      <c r="D1538" t="s">
        <v>1606</v>
      </c>
      <c r="E1538" t="s">
        <v>1297</v>
      </c>
      <c r="F1538" s="13" t="str">
        <f t="shared" si="991"/>
        <v>-</v>
      </c>
      <c r="G1538" s="13" t="str">
        <f t="shared" si="991"/>
        <v>-</v>
      </c>
      <c r="H1538" s="13" t="str">
        <f t="shared" si="991"/>
        <v>-</v>
      </c>
      <c r="I1538" s="13" t="str">
        <f t="shared" si="991"/>
        <v>-</v>
      </c>
      <c r="J1538" s="13">
        <f t="shared" si="991"/>
        <v>1.5924947739547943</v>
      </c>
      <c r="K1538" s="13">
        <f t="shared" si="991"/>
        <v>1.6205278359782473</v>
      </c>
    </row>
    <row r="1539" spans="1:11">
      <c r="A1539" t="s">
        <v>5</v>
      </c>
      <c r="B1539" t="str">
        <f t="shared" si="987"/>
        <v>SPS1</v>
      </c>
      <c r="C1539" t="str">
        <f t="shared" si="988"/>
        <v>CH</v>
      </c>
      <c r="D1539" t="s">
        <v>1662</v>
      </c>
      <c r="E1539" t="s">
        <v>1297</v>
      </c>
      <c r="F1539" s="13">
        <f t="shared" ref="F1539:K1543" si="992">IFERROR(F1525/F1511,"-")</f>
        <v>0.77116510534577853</v>
      </c>
      <c r="G1539" s="13">
        <f t="shared" si="992"/>
        <v>0.78723832996732002</v>
      </c>
      <c r="H1539" s="13">
        <f t="shared" si="992"/>
        <v>0.81134816689963374</v>
      </c>
      <c r="I1539" s="13">
        <f t="shared" si="992"/>
        <v>0.8515312284534895</v>
      </c>
      <c r="J1539" s="13" t="str">
        <f t="shared" si="992"/>
        <v>-</v>
      </c>
      <c r="K1539" s="13" t="str">
        <f t="shared" si="992"/>
        <v>-</v>
      </c>
    </row>
    <row r="1540" spans="1:11">
      <c r="A1540" t="s">
        <v>5</v>
      </c>
      <c r="B1540" t="str">
        <f t="shared" si="987"/>
        <v>SPS1</v>
      </c>
      <c r="C1540" t="str">
        <f t="shared" si="988"/>
        <v>CH</v>
      </c>
      <c r="D1540" t="s">
        <v>1663</v>
      </c>
      <c r="E1540" t="s">
        <v>1297</v>
      </c>
      <c r="F1540" s="13">
        <f t="shared" si="992"/>
        <v>1.9078836334110869</v>
      </c>
      <c r="G1540" s="13">
        <f t="shared" si="992"/>
        <v>1.9232485505260404</v>
      </c>
      <c r="H1540" s="13">
        <f t="shared" si="992"/>
        <v>1.933363075425319</v>
      </c>
      <c r="I1540" s="13">
        <f t="shared" si="992"/>
        <v>1.9671630475026614</v>
      </c>
      <c r="J1540" s="13">
        <f t="shared" si="992"/>
        <v>2.0617108486560229</v>
      </c>
      <c r="K1540" s="13">
        <f t="shared" si="992"/>
        <v>2.1370021469434524</v>
      </c>
    </row>
    <row r="1541" spans="1:11">
      <c r="A1541" t="s">
        <v>5</v>
      </c>
      <c r="B1541" t="str">
        <f t="shared" si="987"/>
        <v>SPS1</v>
      </c>
      <c r="C1541" t="str">
        <f t="shared" si="988"/>
        <v>CH</v>
      </c>
      <c r="D1541" t="s">
        <v>1664</v>
      </c>
      <c r="E1541" t="s">
        <v>1297</v>
      </c>
      <c r="F1541" s="13">
        <f t="shared" si="992"/>
        <v>1.1027629847473206</v>
      </c>
      <c r="G1541" s="13">
        <f t="shared" si="992"/>
        <v>1.1042896711311918</v>
      </c>
      <c r="H1541" s="13">
        <f t="shared" si="992"/>
        <v>1.1044278152861771</v>
      </c>
      <c r="I1541" s="13">
        <f t="shared" si="992"/>
        <v>1.1045287932345202</v>
      </c>
      <c r="J1541" s="13">
        <f t="shared" si="992"/>
        <v>1.1814645254041134</v>
      </c>
      <c r="K1541" s="13">
        <f t="shared" si="992"/>
        <v>1.2147553008898573</v>
      </c>
    </row>
    <row r="1542" spans="1:11">
      <c r="A1542" t="s">
        <v>5</v>
      </c>
      <c r="B1542" t="str">
        <f t="shared" si="987"/>
        <v>SPS1</v>
      </c>
      <c r="C1542" t="str">
        <f t="shared" si="988"/>
        <v>CH</v>
      </c>
      <c r="D1542" t="s">
        <v>1665</v>
      </c>
      <c r="E1542" t="s">
        <v>1297</v>
      </c>
      <c r="F1542" s="13">
        <f t="shared" si="992"/>
        <v>0.72942698043636922</v>
      </c>
      <c r="G1542" s="13">
        <f t="shared" si="992"/>
        <v>0.73083016801907996</v>
      </c>
      <c r="H1542" s="13">
        <f t="shared" si="992"/>
        <v>0.73089791570363993</v>
      </c>
      <c r="I1542" s="13">
        <f t="shared" si="992"/>
        <v>0.73109633978911026</v>
      </c>
      <c r="J1542" s="13">
        <f t="shared" si="992"/>
        <v>0.73346077078519178</v>
      </c>
      <c r="K1542" s="13">
        <f t="shared" si="992"/>
        <v>0.7938832931072537</v>
      </c>
    </row>
    <row r="1543" spans="1:11">
      <c r="A1543" t="s">
        <v>5</v>
      </c>
      <c r="B1543" t="str">
        <f t="shared" si="987"/>
        <v>SPS1</v>
      </c>
      <c r="C1543" t="str">
        <f t="shared" si="988"/>
        <v>CH</v>
      </c>
      <c r="D1543" t="s">
        <v>1666</v>
      </c>
      <c r="E1543" t="s">
        <v>1297</v>
      </c>
      <c r="F1543" s="13">
        <f t="shared" si="992"/>
        <v>0.6758016652568728</v>
      </c>
      <c r="G1543" s="13">
        <f t="shared" si="992"/>
        <v>0.67669373172923175</v>
      </c>
      <c r="H1543" s="13">
        <f t="shared" si="992"/>
        <v>0.67672721388816093</v>
      </c>
      <c r="I1543" s="13">
        <f t="shared" si="992"/>
        <v>0.67679441155424269</v>
      </c>
      <c r="J1543" s="13">
        <f t="shared" si="992"/>
        <v>0.67703317495125315</v>
      </c>
      <c r="K1543" s="13">
        <f t="shared" si="992"/>
        <v>0.68095886248935156</v>
      </c>
    </row>
    <row r="1544" spans="1:11">
      <c r="A1544" t="s">
        <v>5</v>
      </c>
      <c r="B1544" s="1" t="str">
        <f>B1543</f>
        <v>SPS1</v>
      </c>
      <c r="C1544" s="1" t="str">
        <f>C1543</f>
        <v>CH</v>
      </c>
      <c r="D1544" s="1" t="s">
        <v>1615</v>
      </c>
      <c r="E1544" s="1" t="s">
        <v>8</v>
      </c>
      <c r="F1544" s="16">
        <f>F1545+F1548+F1550+F1557+F1565</f>
        <v>16.758459321573213</v>
      </c>
      <c r="G1544" s="16">
        <f t="shared" ref="G1544:K1544" si="993">G1545+G1548+G1550+G1557+G1565</f>
        <v>15.630785461614277</v>
      </c>
      <c r="H1544" s="16">
        <f t="shared" si="993"/>
        <v>14.104722306515601</v>
      </c>
      <c r="I1544" s="16">
        <f t="shared" si="993"/>
        <v>11.74157201997137</v>
      </c>
      <c r="J1544" s="16">
        <f t="shared" si="993"/>
        <v>9.4534102995267801</v>
      </c>
      <c r="K1544" s="16">
        <f t="shared" si="993"/>
        <v>9.3834625300660335</v>
      </c>
    </row>
    <row r="1545" spans="1:11">
      <c r="A1545" t="s">
        <v>5</v>
      </c>
      <c r="B1545" t="str">
        <f t="shared" ref="B1545:B1590" si="994">B1544</f>
        <v>SPS1</v>
      </c>
      <c r="C1545" t="str">
        <f t="shared" ref="C1545:C1590" si="995">C1544</f>
        <v>CH</v>
      </c>
      <c r="D1545" t="s">
        <v>1616</v>
      </c>
      <c r="E1545" t="str">
        <f>E1544</f>
        <v>PJ/yr.</v>
      </c>
      <c r="F1545" s="13">
        <f>SUM(F1546:F1547)</f>
        <v>4.5104554621812273E-2</v>
      </c>
      <c r="G1545" s="13">
        <f t="shared" ref="G1545:K1545" si="996">SUM(G1546:G1547)</f>
        <v>5.4636305741661874E-2</v>
      </c>
      <c r="H1545" s="13">
        <f t="shared" si="996"/>
        <v>0.19332900148060161</v>
      </c>
      <c r="I1545" s="13">
        <f t="shared" si="996"/>
        <v>0.72826300066992877</v>
      </c>
      <c r="J1545" s="13">
        <f t="shared" si="996"/>
        <v>2.976762559574706</v>
      </c>
      <c r="K1545" s="13">
        <f t="shared" si="996"/>
        <v>4.9067321640732811</v>
      </c>
    </row>
    <row r="1546" spans="1:11">
      <c r="A1546" t="s">
        <v>5</v>
      </c>
      <c r="B1546" t="str">
        <f t="shared" si="994"/>
        <v>SPS1</v>
      </c>
      <c r="C1546" t="str">
        <f t="shared" si="995"/>
        <v>CH</v>
      </c>
      <c r="D1546" t="s">
        <v>1623</v>
      </c>
      <c r="E1546" t="str">
        <f t="shared" ref="E1546:E1570" si="997">E1545</f>
        <v>PJ/yr.</v>
      </c>
      <c r="F1546" s="13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9.3645162534444337E-3</v>
      </c>
      <c r="G1546" s="13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2.8152087425012315E-3</v>
      </c>
      <c r="H1546" s="13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6.0994998801233314E-3</v>
      </c>
      <c r="I1546" s="13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3.0505301536480687E-3</v>
      </c>
      <c r="J1546" s="13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3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1:11">
      <c r="A1547" t="s">
        <v>5</v>
      </c>
      <c r="B1547" t="str">
        <f t="shared" si="994"/>
        <v>SPS1</v>
      </c>
      <c r="C1547" t="str">
        <f t="shared" si="995"/>
        <v>CH</v>
      </c>
      <c r="D1547" t="s">
        <v>1624</v>
      </c>
      <c r="E1547" t="str">
        <f t="shared" si="997"/>
        <v>PJ/yr.</v>
      </c>
      <c r="F1547" s="13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3.5740038368367838E-2</v>
      </c>
      <c r="G1547" s="13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5.182109699916064E-2</v>
      </c>
      <c r="H1547" s="13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0.18722950160047827</v>
      </c>
      <c r="I1547" s="13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0.72521247051628068</v>
      </c>
      <c r="J1547" s="13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2.976762559574706</v>
      </c>
      <c r="K1547" s="13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4.9067321640732811</v>
      </c>
    </row>
    <row r="1548" spans="1:11">
      <c r="A1548" t="s">
        <v>5</v>
      </c>
      <c r="B1548" t="str">
        <f t="shared" si="994"/>
        <v>SPS1</v>
      </c>
      <c r="C1548" t="str">
        <f t="shared" si="995"/>
        <v>CH</v>
      </c>
      <c r="D1548" t="s">
        <v>1617</v>
      </c>
      <c r="E1548" t="str">
        <f t="shared" si="997"/>
        <v>PJ/yr.</v>
      </c>
      <c r="F1548" s="13">
        <f>F1549</f>
        <v>0</v>
      </c>
      <c r="G1548" s="13">
        <f t="shared" ref="G1548:K1548" si="998">G1549</f>
        <v>1.9344775366924635E-2</v>
      </c>
      <c r="H1548" s="13">
        <f t="shared" si="998"/>
        <v>1.9910767285771735E-6</v>
      </c>
      <c r="I1548" s="13">
        <f t="shared" si="998"/>
        <v>0.16781556206109513</v>
      </c>
      <c r="J1548" s="13">
        <f t="shared" si="998"/>
        <v>0.11953145460406767</v>
      </c>
      <c r="K1548" s="13">
        <f t="shared" si="998"/>
        <v>0.25336173706291071</v>
      </c>
    </row>
    <row r="1549" spans="1:11">
      <c r="A1549" t="s">
        <v>5</v>
      </c>
      <c r="B1549" t="str">
        <f t="shared" si="994"/>
        <v>SPS1</v>
      </c>
      <c r="C1549" t="str">
        <f t="shared" si="995"/>
        <v>CH</v>
      </c>
      <c r="D1549" t="s">
        <v>1625</v>
      </c>
      <c r="E1549" t="str">
        <f t="shared" si="997"/>
        <v>PJ/yr.</v>
      </c>
      <c r="F1549" s="13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3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1.9344775366924635E-2</v>
      </c>
      <c r="H1549" s="13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1.9910767285771735E-6</v>
      </c>
      <c r="I1549" s="13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0.16781556206109513</v>
      </c>
      <c r="J1549" s="13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0.11953145460406767</v>
      </c>
      <c r="K1549" s="13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0.25336173706291071</v>
      </c>
    </row>
    <row r="1550" spans="1:11">
      <c r="A1550" t="s">
        <v>5</v>
      </c>
      <c r="B1550" t="str">
        <f t="shared" si="994"/>
        <v>SPS1</v>
      </c>
      <c r="C1550" t="str">
        <f t="shared" si="995"/>
        <v>CH</v>
      </c>
      <c r="D1550" t="s">
        <v>1618</v>
      </c>
      <c r="E1550" t="str">
        <f t="shared" si="997"/>
        <v>PJ/yr.</v>
      </c>
      <c r="F1550" s="13">
        <f>SUM(F1555:F1556)</f>
        <v>1.1869947308673252</v>
      </c>
      <c r="G1550" s="13">
        <f t="shared" ref="G1550:K1550" si="999">SUM(G1555:G1556)</f>
        <v>2.3871133763653614</v>
      </c>
      <c r="H1550" s="13">
        <f t="shared" si="999"/>
        <v>1.3157705639473933</v>
      </c>
      <c r="I1550" s="13">
        <f t="shared" si="999"/>
        <v>0.84615133839948109</v>
      </c>
      <c r="J1550" s="13">
        <f t="shared" si="999"/>
        <v>0.19957985127466443</v>
      </c>
      <c r="K1550" s="13">
        <f t="shared" si="999"/>
        <v>0.22714637051963302</v>
      </c>
    </row>
    <row r="1551" spans="1:11">
      <c r="A1551" t="s">
        <v>5</v>
      </c>
      <c r="B1551" t="str">
        <f t="shared" si="994"/>
        <v>SPS1</v>
      </c>
      <c r="C1551" t="str">
        <f t="shared" si="995"/>
        <v>CH</v>
      </c>
      <c r="D1551" t="s">
        <v>1619</v>
      </c>
      <c r="E1551" t="str">
        <f t="shared" si="997"/>
        <v>PJ/yr.</v>
      </c>
      <c r="F1551" s="13">
        <f>F1550-F1552</f>
        <v>1.1220186346684917</v>
      </c>
      <c r="G1551" s="13">
        <f t="shared" ref="G1551:K1551" si="1000">G1550-G1552</f>
        <v>2.2564426905396329</v>
      </c>
      <c r="H1551" s="13">
        <f t="shared" si="1000"/>
        <v>1.2437452264675573</v>
      </c>
      <c r="I1551" s="13">
        <f t="shared" si="1000"/>
        <v>0.79983251240634046</v>
      </c>
      <c r="J1551" s="13">
        <f t="shared" si="1000"/>
        <v>9.8208219534926838E-2</v>
      </c>
      <c r="K1551" s="13">
        <f t="shared" si="1000"/>
        <v>2.538680217573322E-2</v>
      </c>
    </row>
    <row r="1552" spans="1:11">
      <c r="A1552" t="s">
        <v>5</v>
      </c>
      <c r="B1552" t="str">
        <f t="shared" si="994"/>
        <v>SPS1</v>
      </c>
      <c r="C1552" t="str">
        <f t="shared" si="995"/>
        <v>CH</v>
      </c>
      <c r="D1552" t="s">
        <v>1620</v>
      </c>
      <c r="E1552" t="str">
        <f t="shared" si="997"/>
        <v>PJ/yr.</v>
      </c>
      <c r="F1552" s="13">
        <f>SUM(F1553:F1554)</f>
        <v>6.4976096198833544E-2</v>
      </c>
      <c r="G1552" s="13">
        <f t="shared" ref="G1552:K1552" si="1001">SUM(G1553:G1554)</f>
        <v>0.13067068582572852</v>
      </c>
      <c r="H1552" s="13">
        <f t="shared" si="1001"/>
        <v>7.2025337479836027E-2</v>
      </c>
      <c r="I1552" s="13">
        <f t="shared" si="1001"/>
        <v>4.6318825993140619E-2</v>
      </c>
      <c r="J1552" s="13">
        <f t="shared" si="1001"/>
        <v>0.10137163173973759</v>
      </c>
      <c r="K1552" s="13">
        <f t="shared" si="1001"/>
        <v>0.2017595683438998</v>
      </c>
    </row>
    <row r="1553" spans="1:11">
      <c r="A1553" t="s">
        <v>5</v>
      </c>
      <c r="B1553" t="str">
        <f t="shared" si="994"/>
        <v>SPS1</v>
      </c>
      <c r="C1553" t="str">
        <f t="shared" si="995"/>
        <v>CH</v>
      </c>
      <c r="D1553" t="s">
        <v>1621</v>
      </c>
      <c r="E1553" t="str">
        <f t="shared" si="997"/>
        <v>PJ/yr.</v>
      </c>
      <c r="F1553" s="13">
        <f>[1]Transport!B$25/SUM([1]Transport!B$21,[1]Transport!B$25)*F1550*(F$34+F$598)/(F$34+F$598+F$37)</f>
        <v>6.4976096198833544E-2</v>
      </c>
      <c r="G1553" s="13">
        <f>[1]Transport!C$25/SUM([1]Transport!C$21,[1]Transport!C$25)*G1550*(G$34+G$598)/(G$34+G$598+G$37)</f>
        <v>0.13067068582572852</v>
      </c>
      <c r="H1553" s="13">
        <f>[1]Transport!D$25/SUM([1]Transport!D$21,[1]Transport!D$25)*H1550*(H$34+H$598)/(H$34+H$598+H$37)</f>
        <v>7.2025337479836027E-2</v>
      </c>
      <c r="I1553" s="13">
        <f>[1]Transport!E$25/SUM([1]Transport!E$21,[1]Transport!E$25)*I1550*(I$34+I$598)/(I$34+I$598+I$37)</f>
        <v>4.6318825993140619E-2</v>
      </c>
      <c r="J1553" s="13">
        <f>[1]Transport!F$25/SUM([1]Transport!F$21,[1]Transport!F$25)*J1550*(J$34+J$598)/(J$34+J$598+J$37)</f>
        <v>8.0304975292961239E-2</v>
      </c>
      <c r="K1553" s="13">
        <f>[1]Transport!G$25/SUM([1]Transport!G$21,[1]Transport!G$25)*K1550*(K$34+K$598)/(K$34+K$598+K$37)</f>
        <v>0.19176687752725907</v>
      </c>
    </row>
    <row r="1554" spans="1:11">
      <c r="A1554" t="s">
        <v>5</v>
      </c>
      <c r="B1554" t="str">
        <f t="shared" si="994"/>
        <v>SPS1</v>
      </c>
      <c r="C1554" t="str">
        <f t="shared" si="995"/>
        <v>CH</v>
      </c>
      <c r="D1554" t="s">
        <v>1622</v>
      </c>
      <c r="E1554" t="str">
        <f t="shared" si="997"/>
        <v>PJ/yr.</v>
      </c>
      <c r="F1554" s="13">
        <f>(F$37+F$717)/([1]Transport!B$21+[1]Transport!B$25)*F1550</f>
        <v>0</v>
      </c>
      <c r="G1554" s="13">
        <f>(G$37+G$717)/([1]Transport!C$21+[1]Transport!C$25)*G1550</f>
        <v>0</v>
      </c>
      <c r="H1554" s="13">
        <f>(H$37+H$717)/([1]Transport!D$21+[1]Transport!D$25)*H1550</f>
        <v>0</v>
      </c>
      <c r="I1554" s="13">
        <f>(I$37+I$717)/([1]Transport!E$21+[1]Transport!E$25)*I1550</f>
        <v>0</v>
      </c>
      <c r="J1554" s="13">
        <f>(J$37+J$717)/([1]Transport!F$21+[1]Transport!F$25)*J1550</f>
        <v>2.1066656446776348E-2</v>
      </c>
      <c r="K1554" s="13">
        <f>(K$37+K$717)/([1]Transport!G$21+[1]Transport!G$25)*K1550</f>
        <v>9.9926908166407258E-3</v>
      </c>
    </row>
    <row r="1555" spans="1:11">
      <c r="A1555" t="s">
        <v>5</v>
      </c>
      <c r="B1555" t="str">
        <f t="shared" si="994"/>
        <v>SPS1</v>
      </c>
      <c r="C1555" t="str">
        <f t="shared" si="995"/>
        <v>CH</v>
      </c>
      <c r="D1555" t="s">
        <v>1668</v>
      </c>
      <c r="E1555" t="str">
        <f t="shared" si="997"/>
        <v>PJ/yr.</v>
      </c>
      <c r="F1555" s="13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0.83127913221733929</v>
      </c>
      <c r="G1555" s="13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1.8102680933193793</v>
      </c>
      <c r="H1555" s="13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0.5415777038361872</v>
      </c>
      <c r="I1555" s="13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0.27078264483968228</v>
      </c>
      <c r="J1555" s="13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3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1:11">
      <c r="A1556" t="s">
        <v>5</v>
      </c>
      <c r="B1556" t="str">
        <f t="shared" si="994"/>
        <v>SPS1</v>
      </c>
      <c r="C1556" t="str">
        <f t="shared" si="995"/>
        <v>CH</v>
      </c>
      <c r="D1556" t="s">
        <v>1667</v>
      </c>
      <c r="E1556" t="str">
        <f t="shared" si="997"/>
        <v>PJ/yr.</v>
      </c>
      <c r="F1556" s="13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0.35571559864998586</v>
      </c>
      <c r="G1556" s="13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0.57684528304598226</v>
      </c>
      <c r="H1556" s="13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0.77419286011120603</v>
      </c>
      <c r="I1556" s="13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0.57536869355979881</v>
      </c>
      <c r="J1556" s="13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0.19957985127466443</v>
      </c>
      <c r="K1556" s="13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0.22714637051963302</v>
      </c>
    </row>
    <row r="1557" spans="1:11">
      <c r="A1557" t="s">
        <v>5</v>
      </c>
      <c r="B1557" t="str">
        <f t="shared" si="994"/>
        <v>SPS1</v>
      </c>
      <c r="C1557" t="str">
        <f t="shared" si="995"/>
        <v>CH</v>
      </c>
      <c r="D1557" t="s">
        <v>1626</v>
      </c>
      <c r="E1557" t="str">
        <f t="shared" si="997"/>
        <v>PJ/yr.</v>
      </c>
      <c r="F1557" s="13">
        <f>SUM(F1562:F1564)</f>
        <v>15.520841280022545</v>
      </c>
      <c r="G1557" s="13">
        <f t="shared" ref="G1557:K1557" si="1002">SUM(G1562:G1564)</f>
        <v>13.169691004140329</v>
      </c>
      <c r="H1557" s="13">
        <f t="shared" si="1002"/>
        <v>12.574520156365923</v>
      </c>
      <c r="I1557" s="13">
        <f t="shared" si="1002"/>
        <v>9.9781947613487034</v>
      </c>
      <c r="J1557" s="13">
        <f t="shared" si="1002"/>
        <v>6.1169263173925952</v>
      </c>
      <c r="K1557" s="13">
        <f t="shared" si="1002"/>
        <v>3.9859890925455379</v>
      </c>
    </row>
    <row r="1558" spans="1:11">
      <c r="A1558" t="s">
        <v>5</v>
      </c>
      <c r="B1558" t="str">
        <f t="shared" si="994"/>
        <v>SPS1</v>
      </c>
      <c r="C1558" t="str">
        <f t="shared" si="995"/>
        <v>CH</v>
      </c>
      <c r="D1558" t="s">
        <v>1627</v>
      </c>
      <c r="E1558" t="str">
        <f t="shared" si="997"/>
        <v>PJ/yr.</v>
      </c>
      <c r="F1558" s="13">
        <f>F1557-F1559</f>
        <v>15.139040046337968</v>
      </c>
      <c r="G1558" s="13">
        <f t="shared" ref="G1558:K1558" si="1003">G1557-G1559</f>
        <v>12.828358592243543</v>
      </c>
      <c r="H1558" s="13">
        <f t="shared" si="1003"/>
        <v>12.178764021672537</v>
      </c>
      <c r="I1558" s="13">
        <f t="shared" si="1003"/>
        <v>9.5885133092657622</v>
      </c>
      <c r="J1558" s="13">
        <f t="shared" si="1003"/>
        <v>5.9459676439680305</v>
      </c>
      <c r="K1558" s="13">
        <f t="shared" si="1003"/>
        <v>-0.38732520279540017</v>
      </c>
    </row>
    <row r="1559" spans="1:11">
      <c r="A1559" t="s">
        <v>5</v>
      </c>
      <c r="B1559" t="str">
        <f t="shared" si="994"/>
        <v>SPS1</v>
      </c>
      <c r="C1559" t="str">
        <f t="shared" si="995"/>
        <v>CH</v>
      </c>
      <c r="D1559" t="s">
        <v>1628</v>
      </c>
      <c r="E1559" t="str">
        <f t="shared" si="997"/>
        <v>PJ/yr.</v>
      </c>
      <c r="F1559" s="13">
        <f>SUM(F1560:F1561)</f>
        <v>0.38180123368457708</v>
      </c>
      <c r="G1559" s="13">
        <f t="shared" ref="G1559:K1559" si="1004">SUM(G1560:G1561)</f>
        <v>0.34133241189678676</v>
      </c>
      <c r="H1559" s="13">
        <f t="shared" si="1004"/>
        <v>0.3957561346933865</v>
      </c>
      <c r="I1559" s="13">
        <f t="shared" si="1004"/>
        <v>0.38968145208294086</v>
      </c>
      <c r="J1559" s="13">
        <f t="shared" si="1004"/>
        <v>0.17095867342456458</v>
      </c>
      <c r="K1559" s="13">
        <f t="shared" si="1004"/>
        <v>4.3733142953409381</v>
      </c>
    </row>
    <row r="1560" spans="1:11">
      <c r="A1560" t="s">
        <v>5</v>
      </c>
      <c r="B1560" t="str">
        <f t="shared" si="994"/>
        <v>SPS1</v>
      </c>
      <c r="C1560" t="str">
        <f t="shared" si="995"/>
        <v>CH</v>
      </c>
      <c r="D1560" t="s">
        <v>1629</v>
      </c>
      <c r="E1560" t="str">
        <f t="shared" si="997"/>
        <v>PJ/yr.</v>
      </c>
      <c r="F1560" s="13">
        <f>[1]Transport!B$26/SUM([1]Transport!B$22,[1]Transport!B$26)*F1557*(F$33+F$580)/(F$33+F$580+F$36)</f>
        <v>0.38180123368457708</v>
      </c>
      <c r="G1560" s="13">
        <f>[1]Transport!C$26/SUM([1]Transport!C$22,[1]Transport!C$26)*G1557*(G$33+G$580)/(G$33+G$580+G$36)</f>
        <v>0.34133241189678676</v>
      </c>
      <c r="H1560" s="13">
        <f>[1]Transport!D$26/SUM([1]Transport!D$22,[1]Transport!D$26)*H1557*(H$33+H$580)/(H$33+H$580+H$36)</f>
        <v>0.3957561346933865</v>
      </c>
      <c r="I1560" s="13">
        <f>[1]Transport!E$26/SUM([1]Transport!E$22,[1]Transport!E$26)*I1557*(I$33+I$580)/(I$33+I$580+I$36)</f>
        <v>0.38968145208294086</v>
      </c>
      <c r="J1560" s="13">
        <f>[1]Transport!F$26/SUM([1]Transport!F$22,[1]Transport!F$26)*J1557*(J$33+J$580)/(J$33+J$580+J$36)</f>
        <v>0.17095750861986422</v>
      </c>
      <c r="K1560" s="13">
        <f>[1]Transport!G$26/SUM([1]Transport!G$22,[1]Transport!G$26)*K1557*(K$33+K$580)/(K$33+K$580+K$36)</f>
        <v>0.92116494382074965</v>
      </c>
    </row>
    <row r="1561" spans="1:11">
      <c r="A1561" t="s">
        <v>5</v>
      </c>
      <c r="B1561" t="str">
        <f t="shared" si="994"/>
        <v>SPS1</v>
      </c>
      <c r="C1561" t="str">
        <f t="shared" si="995"/>
        <v>CH</v>
      </c>
      <c r="D1561" t="s">
        <v>1630</v>
      </c>
      <c r="E1561" t="str">
        <f t="shared" si="997"/>
        <v>PJ/yr.</v>
      </c>
      <c r="F1561" s="13">
        <f>(F$36+F$716)/([1]Transport!B$22+[1]Transport!B$26)*F1557</f>
        <v>0</v>
      </c>
      <c r="G1561" s="13">
        <f>(G$36+G$716)/([1]Transport!C$22+[1]Transport!C$26)*G1557</f>
        <v>0</v>
      </c>
      <c r="H1561" s="13">
        <f>(H$36+H$716)/([1]Transport!D$22+[1]Transport!D$26)*H1557</f>
        <v>0</v>
      </c>
      <c r="I1561" s="13">
        <f>(I$36+I$716)/([1]Transport!E$22+[1]Transport!E$26)*I1557</f>
        <v>0</v>
      </c>
      <c r="J1561" s="13">
        <f>(J$36+J$716)/([1]Transport!F$22+[1]Transport!F$26)*J1557</f>
        <v>1.1648047003531894E-6</v>
      </c>
      <c r="K1561" s="13">
        <f>(K$36+K$716)/([1]Transport!G$22+[1]Transport!G$26)*K1557</f>
        <v>3.4521493515201884</v>
      </c>
    </row>
    <row r="1562" spans="1:11">
      <c r="A1562" t="s">
        <v>5</v>
      </c>
      <c r="B1562" t="str">
        <f t="shared" si="994"/>
        <v>SPS1</v>
      </c>
      <c r="C1562" t="str">
        <f t="shared" si="995"/>
        <v>CH</v>
      </c>
      <c r="D1562" t="s">
        <v>1631</v>
      </c>
      <c r="E1562" t="str">
        <f t="shared" si="997"/>
        <v>PJ/yr.</v>
      </c>
      <c r="F1562" s="13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11.068738333249868</v>
      </c>
      <c r="G1562" s="13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7.4386651268597541</v>
      </c>
      <c r="H1562" s="13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5.4504876887863487</v>
      </c>
      <c r="I1562" s="13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2.725232188300128</v>
      </c>
      <c r="J1562" s="13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3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1:11">
      <c r="A1563" t="s">
        <v>5</v>
      </c>
      <c r="B1563" t="str">
        <f t="shared" si="994"/>
        <v>SPS1</v>
      </c>
      <c r="C1563" t="str">
        <f t="shared" si="995"/>
        <v>CH</v>
      </c>
      <c r="D1563" t="s">
        <v>1632</v>
      </c>
      <c r="E1563" t="str">
        <f t="shared" si="997"/>
        <v>PJ/yr.</v>
      </c>
      <c r="F1563" s="13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4.4521029467726754</v>
      </c>
      <c r="G1563" s="13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5.2485046292275976</v>
      </c>
      <c r="H1563" s="13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5.6671065213140528</v>
      </c>
      <c r="I1563" s="13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2.8885510340704212</v>
      </c>
      <c r="J1563" s="13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2.4068836020130078E-5</v>
      </c>
      <c r="K1563" s="13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1.2569197119372021E-5</v>
      </c>
    </row>
    <row r="1564" spans="1:11">
      <c r="A1564" t="s">
        <v>5</v>
      </c>
      <c r="B1564" t="str">
        <f t="shared" si="994"/>
        <v>SPS1</v>
      </c>
      <c r="C1564" t="str">
        <f t="shared" si="995"/>
        <v>CH</v>
      </c>
      <c r="D1564" t="s">
        <v>1633</v>
      </c>
      <c r="E1564" t="str">
        <f t="shared" si="997"/>
        <v>PJ/yr.</v>
      </c>
      <c r="F1564" s="13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3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0.4825212480529778</v>
      </c>
      <c r="H1564" s="13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1.4569259462655209</v>
      </c>
      <c r="I1564" s="13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4.3644115389781533</v>
      </c>
      <c r="J1564" s="13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6.1169022485565749</v>
      </c>
      <c r="K1564" s="13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3.9859765233484183</v>
      </c>
    </row>
    <row r="1565" spans="1:11">
      <c r="A1565" t="s">
        <v>5</v>
      </c>
      <c r="B1565" t="str">
        <f t="shared" si="994"/>
        <v>SPS1</v>
      </c>
      <c r="C1565" t="str">
        <f t="shared" si="995"/>
        <v>CH</v>
      </c>
      <c r="D1565" t="s">
        <v>1634</v>
      </c>
      <c r="E1565" t="str">
        <f t="shared" si="997"/>
        <v>PJ/yr.</v>
      </c>
      <c r="F1565" s="13">
        <f>F1570</f>
        <v>5.5187560615307983E-3</v>
      </c>
      <c r="G1565" s="13">
        <f t="shared" ref="G1565:K1565" si="1005">G1570</f>
        <v>0</v>
      </c>
      <c r="H1565" s="13">
        <f t="shared" si="1005"/>
        <v>2.1100593644955982E-2</v>
      </c>
      <c r="I1565" s="13">
        <f t="shared" si="1005"/>
        <v>2.1147357492160925E-2</v>
      </c>
      <c r="J1565" s="13">
        <f t="shared" si="1005"/>
        <v>4.0610116680745274E-2</v>
      </c>
      <c r="K1565" s="13">
        <f t="shared" si="1005"/>
        <v>1.0233165864671599E-2</v>
      </c>
    </row>
    <row r="1566" spans="1:11">
      <c r="A1566" t="s">
        <v>5</v>
      </c>
      <c r="B1566" t="str">
        <f t="shared" si="994"/>
        <v>SPS1</v>
      </c>
      <c r="C1566" t="str">
        <f t="shared" si="995"/>
        <v>CH</v>
      </c>
      <c r="D1566" t="s">
        <v>1635</v>
      </c>
      <c r="E1566" t="str">
        <f t="shared" si="997"/>
        <v>PJ/yr.</v>
      </c>
      <c r="F1566" s="13">
        <f>F1565-F1567</f>
        <v>5.1026882185216844E-3</v>
      </c>
      <c r="G1566" s="13">
        <f t="shared" ref="G1566:K1566" si="1006">G1565-G1567</f>
        <v>0</v>
      </c>
      <c r="H1566" s="13">
        <f t="shared" si="1006"/>
        <v>1.9683014765146875E-2</v>
      </c>
      <c r="I1566" s="13">
        <f t="shared" si="1006"/>
        <v>2.1147328399529004E-2</v>
      </c>
      <c r="J1566" s="13">
        <f t="shared" si="1006"/>
        <v>-0.21522571230592102</v>
      </c>
      <c r="K1566" s="13">
        <f t="shared" si="1006"/>
        <v>1.0232805235093239E-2</v>
      </c>
    </row>
    <row r="1567" spans="1:11">
      <c r="A1567" t="s">
        <v>5</v>
      </c>
      <c r="B1567" t="str">
        <f t="shared" si="994"/>
        <v>SPS1</v>
      </c>
      <c r="C1567" t="str">
        <f t="shared" si="995"/>
        <v>CH</v>
      </c>
      <c r="D1567" t="s">
        <v>1636</v>
      </c>
      <c r="E1567" t="str">
        <f t="shared" si="997"/>
        <v>PJ/yr.</v>
      </c>
      <c r="F1567" s="13">
        <f>SUM(F1568:F1569)</f>
        <v>4.1606784300911417E-4</v>
      </c>
      <c r="G1567" s="13">
        <f t="shared" ref="G1567:K1567" si="1007">SUM(G1568:G1569)</f>
        <v>0</v>
      </c>
      <c r="H1567" s="13">
        <f t="shared" si="1007"/>
        <v>1.4175788798091067E-3</v>
      </c>
      <c r="I1567" s="13">
        <f t="shared" si="1007"/>
        <v>2.9092631920089849E-8</v>
      </c>
      <c r="J1567" s="13">
        <f t="shared" si="1007"/>
        <v>0.25583582898666629</v>
      </c>
      <c r="K1567" s="13">
        <f t="shared" si="1007"/>
        <v>3.6062957835898063E-7</v>
      </c>
    </row>
    <row r="1568" spans="1:11">
      <c r="A1568" t="s">
        <v>5</v>
      </c>
      <c r="B1568" t="str">
        <f t="shared" si="994"/>
        <v>SPS1</v>
      </c>
      <c r="C1568" t="str">
        <f t="shared" si="995"/>
        <v>CH</v>
      </c>
      <c r="D1568" t="s">
        <v>1637</v>
      </c>
      <c r="E1568" t="str">
        <f t="shared" si="997"/>
        <v>PJ/yr.</v>
      </c>
      <c r="F1568" s="13">
        <f>[1]Transport!B$27/SUM([1]Transport!B$24,[1]Transport!B$27)*F1565*(F$45+F$612)/(F$45+F$612+F$47)</f>
        <v>4.1606784300911417E-4</v>
      </c>
      <c r="G1568" s="13">
        <f>[1]Transport!C$27/SUM([1]Transport!C$24,[1]Transport!C$27)*G1565*(G$45+G$612)/(G$45+G$612+G$47)</f>
        <v>0</v>
      </c>
      <c r="H1568" s="13">
        <f>[1]Transport!D$27/SUM([1]Transport!D$24,[1]Transport!D$27)*H1565*(H$45+H$612)/(H$45+H$612+H$47)</f>
        <v>1.4175788798091067E-3</v>
      </c>
      <c r="I1568" s="13">
        <f>[1]Transport!E$27/SUM([1]Transport!E$24,[1]Transport!E$27)*I1565*(I$45+I$612)/(I$45+I$612+I$47)</f>
        <v>2.9092631920089849E-8</v>
      </c>
      <c r="J1568" s="13">
        <f>[1]Transport!F$27/SUM([1]Transport!F$24,[1]Transport!F$27)*J1565*(J$45+J$612)/(J$45+J$612+J$47)</f>
        <v>4.7041042899218221E-7</v>
      </c>
      <c r="K1568" s="13">
        <f>[1]Transport!G$27/SUM([1]Transport!G$24,[1]Transport!G$27)*K1565*(K$45+K$612)/(K$45+K$612+K$47)</f>
        <v>1.502213305444824E-7</v>
      </c>
    </row>
    <row r="1569" spans="1:11">
      <c r="A1569" t="s">
        <v>5</v>
      </c>
      <c r="B1569" t="str">
        <f t="shared" si="994"/>
        <v>SPS1</v>
      </c>
      <c r="C1569" t="str">
        <f t="shared" si="995"/>
        <v>CH</v>
      </c>
      <c r="D1569" t="s">
        <v>1638</v>
      </c>
      <c r="E1569" t="str">
        <f t="shared" si="997"/>
        <v>PJ/yr.</v>
      </c>
      <c r="F1569" s="13">
        <f>(F$47+F$714)/([1]Transport!B$24+[1]Transport!B$27)*F1565</f>
        <v>0</v>
      </c>
      <c r="G1569" s="13">
        <f>(G$47+G$714)/([1]Transport!C$24+[1]Transport!C$27)*G1565</f>
        <v>0</v>
      </c>
      <c r="H1569" s="13">
        <f>(H$47+H$714)/([1]Transport!D$24+[1]Transport!D$27)*H1565</f>
        <v>0</v>
      </c>
      <c r="I1569" s="13">
        <f>(I$47+I$714)/([1]Transport!E$24+[1]Transport!E$27)*I1565</f>
        <v>0</v>
      </c>
      <c r="J1569" s="13">
        <f>(J$47+J$714)/([1]Transport!F$24+[1]Transport!F$27)*J1565</f>
        <v>0.25583535857623729</v>
      </c>
      <c r="K1569" s="13">
        <f>(K$47+K$714)/([1]Transport!G$24+[1]Transport!G$27)*K1565</f>
        <v>2.1040824781449826E-7</v>
      </c>
    </row>
    <row r="1570" spans="1:11">
      <c r="A1570" t="s">
        <v>5</v>
      </c>
      <c r="B1570" t="str">
        <f t="shared" si="994"/>
        <v>SPS1</v>
      </c>
      <c r="C1570" t="str">
        <f t="shared" si="995"/>
        <v>CH</v>
      </c>
      <c r="D1570" t="s">
        <v>1639</v>
      </c>
      <c r="E1570" t="str">
        <f t="shared" si="997"/>
        <v>PJ/yr.</v>
      </c>
      <c r="F1570" s="13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5.5187560615307983E-3</v>
      </c>
      <c r="G1570" s="13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0</v>
      </c>
      <c r="H1570" s="13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2.1100593644955982E-2</v>
      </c>
      <c r="I1570" s="13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2.1147357492160925E-2</v>
      </c>
      <c r="J1570" s="13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4.0610116680745274E-2</v>
      </c>
      <c r="K1570" s="13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1.0233165864671599E-2</v>
      </c>
    </row>
    <row r="1571" spans="1:11">
      <c r="A1571" t="s">
        <v>5</v>
      </c>
      <c r="B1571" s="1" t="str">
        <f t="shared" si="994"/>
        <v>SPS1</v>
      </c>
      <c r="C1571" s="1" t="str">
        <f t="shared" si="995"/>
        <v>CH</v>
      </c>
      <c r="D1571" s="1" t="s">
        <v>1640</v>
      </c>
      <c r="E1571" s="1" t="s">
        <v>1597</v>
      </c>
      <c r="F1571" s="16">
        <f>SUM(F1572:F1580)</f>
        <v>4.7785999690595942</v>
      </c>
      <c r="G1571" s="16">
        <f t="shared" ref="G1571:K1571" si="1008">SUM(G1572:G1580)</f>
        <v>4.7670698030857173</v>
      </c>
      <c r="H1571" s="16">
        <f t="shared" si="1008"/>
        <v>4.7076567838088614</v>
      </c>
      <c r="I1571" s="16">
        <f t="shared" si="1008"/>
        <v>4.6367081796884344</v>
      </c>
      <c r="J1571" s="16">
        <f t="shared" si="1008"/>
        <v>4.9977791872978363</v>
      </c>
      <c r="K1571" s="16">
        <f t="shared" si="1008"/>
        <v>5.4146033451852009</v>
      </c>
    </row>
    <row r="1572" spans="1:11">
      <c r="A1572" t="s">
        <v>5</v>
      </c>
      <c r="B1572" t="str">
        <f t="shared" si="994"/>
        <v>SPS1</v>
      </c>
      <c r="C1572" t="str">
        <f t="shared" si="995"/>
        <v>CH</v>
      </c>
      <c r="D1572" t="s">
        <v>1641</v>
      </c>
      <c r="E1572" t="s">
        <v>1597</v>
      </c>
      <c r="F1572" s="13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6.4542386126792478E-3</v>
      </c>
      <c r="G1572" s="13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1.9583899150982268E-3</v>
      </c>
      <c r="H1572" s="13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4.3018662435629039E-3</v>
      </c>
      <c r="I1572" s="13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2.1514833922226498E-3</v>
      </c>
      <c r="J1572" s="13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3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1:11">
      <c r="A1573" t="s">
        <v>5</v>
      </c>
      <c r="B1573" t="str">
        <f t="shared" si="994"/>
        <v>SPS1</v>
      </c>
      <c r="C1573" t="str">
        <f t="shared" si="995"/>
        <v>CH</v>
      </c>
      <c r="D1573" t="s">
        <v>1642</v>
      </c>
      <c r="E1573" t="s">
        <v>1597</v>
      </c>
      <c r="F1573" s="13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2.4351745692725749E-2</v>
      </c>
      <c r="G1573" s="13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3.5308696723686882E-2</v>
      </c>
      <c r="H1573" s="13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0.12757023823415792</v>
      </c>
      <c r="I1573" s="13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0.49412900661114589</v>
      </c>
      <c r="J1573" s="13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2.0282397039211935</v>
      </c>
      <c r="K1573" s="13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3.3432391037269871</v>
      </c>
    </row>
    <row r="1574" spans="1:11">
      <c r="A1574" t="s">
        <v>5</v>
      </c>
      <c r="B1574" t="str">
        <f t="shared" si="994"/>
        <v>SPS1</v>
      </c>
      <c r="C1574" t="str">
        <f t="shared" si="995"/>
        <v>CH</v>
      </c>
      <c r="D1574" t="s">
        <v>1643</v>
      </c>
      <c r="E1574" t="s">
        <v>1597</v>
      </c>
      <c r="F1574" s="13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3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8.9973214089134838E-3</v>
      </c>
      <c r="H1574" s="13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9.2605661926922655E-7</v>
      </c>
      <c r="I1574" s="13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8.8874083499786719E-2</v>
      </c>
      <c r="J1574" s="13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6.7943905371398133E-2</v>
      </c>
      <c r="K1574" s="13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0.15169008585357224</v>
      </c>
    </row>
    <row r="1575" spans="1:11">
      <c r="A1575" t="s">
        <v>5</v>
      </c>
      <c r="B1575" t="str">
        <f t="shared" si="994"/>
        <v>SPS1</v>
      </c>
      <c r="C1575" t="str">
        <f t="shared" si="995"/>
        <v>CH</v>
      </c>
      <c r="D1575" t="s">
        <v>1669</v>
      </c>
      <c r="E1575" t="s">
        <v>1597</v>
      </c>
      <c r="F1575" s="13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0.23074916827947084</v>
      </c>
      <c r="G1575" s="13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0.50718342813018003</v>
      </c>
      <c r="H1575" s="13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0.15383567052595651</v>
      </c>
      <c r="I1575" s="13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7.691607213635282E-2</v>
      </c>
      <c r="J1575" s="13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3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1:11">
      <c r="A1576" t="s">
        <v>5</v>
      </c>
      <c r="B1576" t="str">
        <f t="shared" si="994"/>
        <v>SPS1</v>
      </c>
      <c r="C1576" t="str">
        <f t="shared" si="995"/>
        <v>CH</v>
      </c>
      <c r="D1576" t="s">
        <v>1670</v>
      </c>
      <c r="E1576" t="s">
        <v>1597</v>
      </c>
      <c r="F1576" s="13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0.12493785175175239</v>
      </c>
      <c r="G1576" s="13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0.20260514503838564</v>
      </c>
      <c r="H1576" s="13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0.271919457990974</v>
      </c>
      <c r="I1576" s="13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0.20208652308583946</v>
      </c>
      <c r="J1576" s="13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7.0098353757396703E-2</v>
      </c>
      <c r="K1576" s="13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7.9780531620304046E-2</v>
      </c>
    </row>
    <row r="1577" spans="1:11">
      <c r="A1577" t="s">
        <v>5</v>
      </c>
      <c r="B1577" t="str">
        <f t="shared" si="994"/>
        <v>SPS1</v>
      </c>
      <c r="C1577" t="str">
        <f t="shared" si="995"/>
        <v>CH</v>
      </c>
      <c r="D1577" t="s">
        <v>1644</v>
      </c>
      <c r="E1577" t="s">
        <v>1597</v>
      </c>
      <c r="F1577" s="13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2.8672087454792718</v>
      </c>
      <c r="G1577" s="13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1.9930970605319498</v>
      </c>
      <c r="H1577" s="13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1.5331606102508182</v>
      </c>
      <c r="I1577" s="13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0.76657702639811931</v>
      </c>
      <c r="J1577" s="13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3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1:11">
      <c r="A1578" t="s">
        <v>5</v>
      </c>
      <c r="B1578" t="str">
        <f t="shared" si="994"/>
        <v>SPS1</v>
      </c>
      <c r="C1578" t="str">
        <f t="shared" si="995"/>
        <v>CH</v>
      </c>
      <c r="D1578" t="s">
        <v>1645</v>
      </c>
      <c r="E1578" t="s">
        <v>1597</v>
      </c>
      <c r="F1578" s="13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1.5231290333822247</v>
      </c>
      <c r="G1578" s="13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1.7955896074713436</v>
      </c>
      <c r="H1578" s="13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1.9387993901040148</v>
      </c>
      <c r="I1578" s="13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0.98821523154315316</v>
      </c>
      <c r="J1578" s="13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8.2342981238901318E-6</v>
      </c>
      <c r="K1578" s="13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4.3001047567189773E-6</v>
      </c>
    </row>
    <row r="1579" spans="1:11">
      <c r="A1579" t="s">
        <v>5</v>
      </c>
      <c r="B1579" t="str">
        <f t="shared" si="994"/>
        <v>SPS1</v>
      </c>
      <c r="C1579" t="str">
        <f t="shared" si="995"/>
        <v>CH</v>
      </c>
      <c r="D1579" t="s">
        <v>1646</v>
      </c>
      <c r="E1579" t="s">
        <v>1597</v>
      </c>
      <c r="F1579" s="13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3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0.22233015386615904</v>
      </c>
      <c r="H1579" s="13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0.67130426092499995</v>
      </c>
      <c r="I1579" s="13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2.0109793981336046</v>
      </c>
      <c r="J1579" s="13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2.8184703235214275</v>
      </c>
      <c r="K1579" s="13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1.8366088070087501</v>
      </c>
    </row>
    <row r="1580" spans="1:11">
      <c r="A1580" t="s">
        <v>5</v>
      </c>
      <c r="B1580" t="str">
        <f t="shared" si="994"/>
        <v>SPS1</v>
      </c>
      <c r="C1580" t="str">
        <f t="shared" si="995"/>
        <v>CH</v>
      </c>
      <c r="D1580" t="s">
        <v>1647</v>
      </c>
      <c r="E1580" t="s">
        <v>1597</v>
      </c>
      <c r="F1580" s="13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1.7691858614698166E-3</v>
      </c>
      <c r="G1580" s="13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0</v>
      </c>
      <c r="H1580" s="13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6.7643634777582772E-3</v>
      </c>
      <c r="I1580" s="13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6.7793548882102758E-3</v>
      </c>
      <c r="J1580" s="13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1.3018666428297462E-2</v>
      </c>
      <c r="K1580" s="13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3.280516870830984E-3</v>
      </c>
    </row>
    <row r="1581" spans="1:11">
      <c r="A1581" t="s">
        <v>5</v>
      </c>
      <c r="B1581" s="1" t="str">
        <f t="shared" si="994"/>
        <v>SPS1</v>
      </c>
      <c r="C1581" s="1" t="str">
        <f t="shared" si="995"/>
        <v>CH</v>
      </c>
      <c r="D1581" s="1" t="s">
        <v>1648</v>
      </c>
      <c r="E1581" s="1" t="s">
        <v>1656</v>
      </c>
      <c r="F1581" s="26" t="s">
        <v>295</v>
      </c>
      <c r="G1581" s="26" t="s">
        <v>295</v>
      </c>
      <c r="H1581" s="26" t="s">
        <v>295</v>
      </c>
      <c r="I1581" s="26" t="s">
        <v>295</v>
      </c>
      <c r="J1581" s="26" t="s">
        <v>295</v>
      </c>
      <c r="K1581" s="26" t="s">
        <v>295</v>
      </c>
    </row>
    <row r="1582" spans="1:11">
      <c r="A1582" t="s">
        <v>5</v>
      </c>
      <c r="B1582" t="str">
        <f t="shared" si="994"/>
        <v>SPS1</v>
      </c>
      <c r="C1582" t="str">
        <f t="shared" si="995"/>
        <v>CH</v>
      </c>
      <c r="D1582" t="s">
        <v>1649</v>
      </c>
      <c r="E1582" t="s">
        <v>1656</v>
      </c>
      <c r="F1582" s="13">
        <f>IFERROR(F1572/F1546,"-")</f>
        <v>0.68922285337539624</v>
      </c>
      <c r="G1582" s="13">
        <f t="shared" ref="G1582:K1582" si="1009">IFERROR(G1572/G1546,"-")</f>
        <v>0.69564643130450565</v>
      </c>
      <c r="H1582" s="13">
        <f t="shared" si="1009"/>
        <v>0.70528179819816972</v>
      </c>
      <c r="I1582" s="13">
        <f t="shared" si="1009"/>
        <v>0.70528179819817005</v>
      </c>
      <c r="J1582" s="13" t="str">
        <f t="shared" si="1009"/>
        <v>-</v>
      </c>
      <c r="K1582" s="13" t="str">
        <f t="shared" si="1009"/>
        <v>-</v>
      </c>
    </row>
    <row r="1583" spans="1:11">
      <c r="A1583" t="s">
        <v>5</v>
      </c>
      <c r="B1583" t="str">
        <f t="shared" si="994"/>
        <v>SPS1</v>
      </c>
      <c r="C1583" t="str">
        <f t="shared" si="995"/>
        <v>CH</v>
      </c>
      <c r="D1583" t="s">
        <v>1650</v>
      </c>
      <c r="E1583" t="s">
        <v>1656</v>
      </c>
      <c r="F1583" s="13">
        <f>IFERROR(F1573/F1547,"-")</f>
        <v>0.68135756995377383</v>
      </c>
      <c r="G1583" s="13">
        <f t="shared" ref="G1583:K1583" si="1010">IFERROR(G1573/G1547,"-")</f>
        <v>0.68135756995377361</v>
      </c>
      <c r="H1583" s="13">
        <f t="shared" si="1010"/>
        <v>0.68135756995377295</v>
      </c>
      <c r="I1583" s="13">
        <f t="shared" si="1010"/>
        <v>0.68135756995377383</v>
      </c>
      <c r="J1583" s="13">
        <f t="shared" si="1010"/>
        <v>0.68135756995377239</v>
      </c>
      <c r="K1583" s="13">
        <f t="shared" si="1010"/>
        <v>0.68135756995377272</v>
      </c>
    </row>
    <row r="1584" spans="1:11">
      <c r="A1584" t="s">
        <v>5</v>
      </c>
      <c r="B1584" t="str">
        <f t="shared" si="994"/>
        <v>SPS1</v>
      </c>
      <c r="C1584" t="str">
        <f t="shared" si="995"/>
        <v>CH</v>
      </c>
      <c r="D1584" t="s">
        <v>1651</v>
      </c>
      <c r="E1584" t="s">
        <v>1656</v>
      </c>
      <c r="F1584" s="13" t="str">
        <f>IFERROR(F1574/F1549,"-")</f>
        <v>-</v>
      </c>
      <c r="G1584" s="13">
        <f t="shared" ref="G1584:K1584" si="1011">IFERROR(G1574/G1549,"-")</f>
        <v>0.46510343171505364</v>
      </c>
      <c r="H1584" s="13">
        <f t="shared" si="1011"/>
        <v>0.46510343171505403</v>
      </c>
      <c r="I1584" s="13">
        <f t="shared" si="1011"/>
        <v>0.5295938136382794</v>
      </c>
      <c r="J1584" s="13">
        <f t="shared" si="1011"/>
        <v>0.56841862751903627</v>
      </c>
      <c r="K1584" s="13">
        <f t="shared" si="1011"/>
        <v>0.59870952738182015</v>
      </c>
    </row>
    <row r="1585" spans="1:11">
      <c r="A1585" t="s">
        <v>5</v>
      </c>
      <c r="B1585" t="str">
        <f t="shared" si="994"/>
        <v>SPS1</v>
      </c>
      <c r="C1585" t="str">
        <f t="shared" si="995"/>
        <v>CH</v>
      </c>
      <c r="D1585" t="s">
        <v>1671</v>
      </c>
      <c r="E1585" t="s">
        <v>1656</v>
      </c>
      <c r="F1585" s="13">
        <f>IFERROR(F1575/F1555,"-")</f>
        <v>0.27758325613681001</v>
      </c>
      <c r="G1585" s="13">
        <f t="shared" ref="G1585:K1585" si="1012">IFERROR(G1575/G1555,"-")</f>
        <v>0.28017034051580081</v>
      </c>
      <c r="H1585" s="13">
        <f t="shared" si="1012"/>
        <v>0.28405096708428695</v>
      </c>
      <c r="I1585" s="13">
        <f t="shared" si="1012"/>
        <v>0.28405096708428718</v>
      </c>
      <c r="J1585" s="13" t="str">
        <f t="shared" si="1012"/>
        <v>-</v>
      </c>
      <c r="K1585" s="13" t="str">
        <f t="shared" si="1012"/>
        <v>-</v>
      </c>
    </row>
    <row r="1586" spans="1:11">
      <c r="A1586" t="s">
        <v>5</v>
      </c>
      <c r="B1586" t="str">
        <f t="shared" si="994"/>
        <v>SPS1</v>
      </c>
      <c r="C1586" t="str">
        <f t="shared" si="995"/>
        <v>CH</v>
      </c>
      <c r="D1586" t="s">
        <v>1672</v>
      </c>
      <c r="E1586" t="s">
        <v>1656</v>
      </c>
      <c r="F1586" s="13">
        <f>IFERROR(F1576/F1556,"-")</f>
        <v>0.35122961215622067</v>
      </c>
      <c r="G1586" s="13">
        <f t="shared" ref="G1586:K1586" si="1013">IFERROR(G1576/G1556,"-")</f>
        <v>0.35122961215622062</v>
      </c>
      <c r="H1586" s="13">
        <f t="shared" si="1013"/>
        <v>0.35122961215622056</v>
      </c>
      <c r="I1586" s="13">
        <f t="shared" si="1013"/>
        <v>0.35122961215622056</v>
      </c>
      <c r="J1586" s="13">
        <f t="shared" si="1013"/>
        <v>0.35122961215622123</v>
      </c>
      <c r="K1586" s="13">
        <f t="shared" si="1013"/>
        <v>0.35122961215622128</v>
      </c>
    </row>
    <row r="1587" spans="1:11">
      <c r="A1587" t="s">
        <v>5</v>
      </c>
      <c r="B1587" t="str">
        <f t="shared" si="994"/>
        <v>SPS1</v>
      </c>
      <c r="C1587" t="str">
        <f t="shared" si="995"/>
        <v>CH</v>
      </c>
      <c r="D1587" t="s">
        <v>1652</v>
      </c>
      <c r="E1587" t="s">
        <v>1656</v>
      </c>
      <c r="F1587" s="13">
        <f>IFERROR(F1577/F1562,"-")</f>
        <v>0.25903663625928691</v>
      </c>
      <c r="G1587" s="13">
        <f t="shared" ref="G1587:K1587" si="1014">IFERROR(G1577/G1562,"-")</f>
        <v>0.26793746277611225</v>
      </c>
      <c r="H1587" s="13">
        <f t="shared" si="1014"/>
        <v>0.28128870255134997</v>
      </c>
      <c r="I1587" s="13">
        <f t="shared" si="1014"/>
        <v>0.28128870255134997</v>
      </c>
      <c r="J1587" s="13" t="str">
        <f t="shared" si="1014"/>
        <v>-</v>
      </c>
      <c r="K1587" s="13" t="str">
        <f t="shared" si="1014"/>
        <v>-</v>
      </c>
    </row>
    <row r="1588" spans="1:11">
      <c r="A1588" t="s">
        <v>5</v>
      </c>
      <c r="B1588" t="str">
        <f t="shared" si="994"/>
        <v>SPS1</v>
      </c>
      <c r="C1588" t="str">
        <f t="shared" si="995"/>
        <v>CH</v>
      </c>
      <c r="D1588" t="s">
        <v>1653</v>
      </c>
      <c r="E1588" t="s">
        <v>1656</v>
      </c>
      <c r="F1588" s="13">
        <f>IFERROR(F1578/F1563,"-")</f>
        <v>0.34211451343153226</v>
      </c>
      <c r="G1588" s="13">
        <f t="shared" ref="G1588:K1588" si="1015">IFERROR(G1578/G1563,"-")</f>
        <v>0.34211451343153215</v>
      </c>
      <c r="H1588" s="13">
        <f t="shared" si="1015"/>
        <v>0.34211451343153126</v>
      </c>
      <c r="I1588" s="13">
        <f t="shared" si="1015"/>
        <v>0.34211451343153282</v>
      </c>
      <c r="J1588" s="13">
        <f t="shared" si="1015"/>
        <v>0.34211451343153199</v>
      </c>
      <c r="K1588" s="13">
        <f t="shared" si="1015"/>
        <v>0.34211451343153237</v>
      </c>
    </row>
    <row r="1589" spans="1:11">
      <c r="A1589" t="s">
        <v>5</v>
      </c>
      <c r="B1589" t="str">
        <f t="shared" si="994"/>
        <v>SPS1</v>
      </c>
      <c r="C1589" t="str">
        <f t="shared" si="995"/>
        <v>CH</v>
      </c>
      <c r="D1589" t="s">
        <v>1654</v>
      </c>
      <c r="E1589" t="s">
        <v>1656</v>
      </c>
      <c r="F1589" s="13" t="str">
        <f>IFERROR(F1579/F1564,"-")</f>
        <v>-</v>
      </c>
      <c r="G1589" s="13">
        <f t="shared" ref="G1589:K1589" si="1016">IFERROR(G1579/G1564,"-")</f>
        <v>0.46076759264650785</v>
      </c>
      <c r="H1589" s="13">
        <f t="shared" si="1016"/>
        <v>0.46076759264650818</v>
      </c>
      <c r="I1589" s="13">
        <f t="shared" si="1016"/>
        <v>0.46076759264650796</v>
      </c>
      <c r="J1589" s="13">
        <f t="shared" si="1016"/>
        <v>0.46076759264650846</v>
      </c>
      <c r="K1589" s="13">
        <f t="shared" si="1016"/>
        <v>0.46076759264650846</v>
      </c>
    </row>
    <row r="1590" spans="1:11">
      <c r="A1590" t="s">
        <v>5</v>
      </c>
      <c r="B1590" t="str">
        <f t="shared" si="994"/>
        <v>SPS1</v>
      </c>
      <c r="C1590" t="str">
        <f t="shared" si="995"/>
        <v>CH</v>
      </c>
      <c r="D1590" t="s">
        <v>1655</v>
      </c>
      <c r="E1590" t="s">
        <v>1656</v>
      </c>
      <c r="F1590" s="13">
        <f>IFERROR(F1580/F1570,"-")</f>
        <v>0.32057692743517968</v>
      </c>
      <c r="G1590" s="13" t="str">
        <f t="shared" ref="G1590:K1590" si="1017">IFERROR(G1580/G1570,"-")</f>
        <v>-</v>
      </c>
      <c r="H1590" s="13">
        <f t="shared" si="1017"/>
        <v>0.32057692743518013</v>
      </c>
      <c r="I1590" s="13">
        <f t="shared" si="1017"/>
        <v>0.32057692743517968</v>
      </c>
      <c r="J1590" s="13">
        <f t="shared" si="1017"/>
        <v>0.32057692743517979</v>
      </c>
      <c r="K1590" s="13">
        <f t="shared" si="1017"/>
        <v>0.32057692743517957</v>
      </c>
    </row>
    <row r="1591" spans="1:11">
      <c r="A1591" t="s">
        <v>5</v>
      </c>
      <c r="B1591" s="1" t="str">
        <f>B1590</f>
        <v>SPS1</v>
      </c>
      <c r="C1591" s="1" t="str">
        <f>C1590</f>
        <v>CH</v>
      </c>
      <c r="D1591" s="1" t="s">
        <v>1676</v>
      </c>
      <c r="E1591" s="1" t="s">
        <v>8</v>
      </c>
      <c r="F1591" s="16">
        <f>F1592+F1595+F1597+F1604+F1612</f>
        <v>24.512416573805222</v>
      </c>
      <c r="G1591" s="16">
        <f t="shared" ref="G1591" si="1018">G1592+G1595+G1597+G1604+G1612</f>
        <v>21.547443547913023</v>
      </c>
      <c r="H1591" s="16">
        <f t="shared" ref="H1591" si="1019">H1592+H1595+H1597+H1604+H1612</f>
        <v>19.316193210682858</v>
      </c>
      <c r="I1591" s="16">
        <f t="shared" ref="I1591" si="1020">I1592+I1595+I1597+I1604+I1612</f>
        <v>16.294579880928303</v>
      </c>
      <c r="J1591" s="16">
        <f t="shared" ref="J1591" si="1021">J1592+J1595+J1597+J1604+J1612</f>
        <v>14.139670306990006</v>
      </c>
      <c r="K1591" s="16">
        <f t="shared" ref="K1591" si="1022">K1592+K1595+K1597+K1604+K1612</f>
        <v>11.48951947739282</v>
      </c>
    </row>
    <row r="1592" spans="1:11">
      <c r="A1592" t="s">
        <v>5</v>
      </c>
      <c r="B1592" t="str">
        <f t="shared" ref="B1592:B1637" si="1023">B1591</f>
        <v>SPS1</v>
      </c>
      <c r="C1592" t="str">
        <f t="shared" ref="C1592:C1637" si="1024">C1591</f>
        <v>CH</v>
      </c>
      <c r="D1592" t="s">
        <v>1677</v>
      </c>
      <c r="E1592" t="str">
        <f>E1591</f>
        <v>PJ/yr.</v>
      </c>
      <c r="F1592" s="13">
        <f>SUM(F1593:F1594)</f>
        <v>1.0248647936005462E-2</v>
      </c>
      <c r="G1592" s="13">
        <f t="shared" ref="G1592" si="1025">SUM(G1593:G1594)</f>
        <v>2.0746631408640848E-2</v>
      </c>
      <c r="H1592" s="13">
        <f t="shared" ref="H1592" si="1026">SUM(H1593:H1594)</f>
        <v>8.1829068713571304E-2</v>
      </c>
      <c r="I1592" s="13">
        <f t="shared" ref="I1592" si="1027">SUM(I1593:I1594)</f>
        <v>0.28354971727668543</v>
      </c>
      <c r="J1592" s="13">
        <f t="shared" ref="J1592" si="1028">SUM(J1593:J1594)</f>
        <v>1.169619977031181</v>
      </c>
      <c r="K1592" s="13">
        <f t="shared" ref="K1592" si="1029">SUM(K1593:K1594)</f>
        <v>4.0498706297547074</v>
      </c>
    </row>
    <row r="1593" spans="1:11">
      <c r="A1593" t="s">
        <v>5</v>
      </c>
      <c r="B1593" t="str">
        <f t="shared" si="1023"/>
        <v>SPS1</v>
      </c>
      <c r="C1593" t="str">
        <f t="shared" si="1024"/>
        <v>CH</v>
      </c>
      <c r="D1593" t="s">
        <v>1678</v>
      </c>
      <c r="E1593" t="str">
        <f t="shared" ref="E1593:E1617" si="1030">E1592</f>
        <v>PJ/yr.</v>
      </c>
      <c r="F1593" s="13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3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3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3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3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3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1:11">
      <c r="A1594" t="s">
        <v>5</v>
      </c>
      <c r="B1594" t="str">
        <f t="shared" si="1023"/>
        <v>SPS1</v>
      </c>
      <c r="C1594" t="str">
        <f t="shared" si="1024"/>
        <v>CH</v>
      </c>
      <c r="D1594" t="s">
        <v>1679</v>
      </c>
      <c r="E1594" t="str">
        <f t="shared" si="1030"/>
        <v>PJ/yr.</v>
      </c>
      <c r="F1594" s="13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1.0248647936005462E-2</v>
      </c>
      <c r="G1594" s="13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2.0746631408640848E-2</v>
      </c>
      <c r="H1594" s="13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8.1829068713571304E-2</v>
      </c>
      <c r="I1594" s="13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0.28354971727668543</v>
      </c>
      <c r="J1594" s="13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1.169619977031181</v>
      </c>
      <c r="K1594" s="13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4.0498706297547074</v>
      </c>
    </row>
    <row r="1595" spans="1:11">
      <c r="A1595" t="s">
        <v>5</v>
      </c>
      <c r="B1595" t="str">
        <f t="shared" si="1023"/>
        <v>SPS1</v>
      </c>
      <c r="C1595" t="str">
        <f t="shared" si="1024"/>
        <v>CH</v>
      </c>
      <c r="D1595" t="s">
        <v>1680</v>
      </c>
      <c r="E1595" t="str">
        <f t="shared" si="1030"/>
        <v>PJ/yr.</v>
      </c>
      <c r="F1595" s="13">
        <f>F1596</f>
        <v>3.0752924141848482E-3</v>
      </c>
      <c r="G1595" s="13">
        <f t="shared" ref="G1595" si="1031">G1596</f>
        <v>7.6706416355767758E-3</v>
      </c>
      <c r="H1595" s="13">
        <f t="shared" ref="H1595" si="1032">H1596</f>
        <v>7.9068540452713054E-3</v>
      </c>
      <c r="I1595" s="13">
        <f t="shared" ref="I1595" si="1033">I1596</f>
        <v>4.7391657879827749E-2</v>
      </c>
      <c r="J1595" s="13">
        <f t="shared" ref="J1595" si="1034">J1596</f>
        <v>1.2982223823882966</v>
      </c>
      <c r="K1595" s="13">
        <f t="shared" ref="K1595" si="1035">K1596</f>
        <v>2.989781156237358</v>
      </c>
    </row>
    <row r="1596" spans="1:11">
      <c r="A1596" t="s">
        <v>5</v>
      </c>
      <c r="B1596" t="str">
        <f t="shared" si="1023"/>
        <v>SPS1</v>
      </c>
      <c r="C1596" t="str">
        <f t="shared" si="1024"/>
        <v>CH</v>
      </c>
      <c r="D1596" t="s">
        <v>1681</v>
      </c>
      <c r="E1596" t="str">
        <f t="shared" si="1030"/>
        <v>PJ/yr.</v>
      </c>
      <c r="F1596" s="13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3.0752924141848482E-3</v>
      </c>
      <c r="G1596" s="13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7.6706416355767758E-3</v>
      </c>
      <c r="H1596" s="13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7.9068540452713054E-3</v>
      </c>
      <c r="I1596" s="13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4.7391657879827749E-2</v>
      </c>
      <c r="J1596" s="13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1.2982223823882966</v>
      </c>
      <c r="K1596" s="13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2.989781156237358</v>
      </c>
    </row>
    <row r="1597" spans="1:11">
      <c r="A1597" t="s">
        <v>5</v>
      </c>
      <c r="B1597" t="str">
        <f t="shared" si="1023"/>
        <v>SPS1</v>
      </c>
      <c r="C1597" t="str">
        <f t="shared" si="1024"/>
        <v>CH</v>
      </c>
      <c r="D1597" t="s">
        <v>1682</v>
      </c>
      <c r="E1597" t="str">
        <f t="shared" si="1030"/>
        <v>PJ/yr.</v>
      </c>
      <c r="F1597" s="13">
        <f>SUM(F1602:F1603)</f>
        <v>0</v>
      </c>
      <c r="G1597" s="13">
        <f t="shared" ref="G1597:K1597" si="1036">SUM(G1602:G1603)</f>
        <v>0</v>
      </c>
      <c r="H1597" s="13">
        <f t="shared" si="1036"/>
        <v>0</v>
      </c>
      <c r="I1597" s="13">
        <f t="shared" si="1036"/>
        <v>0</v>
      </c>
      <c r="J1597" s="13">
        <f t="shared" si="1036"/>
        <v>0</v>
      </c>
      <c r="K1597" s="13">
        <f t="shared" si="1036"/>
        <v>0</v>
      </c>
    </row>
    <row r="1598" spans="1:11">
      <c r="A1598" t="s">
        <v>5</v>
      </c>
      <c r="B1598" t="str">
        <f t="shared" si="1023"/>
        <v>SPS1</v>
      </c>
      <c r="C1598" t="str">
        <f t="shared" si="1024"/>
        <v>CH</v>
      </c>
      <c r="D1598" t="s">
        <v>1683</v>
      </c>
      <c r="E1598" t="str">
        <f t="shared" si="1030"/>
        <v>PJ/yr.</v>
      </c>
      <c r="F1598" s="13">
        <f>F1597-F1599</f>
        <v>0</v>
      </c>
      <c r="G1598" s="13">
        <f t="shared" ref="G1598:K1598" si="1037">G1597-G1599</f>
        <v>0</v>
      </c>
      <c r="H1598" s="13">
        <f t="shared" si="1037"/>
        <v>0</v>
      </c>
      <c r="I1598" s="13">
        <f t="shared" si="1037"/>
        <v>0</v>
      </c>
      <c r="J1598" s="13">
        <f t="shared" si="1037"/>
        <v>0</v>
      </c>
      <c r="K1598" s="13">
        <f t="shared" si="1037"/>
        <v>0</v>
      </c>
    </row>
    <row r="1599" spans="1:11">
      <c r="A1599" t="s">
        <v>5</v>
      </c>
      <c r="B1599" t="str">
        <f t="shared" si="1023"/>
        <v>SPS1</v>
      </c>
      <c r="C1599" t="str">
        <f t="shared" si="1024"/>
        <v>CH</v>
      </c>
      <c r="D1599" t="s">
        <v>1684</v>
      </c>
      <c r="E1599" t="str">
        <f t="shared" si="1030"/>
        <v>PJ/yr.</v>
      </c>
      <c r="F1599" s="13">
        <f>SUM(F1600:F1601)</f>
        <v>0</v>
      </c>
      <c r="G1599" s="13">
        <f t="shared" ref="G1599:K1599" si="1038">SUM(G1600:G1601)</f>
        <v>0</v>
      </c>
      <c r="H1599" s="13">
        <f t="shared" si="1038"/>
        <v>0</v>
      </c>
      <c r="I1599" s="13">
        <f t="shared" si="1038"/>
        <v>0</v>
      </c>
      <c r="J1599" s="13">
        <f t="shared" si="1038"/>
        <v>0</v>
      </c>
      <c r="K1599" s="13">
        <f t="shared" si="1038"/>
        <v>0</v>
      </c>
    </row>
    <row r="1600" spans="1:11">
      <c r="A1600" t="s">
        <v>5</v>
      </c>
      <c r="B1600" t="str">
        <f t="shared" si="1023"/>
        <v>SPS1</v>
      </c>
      <c r="C1600" t="str">
        <f t="shared" si="1024"/>
        <v>CH</v>
      </c>
      <c r="D1600" t="s">
        <v>1685</v>
      </c>
      <c r="E1600" t="str">
        <f t="shared" si="1030"/>
        <v>PJ/yr.</v>
      </c>
      <c r="F1600" s="13">
        <f>[1]Transport!B$25/SUM([1]Transport!B$21,[1]Transport!B$25)*F1597*(F$34+F$598)/(F$34+F$598+F$37)</f>
        <v>0</v>
      </c>
      <c r="G1600" s="13">
        <f>[1]Transport!C$25/SUM([1]Transport!C$21,[1]Transport!C$25)*G1597*(G$34+G$598)/(G$34+G$598+G$37)</f>
        <v>0</v>
      </c>
      <c r="H1600" s="13">
        <f>[1]Transport!D$25/SUM([1]Transport!D$21,[1]Transport!D$25)*H1597*(H$34+H$598)/(H$34+H$598+H$37)</f>
        <v>0</v>
      </c>
      <c r="I1600" s="13">
        <f>[1]Transport!E$25/SUM([1]Transport!E$21,[1]Transport!E$25)*I1597*(I$34+I$598)/(I$34+I$598+I$37)</f>
        <v>0</v>
      </c>
      <c r="J1600" s="13">
        <f>[1]Transport!F$25/SUM([1]Transport!F$21,[1]Transport!F$25)*J1597*(J$34+J$598)/(J$34+J$598+J$37)</f>
        <v>0</v>
      </c>
      <c r="K1600" s="13">
        <f>[1]Transport!G$25/SUM([1]Transport!G$21,[1]Transport!G$25)*K1597*(K$34+K$598)/(K$34+K$598+K$37)</f>
        <v>0</v>
      </c>
    </row>
    <row r="1601" spans="1:11">
      <c r="A1601" t="s">
        <v>5</v>
      </c>
      <c r="B1601" t="str">
        <f t="shared" si="1023"/>
        <v>SPS1</v>
      </c>
      <c r="C1601" t="str">
        <f t="shared" si="1024"/>
        <v>CH</v>
      </c>
      <c r="D1601" t="s">
        <v>1686</v>
      </c>
      <c r="E1601" t="str">
        <f t="shared" si="1030"/>
        <v>PJ/yr.</v>
      </c>
      <c r="F1601" s="13">
        <f>(F$37+F$717)/([1]Transport!B$21+[1]Transport!B$25)*F1597</f>
        <v>0</v>
      </c>
      <c r="G1601" s="13">
        <f>(G$37+G$717)/([1]Transport!C$21+[1]Transport!C$25)*G1597</f>
        <v>0</v>
      </c>
      <c r="H1601" s="13">
        <f>(H$37+H$717)/([1]Transport!D$21+[1]Transport!D$25)*H1597</f>
        <v>0</v>
      </c>
      <c r="I1601" s="13">
        <f>(I$37+I$717)/([1]Transport!E$21+[1]Transport!E$25)*I1597</f>
        <v>0</v>
      </c>
      <c r="J1601" s="13">
        <f>(J$37+J$717)/([1]Transport!F$21+[1]Transport!F$25)*J1597</f>
        <v>0</v>
      </c>
      <c r="K1601" s="13">
        <f>(K$37+K$717)/([1]Transport!G$21+[1]Transport!G$25)*K1597</f>
        <v>0</v>
      </c>
    </row>
    <row r="1602" spans="1:11">
      <c r="A1602" t="s">
        <v>5</v>
      </c>
      <c r="B1602" t="str">
        <f t="shared" si="1023"/>
        <v>SPS1</v>
      </c>
      <c r="C1602" t="str">
        <f t="shared" si="1024"/>
        <v>CH</v>
      </c>
      <c r="D1602" t="s">
        <v>1687</v>
      </c>
      <c r="E1602" t="str">
        <f t="shared" si="1030"/>
        <v>PJ/yr.</v>
      </c>
      <c r="F1602" s="13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3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3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3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3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3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1:11">
      <c r="A1603" t="s">
        <v>5</v>
      </c>
      <c r="B1603" t="str">
        <f t="shared" si="1023"/>
        <v>SPS1</v>
      </c>
      <c r="C1603" t="str">
        <f t="shared" si="1024"/>
        <v>CH</v>
      </c>
      <c r="D1603" t="s">
        <v>1688</v>
      </c>
      <c r="E1603" t="str">
        <f t="shared" si="1030"/>
        <v>PJ/yr.</v>
      </c>
      <c r="F1603" s="13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3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3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3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3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3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1:11">
      <c r="A1604" t="s">
        <v>5</v>
      </c>
      <c r="B1604" t="str">
        <f t="shared" si="1023"/>
        <v>SPS1</v>
      </c>
      <c r="C1604" t="str">
        <f t="shared" si="1024"/>
        <v>CH</v>
      </c>
      <c r="D1604" t="s">
        <v>1689</v>
      </c>
      <c r="E1604" t="str">
        <f t="shared" si="1030"/>
        <v>PJ/yr.</v>
      </c>
      <c r="F1604" s="13">
        <f>SUM(F1609:F1611)</f>
        <v>24.436277556860681</v>
      </c>
      <c r="G1604" s="13">
        <f t="shared" ref="G1604:K1604" si="1039">SUM(G1609:G1611)</f>
        <v>21.519026274868803</v>
      </c>
      <c r="H1604" s="13">
        <f t="shared" si="1039"/>
        <v>19.157646707783119</v>
      </c>
      <c r="I1604" s="13">
        <f t="shared" si="1039"/>
        <v>15.798160731938845</v>
      </c>
      <c r="J1604" s="13">
        <f t="shared" si="1039"/>
        <v>11.188567484997495</v>
      </c>
      <c r="K1604" s="13">
        <f t="shared" si="1039"/>
        <v>3.4288215367104375</v>
      </c>
    </row>
    <row r="1605" spans="1:11">
      <c r="A1605" t="s">
        <v>5</v>
      </c>
      <c r="B1605" t="str">
        <f t="shared" si="1023"/>
        <v>SPS1</v>
      </c>
      <c r="C1605" t="str">
        <f t="shared" si="1024"/>
        <v>CH</v>
      </c>
      <c r="D1605" t="s">
        <v>1690</v>
      </c>
      <c r="E1605" t="str">
        <f t="shared" si="1030"/>
        <v>PJ/yr.</v>
      </c>
      <c r="F1605" s="13">
        <f>F1604-F1606</f>
        <v>23.835163174621819</v>
      </c>
      <c r="G1605" s="13">
        <f t="shared" ref="G1605:K1605" si="1040">G1604-G1606</f>
        <v>20.96129556290585</v>
      </c>
      <c r="H1605" s="13">
        <f t="shared" si="1040"/>
        <v>18.554700741128844</v>
      </c>
      <c r="I1605" s="13">
        <f t="shared" si="1040"/>
        <v>15.181190391962286</v>
      </c>
      <c r="J1605" s="13">
        <f t="shared" si="1040"/>
        <v>10.875864248844778</v>
      </c>
      <c r="K1605" s="13">
        <f t="shared" si="1040"/>
        <v>-0.33318430287210621</v>
      </c>
    </row>
    <row r="1606" spans="1:11">
      <c r="A1606" t="s">
        <v>5</v>
      </c>
      <c r="B1606" t="str">
        <f t="shared" si="1023"/>
        <v>SPS1</v>
      </c>
      <c r="C1606" t="str">
        <f t="shared" si="1024"/>
        <v>CH</v>
      </c>
      <c r="D1606" t="s">
        <v>1691</v>
      </c>
      <c r="E1606" t="str">
        <f t="shared" si="1030"/>
        <v>PJ/yr.</v>
      </c>
      <c r="F1606" s="13">
        <f>SUM(F1607:F1608)</f>
        <v>0.60111438223886027</v>
      </c>
      <c r="G1606" s="13">
        <f t="shared" ref="G1606:K1606" si="1041">SUM(G1607:G1608)</f>
        <v>0.55773071196295387</v>
      </c>
      <c r="H1606" s="13">
        <f t="shared" si="1041"/>
        <v>0.60294596665427591</v>
      </c>
      <c r="I1606" s="13">
        <f t="shared" si="1041"/>
        <v>0.61697033997655837</v>
      </c>
      <c r="J1606" s="13">
        <f t="shared" si="1041"/>
        <v>0.31270323615271739</v>
      </c>
      <c r="K1606" s="13">
        <f t="shared" si="1041"/>
        <v>3.7620058395825438</v>
      </c>
    </row>
    <row r="1607" spans="1:11">
      <c r="A1607" t="s">
        <v>5</v>
      </c>
      <c r="B1607" t="str">
        <f t="shared" si="1023"/>
        <v>SPS1</v>
      </c>
      <c r="C1607" t="str">
        <f t="shared" si="1024"/>
        <v>CH</v>
      </c>
      <c r="D1607" t="s">
        <v>1692</v>
      </c>
      <c r="E1607" t="str">
        <f t="shared" si="1030"/>
        <v>PJ/yr.</v>
      </c>
      <c r="F1607" s="13">
        <f>[1]Transport!B$26/SUM([1]Transport!B$22,[1]Transport!B$26)*F1604*(F$33+F$580)/(F$33+F$580+F$36)</f>
        <v>0.60111438223886027</v>
      </c>
      <c r="G1607" s="13">
        <f>[1]Transport!C$26/SUM([1]Transport!C$22,[1]Transport!C$26)*G1604*(G$33+G$580)/(G$33+G$580+G$36)</f>
        <v>0.55773071196295387</v>
      </c>
      <c r="H1607" s="13">
        <f>[1]Transport!D$26/SUM([1]Transport!D$22,[1]Transport!D$26)*H1604*(H$33+H$580)/(H$33+H$580+H$36)</f>
        <v>0.60294596665427591</v>
      </c>
      <c r="I1607" s="13">
        <f>[1]Transport!E$26/SUM([1]Transport!E$22,[1]Transport!E$26)*I1604*(I$33+I$580)/(I$33+I$580+I$36)</f>
        <v>0.61697033997655837</v>
      </c>
      <c r="J1607" s="13">
        <f>[1]Transport!F$26/SUM([1]Transport!F$22,[1]Transport!F$26)*J1604*(J$33+J$580)/(J$33+J$580+J$36)</f>
        <v>0.31270110558986269</v>
      </c>
      <c r="K1607" s="13">
        <f>[1]Transport!G$26/SUM([1]Transport!G$22,[1]Transport!G$26)*K1604*(K$33+K$580)/(K$33+K$580+K$36)</f>
        <v>0.79240312125845647</v>
      </c>
    </row>
    <row r="1608" spans="1:11">
      <c r="A1608" t="s">
        <v>5</v>
      </c>
      <c r="B1608" t="str">
        <f t="shared" si="1023"/>
        <v>SPS1</v>
      </c>
      <c r="C1608" t="str">
        <f t="shared" si="1024"/>
        <v>CH</v>
      </c>
      <c r="D1608" t="s">
        <v>1693</v>
      </c>
      <c r="E1608" t="str">
        <f t="shared" si="1030"/>
        <v>PJ/yr.</v>
      </c>
      <c r="F1608" s="13">
        <f>(F$36+F$716)/([1]Transport!B$22+[1]Transport!B$26)*F1604</f>
        <v>0</v>
      </c>
      <c r="G1608" s="13">
        <f>(G$36+G$716)/([1]Transport!C$22+[1]Transport!C$26)*G1604</f>
        <v>0</v>
      </c>
      <c r="H1608" s="13">
        <f>(H$36+H$716)/([1]Transport!D$22+[1]Transport!D$26)*H1604</f>
        <v>0</v>
      </c>
      <c r="I1608" s="13">
        <f>(I$36+I$716)/([1]Transport!E$22+[1]Transport!E$26)*I1604</f>
        <v>0</v>
      </c>
      <c r="J1608" s="13">
        <f>(J$36+J$716)/([1]Transport!F$22+[1]Transport!F$26)*J1604</f>
        <v>2.1305628546951643E-6</v>
      </c>
      <c r="K1608" s="13">
        <f>(K$36+K$716)/([1]Transport!G$22+[1]Transport!G$26)*K1604</f>
        <v>2.9696027183240874</v>
      </c>
    </row>
    <row r="1609" spans="1:11">
      <c r="A1609" t="s">
        <v>5</v>
      </c>
      <c r="B1609" t="str">
        <f t="shared" si="1023"/>
        <v>SPS1</v>
      </c>
      <c r="C1609" t="str">
        <f t="shared" si="1024"/>
        <v>CH</v>
      </c>
      <c r="D1609" t="s">
        <v>1694</v>
      </c>
      <c r="E1609" t="str">
        <f t="shared" si="1030"/>
        <v>PJ/yr.</v>
      </c>
      <c r="F1609" s="13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19.239362203344093</v>
      </c>
      <c r="G1609" s="13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15.952603203011479</v>
      </c>
      <c r="H1609" s="13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11.440155419086391</v>
      </c>
      <c r="I1609" s="13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4.8633190008553742</v>
      </c>
      <c r="J1609" s="13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3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1:11">
      <c r="A1610" t="s">
        <v>5</v>
      </c>
      <c r="B1610" t="str">
        <f t="shared" si="1023"/>
        <v>SPS1</v>
      </c>
      <c r="C1610" t="str">
        <f t="shared" si="1024"/>
        <v>CH</v>
      </c>
      <c r="D1610" t="s">
        <v>1695</v>
      </c>
      <c r="E1610" t="str">
        <f t="shared" si="1030"/>
        <v>PJ/yr.</v>
      </c>
      <c r="F1610" s="13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5.1969153535165873</v>
      </c>
      <c r="G1610" s="13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0.71513821187558912</v>
      </c>
      <c r="H1610" s="13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0.71513479453449191</v>
      </c>
      <c r="I1610" s="13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0.21710285856967759</v>
      </c>
      <c r="J1610" s="13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7.1044494801898083E-6</v>
      </c>
      <c r="K1610" s="13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0</v>
      </c>
    </row>
    <row r="1611" spans="1:11">
      <c r="A1611" t="s">
        <v>5</v>
      </c>
      <c r="B1611" t="str">
        <f t="shared" si="1023"/>
        <v>SPS1</v>
      </c>
      <c r="C1611" t="str">
        <f t="shared" si="1024"/>
        <v>CH</v>
      </c>
      <c r="D1611" t="s">
        <v>1696</v>
      </c>
      <c r="E1611" t="str">
        <f t="shared" si="1030"/>
        <v>PJ/yr.</v>
      </c>
      <c r="F1611" s="13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3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4.8512848599817362</v>
      </c>
      <c r="H1611" s="13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7.0023564941622345</v>
      </c>
      <c r="I1611" s="13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10.717738872513793</v>
      </c>
      <c r="J1611" s="13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11.188560380548015</v>
      </c>
      <c r="K1611" s="13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3.4288215367104375</v>
      </c>
    </row>
    <row r="1612" spans="1:11">
      <c r="A1612" t="s">
        <v>5</v>
      </c>
      <c r="B1612" t="str">
        <f t="shared" si="1023"/>
        <v>SPS1</v>
      </c>
      <c r="C1612" t="str">
        <f t="shared" si="1024"/>
        <v>CH</v>
      </c>
      <c r="D1612" t="s">
        <v>1697</v>
      </c>
      <c r="E1612" t="str">
        <f t="shared" si="1030"/>
        <v>PJ/yr.</v>
      </c>
      <c r="F1612" s="13">
        <f>F1617</f>
        <v>6.2815076594349664E-2</v>
      </c>
      <c r="G1612" s="13">
        <f t="shared" ref="G1612:K1612" si="1042">G1617</f>
        <v>0</v>
      </c>
      <c r="H1612" s="13">
        <f t="shared" si="1042"/>
        <v>6.881058014089661E-2</v>
      </c>
      <c r="I1612" s="13">
        <f t="shared" si="1042"/>
        <v>0.16547777383294185</v>
      </c>
      <c r="J1612" s="13">
        <f t="shared" si="1042"/>
        <v>0.4832604625730319</v>
      </c>
      <c r="K1612" s="13">
        <f t="shared" si="1042"/>
        <v>1.0210461546903182</v>
      </c>
    </row>
    <row r="1613" spans="1:11">
      <c r="A1613" t="s">
        <v>5</v>
      </c>
      <c r="B1613" t="str">
        <f t="shared" si="1023"/>
        <v>SPS1</v>
      </c>
      <c r="C1613" t="str">
        <f t="shared" si="1024"/>
        <v>CH</v>
      </c>
      <c r="D1613" t="s">
        <v>1698</v>
      </c>
      <c r="E1613" t="str">
        <f t="shared" si="1030"/>
        <v>PJ/yr.</v>
      </c>
      <c r="F1613" s="13">
        <f>F1612-F1614</f>
        <v>5.8079347539528217E-2</v>
      </c>
      <c r="G1613" s="13">
        <f t="shared" ref="G1613:K1613" si="1043">G1612-G1614</f>
        <v>0</v>
      </c>
      <c r="H1613" s="13">
        <f t="shared" si="1043"/>
        <v>6.4187751667136361E-2</v>
      </c>
      <c r="I1613" s="13">
        <f t="shared" si="1043"/>
        <v>0.1654775461835078</v>
      </c>
      <c r="J1613" s="13">
        <f t="shared" si="1043"/>
        <v>-2.5611863690085044</v>
      </c>
      <c r="K1613" s="13">
        <f t="shared" si="1043"/>
        <v>1.021010171745341</v>
      </c>
    </row>
    <row r="1614" spans="1:11">
      <c r="A1614" t="s">
        <v>5</v>
      </c>
      <c r="B1614" t="str">
        <f t="shared" si="1023"/>
        <v>SPS1</v>
      </c>
      <c r="C1614" t="str">
        <f t="shared" si="1024"/>
        <v>CH</v>
      </c>
      <c r="D1614" t="s">
        <v>1699</v>
      </c>
      <c r="E1614" t="str">
        <f t="shared" si="1030"/>
        <v>PJ/yr.</v>
      </c>
      <c r="F1614" s="13">
        <f>SUM(F1615:F1616)</f>
        <v>4.7357290548214435E-3</v>
      </c>
      <c r="G1614" s="13">
        <f t="shared" ref="G1614:K1614" si="1044">SUM(G1615:G1616)</f>
        <v>0</v>
      </c>
      <c r="H1614" s="13">
        <f t="shared" si="1044"/>
        <v>4.6228284737602444E-3</v>
      </c>
      <c r="I1614" s="13">
        <f t="shared" si="1044"/>
        <v>2.2764943406580296E-7</v>
      </c>
      <c r="J1614" s="13">
        <f t="shared" si="1044"/>
        <v>3.0444468315815363</v>
      </c>
      <c r="K1614" s="13">
        <f t="shared" si="1044"/>
        <v>3.598294497719889E-5</v>
      </c>
    </row>
    <row r="1615" spans="1:11">
      <c r="A1615" t="s">
        <v>5</v>
      </c>
      <c r="B1615" t="str">
        <f t="shared" si="1023"/>
        <v>SPS1</v>
      </c>
      <c r="C1615" t="str">
        <f t="shared" si="1024"/>
        <v>CH</v>
      </c>
      <c r="D1615" t="s">
        <v>1700</v>
      </c>
      <c r="E1615" t="str">
        <f t="shared" si="1030"/>
        <v>PJ/yr.</v>
      </c>
      <c r="F1615" s="13">
        <f>[1]Transport!B$27/SUM([1]Transport!B$24,[1]Transport!B$27)*F1612*(F$45+F$612)/(F$45+F$612+F$47)</f>
        <v>4.7357290548214435E-3</v>
      </c>
      <c r="G1615" s="13">
        <f>[1]Transport!C$27/SUM([1]Transport!C$24,[1]Transport!C$27)*G1612*(G$45+G$612)/(G$45+G$612+G$47)</f>
        <v>0</v>
      </c>
      <c r="H1615" s="13">
        <f>[1]Transport!D$27/SUM([1]Transport!D$24,[1]Transport!D$27)*H1612*(H$45+H$612)/(H$45+H$612+H$47)</f>
        <v>4.6228284737602444E-3</v>
      </c>
      <c r="I1615" s="13">
        <f>[1]Transport!E$27/SUM([1]Transport!E$24,[1]Transport!E$27)*I1612*(I$45+I$612)/(I$45+I$612+I$47)</f>
        <v>2.2764943406580296E-7</v>
      </c>
      <c r="J1615" s="13">
        <f>[1]Transport!F$27/SUM([1]Transport!F$24,[1]Transport!F$27)*J1612*(J$45+J$612)/(J$45+J$612+J$47)</f>
        <v>5.5978849630276014E-6</v>
      </c>
      <c r="K1615" s="13">
        <f>[1]Transport!G$27/SUM([1]Transport!G$24,[1]Transport!G$27)*K1612*(K$45+K$612)/(K$45+K$612+K$47)</f>
        <v>1.4988803458608784E-5</v>
      </c>
    </row>
    <row r="1616" spans="1:11">
      <c r="A1616" t="s">
        <v>5</v>
      </c>
      <c r="B1616" t="str">
        <f t="shared" si="1023"/>
        <v>SPS1</v>
      </c>
      <c r="C1616" t="str">
        <f t="shared" si="1024"/>
        <v>CH</v>
      </c>
      <c r="D1616" t="s">
        <v>1701</v>
      </c>
      <c r="E1616" t="str">
        <f t="shared" si="1030"/>
        <v>PJ/yr.</v>
      </c>
      <c r="F1616" s="13">
        <f>(F$47+F$714)/([1]Transport!B$24+[1]Transport!B$27)*F1612</f>
        <v>0</v>
      </c>
      <c r="G1616" s="13">
        <f>(G$47+G$714)/([1]Transport!C$24+[1]Transport!C$27)*G1612</f>
        <v>0</v>
      </c>
      <c r="H1616" s="13">
        <f>(H$47+H$714)/([1]Transport!D$24+[1]Transport!D$27)*H1612</f>
        <v>0</v>
      </c>
      <c r="I1616" s="13">
        <f>(I$47+I$714)/([1]Transport!E$24+[1]Transport!E$27)*I1612</f>
        <v>0</v>
      </c>
      <c r="J1616" s="13">
        <f>(J$47+J$714)/([1]Transport!F$24+[1]Transport!F$27)*J1612</f>
        <v>3.0444412336965732</v>
      </c>
      <c r="K1616" s="13">
        <f>(K$47+K$714)/([1]Transport!G$24+[1]Transport!G$27)*K1612</f>
        <v>2.0994141518590103E-5</v>
      </c>
    </row>
    <row r="1617" spans="1:11">
      <c r="A1617" t="s">
        <v>5</v>
      </c>
      <c r="B1617" t="str">
        <f t="shared" si="1023"/>
        <v>SPS1</v>
      </c>
      <c r="C1617" t="str">
        <f t="shared" si="1024"/>
        <v>CH</v>
      </c>
      <c r="D1617" t="s">
        <v>1702</v>
      </c>
      <c r="E1617" t="str">
        <f t="shared" si="1030"/>
        <v>PJ/yr.</v>
      </c>
      <c r="F1617" s="13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6.2815076594349664E-2</v>
      </c>
      <c r="G1617" s="13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</v>
      </c>
      <c r="H1617" s="13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6.881058014089661E-2</v>
      </c>
      <c r="I1617" s="13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0.16547777383294185</v>
      </c>
      <c r="J1617" s="13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0.4832604625730319</v>
      </c>
      <c r="K1617" s="13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1.0210461546903182</v>
      </c>
    </row>
    <row r="1618" spans="1:11">
      <c r="A1618" t="s">
        <v>5</v>
      </c>
      <c r="B1618" s="1" t="str">
        <f t="shared" si="1023"/>
        <v>SPS1</v>
      </c>
      <c r="C1618" s="1" t="str">
        <f t="shared" si="1024"/>
        <v>CH</v>
      </c>
      <c r="D1618" s="1" t="s">
        <v>1703</v>
      </c>
      <c r="E1618" s="1" t="s">
        <v>1597</v>
      </c>
      <c r="F1618" s="16">
        <f>SUM(F1619:F1627)</f>
        <v>2.2034029136190645</v>
      </c>
      <c r="G1618" s="16">
        <f t="shared" ref="G1618" si="1045">SUM(G1619:G1627)</f>
        <v>2.2248395717227996</v>
      </c>
      <c r="H1618" s="16">
        <f t="shared" ref="H1618" si="1046">SUM(H1619:H1627)</f>
        <v>2.2569972374706491</v>
      </c>
      <c r="I1618" s="16">
        <f t="shared" ref="I1618" si="1047">SUM(I1619:I1627)</f>
        <v>2.3105979198788074</v>
      </c>
      <c r="J1618" s="16">
        <f t="shared" ref="J1618" si="1048">SUM(J1619:J1627)</f>
        <v>2.5121499525460269</v>
      </c>
      <c r="K1618" s="16">
        <f t="shared" ref="K1618" si="1049">SUM(K1619:K1627)</f>
        <v>2.7162796421179873</v>
      </c>
    </row>
    <row r="1619" spans="1:11">
      <c r="A1619" t="s">
        <v>5</v>
      </c>
      <c r="B1619" t="str">
        <f t="shared" si="1023"/>
        <v>SPS1</v>
      </c>
      <c r="C1619" t="str">
        <f t="shared" si="1024"/>
        <v>CH</v>
      </c>
      <c r="D1619" t="s">
        <v>1704</v>
      </c>
      <c r="E1619" t="s">
        <v>1597</v>
      </c>
      <c r="F1619" s="13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3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3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3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3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3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1:11">
      <c r="A1620" t="s">
        <v>5</v>
      </c>
      <c r="B1620" t="str">
        <f t="shared" si="1023"/>
        <v>SPS1</v>
      </c>
      <c r="C1620" t="str">
        <f t="shared" si="1024"/>
        <v>CH</v>
      </c>
      <c r="D1620" t="s">
        <v>1705</v>
      </c>
      <c r="E1620" t="s">
        <v>1597</v>
      </c>
      <c r="F1620" s="13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2.75409624556118E-3</v>
      </c>
      <c r="G1620" s="13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5.6203823504054626E-3</v>
      </c>
      <c r="H1620" s="13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2.2697647618497831E-2</v>
      </c>
      <c r="I1620" s="13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8.2381242699773274E-2</v>
      </c>
      <c r="J1620" s="13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0.36608824840008525</v>
      </c>
      <c r="K1620" s="13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1.3715834900767225</v>
      </c>
    </row>
    <row r="1621" spans="1:11">
      <c r="A1621" t="s">
        <v>5</v>
      </c>
      <c r="B1621" t="str">
        <f t="shared" si="1023"/>
        <v>SPS1</v>
      </c>
      <c r="C1621" t="str">
        <f t="shared" si="1024"/>
        <v>CH</v>
      </c>
      <c r="D1621" t="s">
        <v>1706</v>
      </c>
      <c r="E1621" t="s">
        <v>1597</v>
      </c>
      <c r="F1621" s="13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5.365116128042025E-4</v>
      </c>
      <c r="G1621" s="13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1.3472867460851015E-3</v>
      </c>
      <c r="H1621" s="13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1.3887762067114322E-3</v>
      </c>
      <c r="I1621" s="13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8.8048669763174242E-3</v>
      </c>
      <c r="J1621" s="13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0.25946785455413796</v>
      </c>
      <c r="K1621" s="13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0.65252865076873012</v>
      </c>
    </row>
    <row r="1622" spans="1:11">
      <c r="A1622" t="s">
        <v>5</v>
      </c>
      <c r="B1622" t="str">
        <f t="shared" si="1023"/>
        <v>SPS1</v>
      </c>
      <c r="C1622" t="str">
        <f t="shared" si="1024"/>
        <v>CH</v>
      </c>
      <c r="D1622" t="s">
        <v>1707</v>
      </c>
      <c r="E1622" t="s">
        <v>1597</v>
      </c>
      <c r="F1622" s="13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3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3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3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3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3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1:11">
      <c r="A1623" t="s">
        <v>5</v>
      </c>
      <c r="B1623" t="str">
        <f t="shared" si="1023"/>
        <v>SPS1</v>
      </c>
      <c r="C1623" t="str">
        <f t="shared" si="1024"/>
        <v>CH</v>
      </c>
      <c r="D1623" t="s">
        <v>1708</v>
      </c>
      <c r="E1623" t="s">
        <v>1597</v>
      </c>
      <c r="F1623" s="13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3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3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3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3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3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1:11">
      <c r="A1624" t="s">
        <v>5</v>
      </c>
      <c r="B1624" t="str">
        <f t="shared" si="1023"/>
        <v>SPS1</v>
      </c>
      <c r="C1624" t="str">
        <f t="shared" si="1024"/>
        <v>CH</v>
      </c>
      <c r="D1624" t="s">
        <v>1709</v>
      </c>
      <c r="E1624" t="s">
        <v>1597</v>
      </c>
      <c r="F1624" s="13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1.5767361846394454</v>
      </c>
      <c r="G1624" s="13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1.3399582185082093</v>
      </c>
      <c r="H1624" s="13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0.99598031668093434</v>
      </c>
      <c r="I1624" s="13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0.42340071626222375</v>
      </c>
      <c r="J1624" s="13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3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1:11">
      <c r="A1625" t="s">
        <v>5</v>
      </c>
      <c r="B1625" t="str">
        <f t="shared" si="1023"/>
        <v>SPS1</v>
      </c>
      <c r="C1625" t="str">
        <f t="shared" si="1024"/>
        <v>CH</v>
      </c>
      <c r="D1625" t="s">
        <v>1710</v>
      </c>
      <c r="E1625" t="s">
        <v>1597</v>
      </c>
      <c r="F1625" s="13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0.61689211941479005</v>
      </c>
      <c r="G1625" s="13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8.4889419432224264E-2</v>
      </c>
      <c r="H1625" s="13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8.4889013781824132E-2</v>
      </c>
      <c r="I1625" s="13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2.5770872420200635E-2</v>
      </c>
      <c r="J1625" s="13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8.4332312515807558E-7</v>
      </c>
      <c r="K1625" s="13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0</v>
      </c>
    </row>
    <row r="1626" spans="1:11">
      <c r="A1626" t="s">
        <v>5</v>
      </c>
      <c r="B1626" t="str">
        <f t="shared" si="1023"/>
        <v>SPS1</v>
      </c>
      <c r="C1626" t="str">
        <f t="shared" si="1024"/>
        <v>CH</v>
      </c>
      <c r="D1626" t="s">
        <v>1711</v>
      </c>
      <c r="E1626" t="s">
        <v>1597</v>
      </c>
      <c r="F1626" s="13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3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0.7930242646858755</v>
      </c>
      <c r="H1626" s="13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1.1446531733599905</v>
      </c>
      <c r="I1626" s="13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1.7519950350848872</v>
      </c>
      <c r="J1626" s="13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1.8289587449026903</v>
      </c>
      <c r="K1626" s="13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0.56049866300762374</v>
      </c>
    </row>
    <row r="1627" spans="1:11">
      <c r="A1627" t="s">
        <v>5</v>
      </c>
      <c r="B1627" t="str">
        <f t="shared" si="1023"/>
        <v>SPS1</v>
      </c>
      <c r="C1627" t="str">
        <f t="shared" si="1024"/>
        <v>CH</v>
      </c>
      <c r="D1627" t="s">
        <v>1712</v>
      </c>
      <c r="E1627" t="s">
        <v>1597</v>
      </c>
      <c r="F1627" s="13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6.4840017064637656E-3</v>
      </c>
      <c r="G1627" s="13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0</v>
      </c>
      <c r="H1627" s="13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7.3883098226909935E-3</v>
      </c>
      <c r="I1627" s="13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1.8245186435405399E-2</v>
      </c>
      <c r="J1627" s="13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5.7634261365988419E-2</v>
      </c>
      <c r="K1627" s="13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0.13166883826491069</v>
      </c>
    </row>
    <row r="1628" spans="1:11">
      <c r="A1628" t="s">
        <v>5</v>
      </c>
      <c r="B1628" s="1" t="str">
        <f t="shared" si="1023"/>
        <v>SPS1</v>
      </c>
      <c r="C1628" s="1" t="str">
        <f t="shared" si="1024"/>
        <v>CH</v>
      </c>
      <c r="D1628" s="1" t="s">
        <v>1713</v>
      </c>
      <c r="E1628" s="1" t="s">
        <v>1297</v>
      </c>
      <c r="F1628" s="26" t="s">
        <v>295</v>
      </c>
      <c r="G1628" s="26" t="s">
        <v>295</v>
      </c>
      <c r="H1628" s="26" t="s">
        <v>295</v>
      </c>
      <c r="I1628" s="26" t="s">
        <v>295</v>
      </c>
      <c r="J1628" s="26" t="s">
        <v>295</v>
      </c>
      <c r="K1628" s="26" t="s">
        <v>295</v>
      </c>
    </row>
    <row r="1629" spans="1:11">
      <c r="A1629" t="s">
        <v>5</v>
      </c>
      <c r="B1629" t="str">
        <f t="shared" si="1023"/>
        <v>SPS1</v>
      </c>
      <c r="C1629" t="str">
        <f t="shared" si="1024"/>
        <v>CH</v>
      </c>
      <c r="D1629" t="s">
        <v>1714</v>
      </c>
      <c r="E1629" t="str">
        <f>E1628</f>
        <v>km/MJ</v>
      </c>
      <c r="F1629" s="13" t="str">
        <f>IFERROR(F1619/F1593,"-")</f>
        <v>-</v>
      </c>
      <c r="G1629" s="13" t="str">
        <f t="shared" ref="G1629:K1629" si="1050">IFERROR(G1619/G1593,"-")</f>
        <v>-</v>
      </c>
      <c r="H1629" s="13" t="str">
        <f t="shared" si="1050"/>
        <v>-</v>
      </c>
      <c r="I1629" s="13" t="str">
        <f t="shared" si="1050"/>
        <v>-</v>
      </c>
      <c r="J1629" s="13" t="str">
        <f t="shared" si="1050"/>
        <v>-</v>
      </c>
      <c r="K1629" s="13" t="str">
        <f t="shared" si="1050"/>
        <v>-</v>
      </c>
    </row>
    <row r="1630" spans="1:11">
      <c r="A1630" t="s">
        <v>5</v>
      </c>
      <c r="B1630" t="str">
        <f t="shared" si="1023"/>
        <v>SPS1</v>
      </c>
      <c r="C1630" t="str">
        <f t="shared" si="1024"/>
        <v>CH</v>
      </c>
      <c r="D1630" t="s">
        <v>1715</v>
      </c>
      <c r="E1630" t="str">
        <f t="shared" ref="E1630:E1637" si="1051">E1629</f>
        <v>km/MJ</v>
      </c>
      <c r="F1630" s="13">
        <f>IFERROR(F1620/F1594,"-")</f>
        <v>0.26872776416540883</v>
      </c>
      <c r="G1630" s="13">
        <f t="shared" ref="G1630:K1630" si="1052">IFERROR(G1620/G1594,"-")</f>
        <v>0.27090577933845233</v>
      </c>
      <c r="H1630" s="13">
        <f t="shared" si="1052"/>
        <v>0.27737878452395781</v>
      </c>
      <c r="I1630" s="13">
        <f t="shared" si="1052"/>
        <v>0.29053544292335282</v>
      </c>
      <c r="J1630" s="13">
        <f t="shared" si="1052"/>
        <v>0.31299760228900886</v>
      </c>
      <c r="K1630" s="13">
        <f t="shared" si="1052"/>
        <v>0.33867340847867938</v>
      </c>
    </row>
    <row r="1631" spans="1:11">
      <c r="A1631" t="s">
        <v>5</v>
      </c>
      <c r="B1631" t="str">
        <f t="shared" si="1023"/>
        <v>SPS1</v>
      </c>
      <c r="C1631" t="str">
        <f t="shared" si="1024"/>
        <v>CH</v>
      </c>
      <c r="D1631" t="s">
        <v>1716</v>
      </c>
      <c r="E1631" t="str">
        <f t="shared" si="1051"/>
        <v>km/MJ</v>
      </c>
      <c r="F1631" s="13">
        <f>IFERROR(F1621/F1596,"-")</f>
        <v>0.17445873125089889</v>
      </c>
      <c r="G1631" s="13">
        <f t="shared" ref="G1631:K1631" si="1053">IFERROR(G1621/G1596,"-")</f>
        <v>0.17564198799697875</v>
      </c>
      <c r="H1631" s="13">
        <f t="shared" si="1053"/>
        <v>0.17564206936916837</v>
      </c>
      <c r="I1631" s="13">
        <f t="shared" si="1053"/>
        <v>0.18578938509904322</v>
      </c>
      <c r="J1631" s="13">
        <f t="shared" si="1053"/>
        <v>0.19986395094868381</v>
      </c>
      <c r="K1631" s="13">
        <f t="shared" si="1053"/>
        <v>0.2182529812951052</v>
      </c>
    </row>
    <row r="1632" spans="1:11">
      <c r="A1632" t="s">
        <v>5</v>
      </c>
      <c r="B1632" t="str">
        <f t="shared" si="1023"/>
        <v>SPS1</v>
      </c>
      <c r="C1632" t="str">
        <f t="shared" si="1024"/>
        <v>CH</v>
      </c>
      <c r="D1632" t="s">
        <v>1717</v>
      </c>
      <c r="E1632" t="str">
        <f t="shared" si="1051"/>
        <v>km/MJ</v>
      </c>
      <c r="F1632" s="13" t="str">
        <f>IFERROR(F1622/F1602,"-")</f>
        <v>-</v>
      </c>
      <c r="G1632" s="13" t="str">
        <f t="shared" ref="G1632:K1632" si="1054">IFERROR(G1622/G1602,"-")</f>
        <v>-</v>
      </c>
      <c r="H1632" s="13" t="str">
        <f t="shared" si="1054"/>
        <v>-</v>
      </c>
      <c r="I1632" s="13" t="str">
        <f t="shared" si="1054"/>
        <v>-</v>
      </c>
      <c r="J1632" s="13" t="str">
        <f t="shared" si="1054"/>
        <v>-</v>
      </c>
      <c r="K1632" s="13" t="str">
        <f t="shared" si="1054"/>
        <v>-</v>
      </c>
    </row>
    <row r="1633" spans="1:11">
      <c r="A1633" t="s">
        <v>5</v>
      </c>
      <c r="B1633" t="str">
        <f t="shared" si="1023"/>
        <v>SPS1</v>
      </c>
      <c r="C1633" t="str">
        <f t="shared" si="1024"/>
        <v>CH</v>
      </c>
      <c r="D1633" t="s">
        <v>1718</v>
      </c>
      <c r="E1633" t="str">
        <f t="shared" si="1051"/>
        <v>km/MJ</v>
      </c>
      <c r="F1633" s="13" t="str">
        <f>IFERROR(F1623/F1603,"-")</f>
        <v>-</v>
      </c>
      <c r="G1633" s="13" t="str">
        <f t="shared" ref="G1633:K1633" si="1055">IFERROR(G1623/G1603,"-")</f>
        <v>-</v>
      </c>
      <c r="H1633" s="13" t="str">
        <f t="shared" si="1055"/>
        <v>-</v>
      </c>
      <c r="I1633" s="13" t="str">
        <f t="shared" si="1055"/>
        <v>-</v>
      </c>
      <c r="J1633" s="13" t="str">
        <f t="shared" si="1055"/>
        <v>-</v>
      </c>
      <c r="K1633" s="13" t="str">
        <f t="shared" si="1055"/>
        <v>-</v>
      </c>
    </row>
    <row r="1634" spans="1:11">
      <c r="A1634" t="s">
        <v>5</v>
      </c>
      <c r="B1634" t="str">
        <f t="shared" si="1023"/>
        <v>SPS1</v>
      </c>
      <c r="C1634" t="str">
        <f t="shared" si="1024"/>
        <v>CH</v>
      </c>
      <c r="D1634" t="s">
        <v>1719</v>
      </c>
      <c r="E1634" t="str">
        <f t="shared" si="1051"/>
        <v>km/MJ</v>
      </c>
      <c r="F1634" s="13">
        <f>IFERROR(F1624/F1609,"-")</f>
        <v>8.1953661871669775E-2</v>
      </c>
      <c r="G1634" s="13">
        <f t="shared" ref="G1634:K1634" si="1056">IFERROR(G1624/G1609,"-")</f>
        <v>8.3996210615660302E-2</v>
      </c>
      <c r="H1634" s="13">
        <f t="shared" si="1056"/>
        <v>8.706003373164603E-2</v>
      </c>
      <c r="I1634" s="13">
        <f t="shared" si="1056"/>
        <v>8.7060033731645989E-2</v>
      </c>
      <c r="J1634" s="13" t="str">
        <f t="shared" si="1056"/>
        <v>-</v>
      </c>
      <c r="K1634" s="13" t="str">
        <f t="shared" si="1056"/>
        <v>-</v>
      </c>
    </row>
    <row r="1635" spans="1:11">
      <c r="A1635" t="s">
        <v>5</v>
      </c>
      <c r="B1635" t="str">
        <f t="shared" si="1023"/>
        <v>SPS1</v>
      </c>
      <c r="C1635" t="str">
        <f t="shared" si="1024"/>
        <v>CH</v>
      </c>
      <c r="D1635" t="s">
        <v>1720</v>
      </c>
      <c r="E1635" t="str">
        <f t="shared" si="1051"/>
        <v>km/MJ</v>
      </c>
      <c r="F1635" s="13">
        <f>IFERROR(F1625/F1610,"-")</f>
        <v>0.11870351496053497</v>
      </c>
      <c r="G1635" s="13">
        <f t="shared" ref="G1635:K1635" si="1057">IFERROR(G1625/G1610,"-")</f>
        <v>0.11870351496053504</v>
      </c>
      <c r="H1635" s="13">
        <f t="shared" si="1057"/>
        <v>0.11870351496053493</v>
      </c>
      <c r="I1635" s="13">
        <f t="shared" si="1057"/>
        <v>0.11870351496053498</v>
      </c>
      <c r="J1635" s="13">
        <f t="shared" si="1057"/>
        <v>0.11870351496053494</v>
      </c>
      <c r="K1635" s="13" t="str">
        <f t="shared" si="1057"/>
        <v>-</v>
      </c>
    </row>
    <row r="1636" spans="1:11">
      <c r="A1636" t="s">
        <v>5</v>
      </c>
      <c r="B1636" t="str">
        <f t="shared" si="1023"/>
        <v>SPS1</v>
      </c>
      <c r="C1636" t="str">
        <f t="shared" si="1024"/>
        <v>CH</v>
      </c>
      <c r="D1636" t="s">
        <v>1721</v>
      </c>
      <c r="E1636" t="str">
        <f t="shared" si="1051"/>
        <v>km/MJ</v>
      </c>
      <c r="F1636" s="13" t="str">
        <f>IFERROR(F1626/F1611,"-")</f>
        <v>-</v>
      </c>
      <c r="G1636" s="13">
        <f t="shared" ref="G1636:K1636" si="1058">IFERROR(G1626/G1611,"-")</f>
        <v>0.16346685209675793</v>
      </c>
      <c r="H1636" s="13">
        <f t="shared" si="1058"/>
        <v>0.16346685209675796</v>
      </c>
      <c r="I1636" s="13">
        <f t="shared" si="1058"/>
        <v>0.1634668520967581</v>
      </c>
      <c r="J1636" s="13">
        <f t="shared" si="1058"/>
        <v>0.16346685209675813</v>
      </c>
      <c r="K1636" s="13">
        <f t="shared" si="1058"/>
        <v>0.16346685209675804</v>
      </c>
    </row>
    <row r="1637" spans="1:11">
      <c r="A1637" t="s">
        <v>5</v>
      </c>
      <c r="B1637" t="str">
        <f t="shared" si="1023"/>
        <v>SPS1</v>
      </c>
      <c r="C1637" t="str">
        <f t="shared" si="1024"/>
        <v>CH</v>
      </c>
      <c r="D1637" t="s">
        <v>1722</v>
      </c>
      <c r="E1637" t="str">
        <f t="shared" si="1051"/>
        <v>km/MJ</v>
      </c>
      <c r="F1637" s="13">
        <f>IFERROR(F1627/F1617,"-")</f>
        <v>0.10322365358776008</v>
      </c>
      <c r="G1637" s="13" t="str">
        <f t="shared" ref="G1637:K1637" si="1059">IFERROR(G1627/G1617,"-")</f>
        <v>-</v>
      </c>
      <c r="H1637" s="13">
        <f t="shared" si="1059"/>
        <v>0.10737171242507595</v>
      </c>
      <c r="I1637" s="13">
        <f t="shared" si="1059"/>
        <v>0.11025762561819834</v>
      </c>
      <c r="J1637" s="13">
        <f t="shared" si="1059"/>
        <v>0.11926128005408376</v>
      </c>
      <c r="K1637" s="13">
        <f t="shared" si="1059"/>
        <v>0.12895483486233358</v>
      </c>
    </row>
    <row r="1638" spans="1:11">
      <c r="A1638" t="s">
        <v>5</v>
      </c>
      <c r="B1638" s="1" t="str">
        <f>B1637</f>
        <v>SPS1</v>
      </c>
      <c r="C1638" s="1" t="str">
        <f>C1637</f>
        <v>CH</v>
      </c>
      <c r="D1638" s="1" t="s">
        <v>1731</v>
      </c>
      <c r="E1638" s="1" t="s">
        <v>8</v>
      </c>
      <c r="F1638" s="13">
        <f>F1639+F1643+F1647+F1653</f>
        <v>28.743325784561446</v>
      </c>
      <c r="G1638" s="13">
        <f t="shared" ref="G1638:K1638" si="1060">G1639+G1643+G1647+G1653</f>
        <v>28.209691334938039</v>
      </c>
      <c r="H1638" s="13">
        <f t="shared" si="1060"/>
        <v>25.437580363069735</v>
      </c>
      <c r="I1638" s="13">
        <f t="shared" si="1060"/>
        <v>21.030284788958888</v>
      </c>
      <c r="J1638" s="13">
        <f t="shared" si="1060"/>
        <v>28.081340678053042</v>
      </c>
      <c r="K1638" s="13">
        <f t="shared" si="1060"/>
        <v>28.977053362264716</v>
      </c>
    </row>
    <row r="1639" spans="1:11">
      <c r="A1639" t="s">
        <v>5</v>
      </c>
      <c r="B1639" t="str">
        <f t="shared" ref="B1639:B1660" si="1061">B1638</f>
        <v>SPS1</v>
      </c>
      <c r="C1639" t="str">
        <f t="shared" ref="C1639:C1682" si="1062">C1638</f>
        <v>CH</v>
      </c>
      <c r="D1639" t="s">
        <v>1732</v>
      </c>
      <c r="E1639" t="s">
        <v>8</v>
      </c>
      <c r="F1639" s="13">
        <f>SUM(F1640:F1642)</f>
        <v>9.2070286301524078</v>
      </c>
      <c r="G1639" s="13">
        <f t="shared" ref="G1639:K1639" si="1063">SUM(G1640:G1642)</f>
        <v>9.4131702300668181</v>
      </c>
      <c r="H1639" s="13">
        <f t="shared" si="1063"/>
        <v>9.9544434665480228</v>
      </c>
      <c r="I1639" s="13">
        <f t="shared" si="1063"/>
        <v>10.606489400263078</v>
      </c>
      <c r="J1639" s="13">
        <f t="shared" si="1063"/>
        <v>11.738043384010286</v>
      </c>
      <c r="K1639" s="13">
        <f t="shared" si="1063"/>
        <v>12.633781327911073</v>
      </c>
    </row>
    <row r="1640" spans="1:11">
      <c r="A1640" t="s">
        <v>5</v>
      </c>
      <c r="B1640" t="str">
        <f t="shared" si="1061"/>
        <v>SPS1</v>
      </c>
      <c r="C1640" t="str">
        <f t="shared" si="1062"/>
        <v>CH</v>
      </c>
      <c r="D1640" t="s">
        <v>1733</v>
      </c>
      <c r="E1640" t="str">
        <f t="shared" ref="E1640:E1642" si="1064">E1639</f>
        <v>PJ/yr.</v>
      </c>
      <c r="F1640" s="13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3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3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3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8.7118090125762091</v>
      </c>
      <c r="J1640" s="13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9.7093205100309099</v>
      </c>
      <c r="K1640" s="13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10.452586907059088</v>
      </c>
    </row>
    <row r="1641" spans="1:11">
      <c r="A1641" t="s">
        <v>5</v>
      </c>
      <c r="B1641" t="str">
        <f t="shared" si="1061"/>
        <v>SPS1</v>
      </c>
      <c r="C1641" t="str">
        <f t="shared" si="1062"/>
        <v>CH</v>
      </c>
      <c r="D1641" t="s">
        <v>1734</v>
      </c>
      <c r="E1641" t="str">
        <f t="shared" si="1064"/>
        <v>PJ/yr.</v>
      </c>
      <c r="F1641" s="13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1.5023086170514626</v>
      </c>
      <c r="G1641" s="13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1.5072647932158945</v>
      </c>
      <c r="H1641" s="13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1.7465419470103341</v>
      </c>
      <c r="I1641" s="13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1.8946802298989465</v>
      </c>
      <c r="J1641" s="13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2.0287220632149401</v>
      </c>
      <c r="K1641" s="13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2.1811941114843529</v>
      </c>
    </row>
    <row r="1642" spans="1:11">
      <c r="A1642" t="s">
        <v>5</v>
      </c>
      <c r="B1642" t="str">
        <f t="shared" si="1061"/>
        <v>SPS1</v>
      </c>
      <c r="C1642" t="str">
        <f t="shared" si="1062"/>
        <v>CH</v>
      </c>
      <c r="D1642" t="s">
        <v>1735</v>
      </c>
      <c r="E1642" t="str">
        <f t="shared" si="1064"/>
        <v>PJ/yr.</v>
      </c>
      <c r="F1642" s="13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3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</v>
      </c>
      <c r="H1642" s="13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6.7233336164106259E-8</v>
      </c>
      <c r="I1642" s="13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1.5778792117930254E-7</v>
      </c>
      <c r="J1642" s="13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8.1076443605701346E-7</v>
      </c>
      <c r="K1642" s="13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3.0936763152043076E-7</v>
      </c>
    </row>
    <row r="1643" spans="1:11">
      <c r="A1643" t="s">
        <v>5</v>
      </c>
      <c r="B1643" t="str">
        <f t="shared" si="1061"/>
        <v>SPS1</v>
      </c>
      <c r="C1643" t="str">
        <f t="shared" si="1062"/>
        <v>CH</v>
      </c>
      <c r="D1643" t="s">
        <v>1736</v>
      </c>
      <c r="E1643" t="s">
        <v>8</v>
      </c>
      <c r="F1643" s="13">
        <f>SUM(F1644:F1646)</f>
        <v>0</v>
      </c>
      <c r="G1643" s="13">
        <f t="shared" ref="G1643:K1643" si="1065">SUM(G1644:G1646)</f>
        <v>0</v>
      </c>
      <c r="H1643" s="13">
        <f t="shared" si="1065"/>
        <v>0</v>
      </c>
      <c r="I1643" s="13">
        <f t="shared" si="1065"/>
        <v>8.9771818125738871E-8</v>
      </c>
      <c r="J1643" s="13">
        <f t="shared" si="1065"/>
        <v>3.0804795476794471E-6</v>
      </c>
      <c r="K1643" s="13">
        <f t="shared" si="1065"/>
        <v>6.8957249190732611E-7</v>
      </c>
    </row>
    <row r="1644" spans="1:11">
      <c r="A1644" t="s">
        <v>5</v>
      </c>
      <c r="B1644" t="str">
        <f t="shared" si="1061"/>
        <v>SPS1</v>
      </c>
      <c r="C1644" t="str">
        <f t="shared" si="1062"/>
        <v>CH</v>
      </c>
      <c r="D1644" t="s">
        <v>1737</v>
      </c>
      <c r="E1644" t="str">
        <f t="shared" ref="E1644:E1646" si="1066">E1643</f>
        <v>PJ/yr.</v>
      </c>
      <c r="F1644" s="13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3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3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3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3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0</v>
      </c>
      <c r="K1644" s="13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0</v>
      </c>
    </row>
    <row r="1645" spans="1:11">
      <c r="A1645" t="s">
        <v>5</v>
      </c>
      <c r="B1645" t="str">
        <f t="shared" si="1061"/>
        <v>SPS1</v>
      </c>
      <c r="C1645" t="str">
        <f t="shared" si="1062"/>
        <v>CH</v>
      </c>
      <c r="D1645" t="s">
        <v>1738</v>
      </c>
      <c r="E1645" t="str">
        <f t="shared" si="1066"/>
        <v>PJ/yr.</v>
      </c>
      <c r="F1645" s="13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3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3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3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3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3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1:11">
      <c r="A1646" t="s">
        <v>5</v>
      </c>
      <c r="B1646" t="str">
        <f t="shared" si="1061"/>
        <v>SPS1</v>
      </c>
      <c r="C1646" t="str">
        <f t="shared" si="1062"/>
        <v>CH</v>
      </c>
      <c r="D1646" t="s">
        <v>1739</v>
      </c>
      <c r="E1646" t="str">
        <f t="shared" si="1066"/>
        <v>PJ/yr.</v>
      </c>
      <c r="F1646" s="13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3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3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3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8.9771818125738871E-8</v>
      </c>
      <c r="J1646" s="13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3.0804795476794471E-6</v>
      </c>
      <c r="K1646" s="13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6.8957249190732611E-7</v>
      </c>
    </row>
    <row r="1647" spans="1:11">
      <c r="A1647" t="s">
        <v>5</v>
      </c>
      <c r="B1647" t="str">
        <f t="shared" si="1061"/>
        <v>SPS1</v>
      </c>
      <c r="C1647" t="str">
        <f t="shared" si="1062"/>
        <v>CH</v>
      </c>
      <c r="D1647" t="s">
        <v>1740</v>
      </c>
      <c r="E1647" t="str">
        <f>E1646</f>
        <v>PJ/yr.</v>
      </c>
      <c r="F1647" s="13">
        <f>F1652</f>
        <v>1.759807763728358</v>
      </c>
      <c r="G1647" s="13">
        <f t="shared" ref="G1647:K1647" si="1067">G1652</f>
        <v>0.79625416957712858</v>
      </c>
      <c r="H1647" s="13">
        <f t="shared" si="1067"/>
        <v>1.0380724772573357E-6</v>
      </c>
      <c r="I1647" s="13">
        <f t="shared" si="1067"/>
        <v>7.988201622073461E-7</v>
      </c>
      <c r="J1647" s="13">
        <f t="shared" si="1067"/>
        <v>1.810704688145701E-6</v>
      </c>
      <c r="K1647" s="13">
        <f t="shared" si="1067"/>
        <v>0</v>
      </c>
    </row>
    <row r="1648" spans="1:11">
      <c r="A1648" t="s">
        <v>5</v>
      </c>
      <c r="B1648" t="str">
        <f t="shared" si="1061"/>
        <v>SPS1</v>
      </c>
      <c r="C1648" t="str">
        <f t="shared" si="1062"/>
        <v>CH</v>
      </c>
      <c r="D1648" t="s">
        <v>1741</v>
      </c>
      <c r="E1648" t="str">
        <f t="shared" ref="E1648:E1660" si="1068">E1647</f>
        <v>PJ/yr.</v>
      </c>
      <c r="F1648" s="13">
        <f>F1647-F1649</f>
        <v>1.6634758798758351</v>
      </c>
      <c r="G1648" s="13">
        <f t="shared" ref="G1648:K1648" si="1069">G1647-G1649</f>
        <v>0.75266718311037673</v>
      </c>
      <c r="H1648" s="13">
        <f t="shared" si="1069"/>
        <v>9.8124834503273121E-7</v>
      </c>
      <c r="I1648" s="13">
        <f t="shared" si="1069"/>
        <v>7.5509227286419183E-7</v>
      </c>
      <c r="J1648" s="13">
        <f t="shared" si="1069"/>
        <v>8.9100218479273062E-7</v>
      </c>
      <c r="K1648" s="13">
        <f t="shared" si="1069"/>
        <v>0</v>
      </c>
    </row>
    <row r="1649" spans="1:11">
      <c r="A1649" t="s">
        <v>5</v>
      </c>
      <c r="B1649" t="str">
        <f t="shared" si="1061"/>
        <v>SPS1</v>
      </c>
      <c r="C1649" t="str">
        <f t="shared" si="1062"/>
        <v>CH</v>
      </c>
      <c r="D1649" t="s">
        <v>1742</v>
      </c>
      <c r="E1649" t="str">
        <f t="shared" si="1068"/>
        <v>PJ/yr.</v>
      </c>
      <c r="F1649" s="13">
        <f>SUM(F1650:F1651)</f>
        <v>9.6331883852522962E-2</v>
      </c>
      <c r="G1649" s="13">
        <f t="shared" ref="G1649:K1649" si="1070">SUM(G1650:G1651)</f>
        <v>4.3586986466751854E-2</v>
      </c>
      <c r="H1649" s="13">
        <f t="shared" si="1070"/>
        <v>5.6824132224604427E-8</v>
      </c>
      <c r="I1649" s="13">
        <f t="shared" si="1070"/>
        <v>4.3727889343154316E-8</v>
      </c>
      <c r="J1649" s="13">
        <f t="shared" si="1070"/>
        <v>9.1970250335297042E-7</v>
      </c>
      <c r="K1649" s="13">
        <f t="shared" si="1070"/>
        <v>0</v>
      </c>
    </row>
    <row r="1650" spans="1:11">
      <c r="A1650" t="s">
        <v>5</v>
      </c>
      <c r="B1650" t="str">
        <f t="shared" si="1061"/>
        <v>SPS1</v>
      </c>
      <c r="C1650" t="str">
        <f t="shared" si="1062"/>
        <v>CH</v>
      </c>
      <c r="D1650" t="s">
        <v>1743</v>
      </c>
      <c r="E1650" t="str">
        <f t="shared" si="1068"/>
        <v>PJ/yr.</v>
      </c>
      <c r="F1650" s="13">
        <f>[1]Transport!B$25/SUM([1]Transport!B$21,[1]Transport!B$25)*F1647*(F$34+F$598)/(F$34+F$598+F$37)</f>
        <v>9.6331883852522962E-2</v>
      </c>
      <c r="G1650" s="13">
        <f>[1]Transport!C$25/SUM([1]Transport!C$21,[1]Transport!C$25)*G1647*(G$34+G$598)/(G$34+G$598+G$37)</f>
        <v>4.3586986466751854E-2</v>
      </c>
      <c r="H1650" s="13">
        <f>[1]Transport!D$25/SUM([1]Transport!D$21,[1]Transport!D$25)*H1647*(H$34+H$598)/(H$34+H$598+H$37)</f>
        <v>5.6824132224604427E-8</v>
      </c>
      <c r="I1650" s="13">
        <f>[1]Transport!E$25/SUM([1]Transport!E$21,[1]Transport!E$25)*I1647*(I$34+I$598)/(I$34+I$598+I$37)</f>
        <v>4.3727889343154316E-8</v>
      </c>
      <c r="J1650" s="13">
        <f>[1]Transport!F$25/SUM([1]Transport!F$21,[1]Transport!F$25)*J1647*(J$34+J$598)/(J$34+J$598+J$37)</f>
        <v>7.2857352240570812E-7</v>
      </c>
      <c r="K1650" s="13">
        <f>[1]Transport!G$25/SUM([1]Transport!G$21,[1]Transport!G$25)*K1647*(K$34+K$598)/(K$34+K$598+K$37)</f>
        <v>0</v>
      </c>
    </row>
    <row r="1651" spans="1:11">
      <c r="A1651" t="s">
        <v>5</v>
      </c>
      <c r="B1651" t="str">
        <f t="shared" si="1061"/>
        <v>SPS1</v>
      </c>
      <c r="C1651" t="str">
        <f t="shared" si="1062"/>
        <v>CH</v>
      </c>
      <c r="D1651" t="s">
        <v>1744</v>
      </c>
      <c r="E1651" t="str">
        <f t="shared" si="1068"/>
        <v>PJ/yr.</v>
      </c>
      <c r="F1651" s="13">
        <f>(F$37+F$717)/([1]Transport!B$21+[1]Transport!B$25)*F1647</f>
        <v>0</v>
      </c>
      <c r="G1651" s="13">
        <f>(G$37+G$717)/([1]Transport!C$21+[1]Transport!C$25)*G1647</f>
        <v>0</v>
      </c>
      <c r="H1651" s="13">
        <f>(H$37+H$717)/([1]Transport!D$21+[1]Transport!D$25)*H1647</f>
        <v>0</v>
      </c>
      <c r="I1651" s="13">
        <f>(I$37+I$717)/([1]Transport!E$21+[1]Transport!E$25)*I1647</f>
        <v>0</v>
      </c>
      <c r="J1651" s="13">
        <f>(J$37+J$717)/([1]Transport!F$21+[1]Transport!F$25)*J1647</f>
        <v>1.9112898094726233E-7</v>
      </c>
      <c r="K1651" s="13">
        <f>(K$37+K$717)/([1]Transport!G$21+[1]Transport!G$25)*K1647</f>
        <v>0</v>
      </c>
    </row>
    <row r="1652" spans="1:11">
      <c r="A1652" t="s">
        <v>5</v>
      </c>
      <c r="B1652" t="str">
        <f t="shared" si="1061"/>
        <v>SPS1</v>
      </c>
      <c r="C1652" t="str">
        <f t="shared" si="1062"/>
        <v>CH</v>
      </c>
      <c r="D1652" t="s">
        <v>1745</v>
      </c>
      <c r="E1652" t="str">
        <f t="shared" si="1068"/>
        <v>PJ/yr.</v>
      </c>
      <c r="F1652" s="13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3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0.79625416957712858</v>
      </c>
      <c r="H1652" s="13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1.0380724772573357E-6</v>
      </c>
      <c r="I1652" s="13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7.988201622073461E-7</v>
      </c>
      <c r="J1652" s="13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1.810704688145701E-6</v>
      </c>
      <c r="K1652" s="13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1:11">
      <c r="A1653" t="s">
        <v>5</v>
      </c>
      <c r="B1653" t="str">
        <f t="shared" si="1061"/>
        <v>SPS1</v>
      </c>
      <c r="C1653" t="str">
        <f t="shared" si="1062"/>
        <v>CH</v>
      </c>
      <c r="D1653" t="s">
        <v>1746</v>
      </c>
      <c r="E1653" t="str">
        <f t="shared" si="1068"/>
        <v>PJ/yr.</v>
      </c>
      <c r="F1653" s="13">
        <f>SUM(F1658:F1660)</f>
        <v>17.77648939068068</v>
      </c>
      <c r="G1653" s="13">
        <f t="shared" ref="G1653:K1653" si="1071">SUM(G1658:G1660)</f>
        <v>18.000266935294093</v>
      </c>
      <c r="H1653" s="13">
        <f t="shared" si="1071"/>
        <v>15.483135858449234</v>
      </c>
      <c r="I1653" s="13">
        <f t="shared" si="1071"/>
        <v>10.423794500103828</v>
      </c>
      <c r="J1653" s="13">
        <f t="shared" si="1071"/>
        <v>16.34329240285852</v>
      </c>
      <c r="K1653" s="13">
        <f t="shared" si="1071"/>
        <v>16.343271344781151</v>
      </c>
    </row>
    <row r="1654" spans="1:11">
      <c r="A1654" t="s">
        <v>5</v>
      </c>
      <c r="B1654" t="str">
        <f t="shared" si="1061"/>
        <v>SPS1</v>
      </c>
      <c r="C1654" t="str">
        <f t="shared" si="1062"/>
        <v>CH</v>
      </c>
      <c r="D1654" t="s">
        <v>1747</v>
      </c>
      <c r="E1654" t="str">
        <f t="shared" si="1068"/>
        <v>PJ/yr.</v>
      </c>
      <c r="F1654" s="13">
        <f>F1653-F1655</f>
        <v>17.339200879221021</v>
      </c>
      <c r="G1654" s="13">
        <f t="shared" ref="G1654:K1654" si="1072">G1653-G1655</f>
        <v>17.533735524201887</v>
      </c>
      <c r="H1654" s="13">
        <f t="shared" si="1072"/>
        <v>14.995837263824903</v>
      </c>
      <c r="I1654" s="13">
        <f t="shared" si="1072"/>
        <v>10.016710906912307</v>
      </c>
      <c r="J1654" s="13">
        <f t="shared" si="1072"/>
        <v>15.886522541067306</v>
      </c>
      <c r="K1654" s="13">
        <f t="shared" si="1072"/>
        <v>-1.5881029127239863</v>
      </c>
    </row>
    <row r="1655" spans="1:11">
      <c r="A1655" t="s">
        <v>5</v>
      </c>
      <c r="B1655" t="str">
        <f t="shared" si="1061"/>
        <v>SPS1</v>
      </c>
      <c r="C1655" t="str">
        <f t="shared" si="1062"/>
        <v>CH</v>
      </c>
      <c r="D1655" t="s">
        <v>1748</v>
      </c>
      <c r="E1655" t="str">
        <f t="shared" si="1068"/>
        <v>PJ/yr.</v>
      </c>
      <c r="F1655" s="13">
        <f>SUM(F1656:F1657)</f>
        <v>0.43728851145965858</v>
      </c>
      <c r="G1655" s="13">
        <f t="shared" ref="G1655:K1655" si="1073">SUM(G1656:G1657)</f>
        <v>0.46653141109220569</v>
      </c>
      <c r="H1655" s="13">
        <f t="shared" si="1073"/>
        <v>0.48729859462433101</v>
      </c>
      <c r="I1655" s="13">
        <f t="shared" si="1073"/>
        <v>0.40708359319152004</v>
      </c>
      <c r="J1655" s="13">
        <f t="shared" si="1073"/>
        <v>0.45676986179121426</v>
      </c>
      <c r="K1655" s="13">
        <f t="shared" si="1073"/>
        <v>17.931374257505137</v>
      </c>
    </row>
    <row r="1656" spans="1:11">
      <c r="A1656" t="s">
        <v>5</v>
      </c>
      <c r="B1656" t="str">
        <f t="shared" si="1061"/>
        <v>SPS1</v>
      </c>
      <c r="C1656" t="str">
        <f t="shared" si="1062"/>
        <v>CH</v>
      </c>
      <c r="D1656" t="s">
        <v>1749</v>
      </c>
      <c r="E1656" t="str">
        <f t="shared" si="1068"/>
        <v>PJ/yr.</v>
      </c>
      <c r="F1656" s="13">
        <f>[1]Transport!B$26/SUM([1]Transport!B$22,[1]Transport!B$26)*F1653*(F$33+F$580)/(F$33+F$580+F$36)</f>
        <v>0.43728851145965858</v>
      </c>
      <c r="G1656" s="13">
        <f>[1]Transport!C$26/SUM([1]Transport!C$22,[1]Transport!C$26)*G1653*(G$33+G$580)/(G$33+G$580+G$36)</f>
        <v>0.46653141109220569</v>
      </c>
      <c r="H1656" s="13">
        <f>[1]Transport!D$26/SUM([1]Transport!D$22,[1]Transport!D$26)*H1653*(H$33+H$580)/(H$33+H$580+H$36)</f>
        <v>0.48729859462433101</v>
      </c>
      <c r="I1656" s="13">
        <f>[1]Transport!E$26/SUM([1]Transport!E$22,[1]Transport!E$26)*I1653*(I$33+I$580)/(I$33+I$580+I$36)</f>
        <v>0.40708359319152004</v>
      </c>
      <c r="J1656" s="13">
        <f>[1]Transport!F$26/SUM([1]Transport!F$22,[1]Transport!F$26)*J1653*(J$33+J$580)/(J$33+J$580+J$36)</f>
        <v>0.45676674964913139</v>
      </c>
      <c r="K1656" s="13">
        <f>[1]Transport!G$26/SUM([1]Transport!G$22,[1]Transport!G$26)*K1653*(K$33+K$580)/(K$33+K$580+K$36)</f>
        <v>3.7769417528807758</v>
      </c>
    </row>
    <row r="1657" spans="1:11">
      <c r="A1657" t="s">
        <v>5</v>
      </c>
      <c r="B1657" t="str">
        <f t="shared" si="1061"/>
        <v>SPS1</v>
      </c>
      <c r="C1657" t="str">
        <f t="shared" si="1062"/>
        <v>CH</v>
      </c>
      <c r="D1657" t="s">
        <v>1750</v>
      </c>
      <c r="E1657" t="str">
        <f t="shared" si="1068"/>
        <v>PJ/yr.</v>
      </c>
      <c r="F1657" s="13">
        <f>(F$36+F$716)/([1]Transport!B$22+[1]Transport!B$26)*F1653</f>
        <v>0</v>
      </c>
      <c r="G1657" s="13">
        <f>(G$36+G$716)/([1]Transport!C$22+[1]Transport!C$26)*G1653</f>
        <v>0</v>
      </c>
      <c r="H1657" s="13">
        <f>(H$36+H$716)/([1]Transport!D$22+[1]Transport!D$26)*H1653</f>
        <v>0</v>
      </c>
      <c r="I1657" s="13">
        <f>(I$36+I$716)/([1]Transport!E$22+[1]Transport!E$26)*I1653</f>
        <v>0</v>
      </c>
      <c r="J1657" s="13">
        <f>(J$36+J$716)/([1]Transport!F$22+[1]Transport!F$26)*J1653</f>
        <v>3.1121420828575211E-6</v>
      </c>
      <c r="K1657" s="13">
        <f>(K$36+K$716)/([1]Transport!G$22+[1]Transport!G$26)*K1653</f>
        <v>14.154432504624362</v>
      </c>
    </row>
    <row r="1658" spans="1:11">
      <c r="A1658" t="s">
        <v>5</v>
      </c>
      <c r="B1658" t="str">
        <f t="shared" si="1061"/>
        <v>SPS1</v>
      </c>
      <c r="C1658" t="str">
        <f t="shared" si="1062"/>
        <v>CH</v>
      </c>
      <c r="D1658" t="s">
        <v>1751</v>
      </c>
      <c r="E1658" t="str">
        <f t="shared" si="1068"/>
        <v>PJ/yr.</v>
      </c>
      <c r="F1658" s="13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3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3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3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3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3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1:11">
      <c r="A1659" t="s">
        <v>5</v>
      </c>
      <c r="B1659" t="str">
        <f t="shared" si="1061"/>
        <v>SPS1</v>
      </c>
      <c r="C1659" t="str">
        <f t="shared" si="1062"/>
        <v>CH</v>
      </c>
      <c r="D1659" t="s">
        <v>1752</v>
      </c>
      <c r="E1659" t="str">
        <f t="shared" si="1068"/>
        <v>PJ/yr.</v>
      </c>
      <c r="F1659" s="13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0.3960915843459718</v>
      </c>
      <c r="G1659" s="13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0.619868152638544</v>
      </c>
      <c r="H1659" s="13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0</v>
      </c>
      <c r="I1659" s="13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3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3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1:11">
      <c r="A1660" t="s">
        <v>5</v>
      </c>
      <c r="B1660" t="str">
        <f t="shared" si="1061"/>
        <v>SPS1</v>
      </c>
      <c r="C1660" t="str">
        <f t="shared" si="1062"/>
        <v>CH</v>
      </c>
      <c r="D1660" t="s">
        <v>1753</v>
      </c>
      <c r="E1660" t="str">
        <f t="shared" si="1068"/>
        <v>PJ/yr.</v>
      </c>
      <c r="F1660" s="13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3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17.380398782655547</v>
      </c>
      <c r="H1660" s="13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15.483135858449234</v>
      </c>
      <c r="I1660" s="13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10.423794500103828</v>
      </c>
      <c r="J1660" s="13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16.34329240285852</v>
      </c>
      <c r="K1660" s="13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16.343271344781151</v>
      </c>
    </row>
    <row r="1661" spans="1:11">
      <c r="A1661" t="s">
        <v>5</v>
      </c>
      <c r="B1661" s="1" t="str">
        <f>B1660</f>
        <v>SPS1</v>
      </c>
      <c r="C1661" s="1" t="str">
        <f t="shared" si="1062"/>
        <v>CH</v>
      </c>
      <c r="D1661" s="1" t="s">
        <v>1754</v>
      </c>
      <c r="E1661" s="14" t="s">
        <v>295</v>
      </c>
      <c r="F1661" s="25" t="s">
        <v>295</v>
      </c>
      <c r="G1661" s="25" t="s">
        <v>295</v>
      </c>
      <c r="H1661" s="25" t="s">
        <v>295</v>
      </c>
      <c r="I1661" s="25" t="s">
        <v>295</v>
      </c>
      <c r="J1661" s="25" t="s">
        <v>295</v>
      </c>
      <c r="K1661" s="25" t="s">
        <v>295</v>
      </c>
    </row>
    <row r="1662" spans="1:11">
      <c r="A1662" t="s">
        <v>5</v>
      </c>
      <c r="B1662" t="str">
        <f t="shared" ref="B1662:B1682" si="1074">B1661</f>
        <v>SPS1</v>
      </c>
      <c r="C1662" t="str">
        <f t="shared" si="1062"/>
        <v>CH</v>
      </c>
      <c r="D1662" t="s">
        <v>1755</v>
      </c>
      <c r="E1662" t="s">
        <v>1597</v>
      </c>
      <c r="F1662" s="13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3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3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3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0.22017042774192144</v>
      </c>
      <c r="J1662" s="13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0.24502559991231695</v>
      </c>
      <c r="K1662" s="13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0.26340103947919746</v>
      </c>
    </row>
    <row r="1663" spans="1:11">
      <c r="A1663" t="s">
        <v>5</v>
      </c>
      <c r="B1663" t="str">
        <f t="shared" si="1074"/>
        <v>SPS1</v>
      </c>
      <c r="C1663" t="str">
        <f t="shared" si="1062"/>
        <v>CH</v>
      </c>
      <c r="D1663" t="s">
        <v>1756</v>
      </c>
      <c r="E1663" t="str">
        <f t="shared" ref="E1663:E1666" si="1075">E1662</f>
        <v>Billion km/yr.</v>
      </c>
      <c r="F1663" s="13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2.509461154271184E-2</v>
      </c>
      <c r="G1663" s="13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2.5177399669047522E-2</v>
      </c>
      <c r="H1663" s="13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2.9174292955396492E-2</v>
      </c>
      <c r="I1663" s="13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3.1648799605694659E-2</v>
      </c>
      <c r="J1663" s="13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3.3887838708152644E-2</v>
      </c>
      <c r="K1663" s="13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3.6434736715003004E-2</v>
      </c>
    </row>
    <row r="1664" spans="1:11">
      <c r="A1664" t="s">
        <v>5</v>
      </c>
      <c r="B1664" t="str">
        <f t="shared" si="1074"/>
        <v>SPS1</v>
      </c>
      <c r="C1664" t="str">
        <f t="shared" si="1062"/>
        <v>CH</v>
      </c>
      <c r="D1664" t="s">
        <v>1757</v>
      </c>
      <c r="E1664" t="s">
        <v>8</v>
      </c>
      <c r="F1664" s="13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3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0</v>
      </c>
      <c r="H1664" s="13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1.6589094901361101E-7</v>
      </c>
      <c r="I1664" s="13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3.8932454464893202E-7</v>
      </c>
      <c r="J1664" s="13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2.0004731194015501E-6</v>
      </c>
      <c r="K1664" s="13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7.6333100386019603E-7</v>
      </c>
    </row>
    <row r="1665" spans="1:11">
      <c r="A1665" t="s">
        <v>5</v>
      </c>
      <c r="B1665" t="str">
        <f t="shared" si="1074"/>
        <v>SPS1</v>
      </c>
      <c r="C1665" t="str">
        <f t="shared" si="1062"/>
        <v>CH</v>
      </c>
      <c r="D1665" t="s">
        <v>1758</v>
      </c>
      <c r="E1665" t="s">
        <v>1597</v>
      </c>
      <c r="F1665" s="13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3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3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3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3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0</v>
      </c>
      <c r="K1665" s="13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0</v>
      </c>
    </row>
    <row r="1666" spans="1:11">
      <c r="A1666" t="s">
        <v>5</v>
      </c>
      <c r="B1666" t="str">
        <f t="shared" si="1074"/>
        <v>SPS1</v>
      </c>
      <c r="C1666" t="str">
        <f t="shared" si="1062"/>
        <v>CH</v>
      </c>
      <c r="D1666" t="s">
        <v>1759</v>
      </c>
      <c r="E1666" t="str">
        <f t="shared" si="1075"/>
        <v>Billion km/yr.</v>
      </c>
      <c r="F1666" s="13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3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3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3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3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3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1:11">
      <c r="A1667" t="s">
        <v>5</v>
      </c>
      <c r="B1667" t="str">
        <f t="shared" si="1074"/>
        <v>SPS1</v>
      </c>
      <c r="C1667" t="str">
        <f t="shared" si="1062"/>
        <v>CH</v>
      </c>
      <c r="D1667" t="s">
        <v>1760</v>
      </c>
      <c r="E1667" t="s">
        <v>8</v>
      </c>
      <c r="F1667" s="13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3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3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3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1.61003804247249E-7</v>
      </c>
      <c r="J1667" s="13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5.5247731018164099E-6</v>
      </c>
      <c r="K1667" s="13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1.2367332735294501E-6</v>
      </c>
    </row>
    <row r="1668" spans="1:11">
      <c r="A1668" t="s">
        <v>5</v>
      </c>
      <c r="B1668" t="str">
        <f t="shared" si="1074"/>
        <v>SPS1</v>
      </c>
      <c r="C1668" t="str">
        <f t="shared" si="1062"/>
        <v>CH</v>
      </c>
      <c r="D1668" t="s">
        <v>1761</v>
      </c>
      <c r="E1668" t="s">
        <v>8</v>
      </c>
      <c r="F1668" s="13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3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0.72173454858890096</v>
      </c>
      <c r="H1668" s="13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9.4092162955175204E-7</v>
      </c>
      <c r="I1668" s="13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7.2406039579122797E-7</v>
      </c>
      <c r="J1668" s="13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1.6412449449661201E-6</v>
      </c>
      <c r="K1668" s="13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1:11">
      <c r="A1669" t="s">
        <v>5</v>
      </c>
      <c r="B1669" t="str">
        <f t="shared" si="1074"/>
        <v>SPS1</v>
      </c>
      <c r="C1669" t="str">
        <f t="shared" si="1062"/>
        <v>CH</v>
      </c>
      <c r="D1669" t="s">
        <v>1762</v>
      </c>
      <c r="E1669" t="s">
        <v>1597</v>
      </c>
      <c r="F1669" s="13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3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3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3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3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3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1:11">
      <c r="A1670" t="s">
        <v>5</v>
      </c>
      <c r="B1670" t="str">
        <f t="shared" si="1074"/>
        <v>SPS1</v>
      </c>
      <c r="C1670" t="str">
        <f t="shared" si="1062"/>
        <v>CH</v>
      </c>
      <c r="D1670" t="s">
        <v>1763</v>
      </c>
      <c r="E1670" t="str">
        <f t="shared" ref="E1670" si="1076">E1669</f>
        <v>Billion km/yr.</v>
      </c>
      <c r="F1670" s="13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1.6053884572881593E-3</v>
      </c>
      <c r="G1670" s="13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2.5123714227092584E-3</v>
      </c>
      <c r="H1670" s="13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0</v>
      </c>
      <c r="I1670" s="13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3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3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1:11">
      <c r="A1671" t="s">
        <v>5</v>
      </c>
      <c r="B1671" t="str">
        <f t="shared" si="1074"/>
        <v>SPS1</v>
      </c>
      <c r="C1671" t="str">
        <f t="shared" si="1062"/>
        <v>CH</v>
      </c>
      <c r="D1671" t="s">
        <v>1764</v>
      </c>
      <c r="E1671" t="s">
        <v>8</v>
      </c>
      <c r="F1671" s="13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3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17.176522883876</v>
      </c>
      <c r="H1671" s="13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15.301515270881501</v>
      </c>
      <c r="I1671" s="13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10.3015210989594</v>
      </c>
      <c r="J1671" s="13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16.151581989920601</v>
      </c>
      <c r="K1671" s="13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16.151561178859101</v>
      </c>
    </row>
    <row r="1672" spans="1:11">
      <c r="A1672" t="s">
        <v>5</v>
      </c>
      <c r="B1672" s="1" t="str">
        <f t="shared" si="1074"/>
        <v>SPS1</v>
      </c>
      <c r="C1672" s="1" t="str">
        <f t="shared" si="1062"/>
        <v>CH</v>
      </c>
      <c r="D1672" s="1" t="s">
        <v>1765</v>
      </c>
      <c r="E1672" s="14" t="s">
        <v>295</v>
      </c>
      <c r="F1672" s="25" t="s">
        <v>295</v>
      </c>
      <c r="G1672" s="25" t="s">
        <v>295</v>
      </c>
      <c r="H1672" s="25" t="s">
        <v>295</v>
      </c>
      <c r="I1672" s="25" t="s">
        <v>295</v>
      </c>
      <c r="J1672" s="25" t="s">
        <v>295</v>
      </c>
      <c r="K1672" s="25" t="s">
        <v>295</v>
      </c>
    </row>
    <row r="1673" spans="1:11">
      <c r="A1673" t="s">
        <v>5</v>
      </c>
      <c r="B1673" t="str">
        <f t="shared" si="1074"/>
        <v>SPS1</v>
      </c>
      <c r="C1673" t="str">
        <f t="shared" si="1062"/>
        <v>CH</v>
      </c>
      <c r="D1673" t="s">
        <v>1766</v>
      </c>
      <c r="E1673" t="s">
        <v>1297</v>
      </c>
      <c r="F1673" s="13">
        <f>IFERROR(F1662/F1640,"-")</f>
        <v>2.5309161094553195E-2</v>
      </c>
      <c r="G1673" s="13">
        <f t="shared" ref="G1673:K1673" si="1077">IFERROR(G1662/G1640,"-")</f>
        <v>2.5301857215832019E-2</v>
      </c>
      <c r="H1673" s="13">
        <f t="shared" si="1077"/>
        <v>2.5290901397750198E-2</v>
      </c>
      <c r="I1673" s="13">
        <f t="shared" si="1077"/>
        <v>2.5272641700947233E-2</v>
      </c>
      <c r="J1673" s="13">
        <f t="shared" si="1077"/>
        <v>2.5236122307341249E-2</v>
      </c>
      <c r="K1673" s="13">
        <f t="shared" si="1077"/>
        <v>2.5199602913735283E-2</v>
      </c>
    </row>
    <row r="1674" spans="1:11">
      <c r="A1674" t="s">
        <v>5</v>
      </c>
      <c r="B1674" t="str">
        <f t="shared" si="1074"/>
        <v>SPS1</v>
      </c>
      <c r="C1674" t="str">
        <f t="shared" si="1062"/>
        <v>CH</v>
      </c>
      <c r="D1674" t="s">
        <v>1767</v>
      </c>
      <c r="E1674" t="s">
        <v>1297</v>
      </c>
      <c r="F1674" s="13">
        <f>IFERROR(F1663/F1641,"-")</f>
        <v>1.67040322194013E-2</v>
      </c>
      <c r="G1674" s="13">
        <f t="shared" ref="G1674:K1674" si="1078">IFERROR(G1663/G1641,"-")</f>
        <v>1.6704032219401289E-2</v>
      </c>
      <c r="H1674" s="13">
        <f t="shared" si="1078"/>
        <v>1.6704032219401296E-2</v>
      </c>
      <c r="I1674" s="13">
        <f t="shared" si="1078"/>
        <v>1.6704032219401296E-2</v>
      </c>
      <c r="J1674" s="13">
        <f t="shared" si="1078"/>
        <v>1.6704032219401303E-2</v>
      </c>
      <c r="K1674" s="13">
        <f t="shared" si="1078"/>
        <v>1.6704032219401293E-2</v>
      </c>
    </row>
    <row r="1675" spans="1:11">
      <c r="A1675" t="s">
        <v>5</v>
      </c>
      <c r="B1675" t="str">
        <f t="shared" si="1074"/>
        <v>SPS1</v>
      </c>
      <c r="C1675" t="str">
        <f t="shared" si="1062"/>
        <v>CH</v>
      </c>
      <c r="D1675" t="s">
        <v>1768</v>
      </c>
      <c r="E1675" t="s">
        <v>242</v>
      </c>
      <c r="F1675" s="13" t="str">
        <f>IFERROR(F1664/F1642,"-")</f>
        <v>-</v>
      </c>
      <c r="G1675" s="13" t="str">
        <f t="shared" ref="G1675:K1675" si="1079">IFERROR(G1664/G1642,"-")</f>
        <v>-</v>
      </c>
      <c r="H1675" s="13">
        <f t="shared" si="1079"/>
        <v>2.4673913043478408</v>
      </c>
      <c r="I1675" s="13">
        <f t="shared" si="1079"/>
        <v>2.4673913043478306</v>
      </c>
      <c r="J1675" s="13">
        <f t="shared" si="1079"/>
        <v>2.4673913043478337</v>
      </c>
      <c r="K1675" s="13">
        <f t="shared" si="1079"/>
        <v>2.467391304347835</v>
      </c>
    </row>
    <row r="1676" spans="1:11">
      <c r="A1676" t="s">
        <v>5</v>
      </c>
      <c r="B1676" t="str">
        <f t="shared" si="1074"/>
        <v>SPS1</v>
      </c>
      <c r="C1676" t="str">
        <f t="shared" si="1062"/>
        <v>CH</v>
      </c>
      <c r="D1676" t="s">
        <v>1769</v>
      </c>
      <c r="E1676" t="s">
        <v>1297</v>
      </c>
      <c r="F1676" s="13" t="str">
        <f>IFERROR(F1665/F1644,"-")</f>
        <v>-</v>
      </c>
      <c r="G1676" s="13" t="str">
        <f t="shared" ref="G1676:K1676" si="1080">IFERROR(G1665/G1644,"-")</f>
        <v>-</v>
      </c>
      <c r="H1676" s="13" t="str">
        <f t="shared" si="1080"/>
        <v>-</v>
      </c>
      <c r="I1676" s="13" t="str">
        <f t="shared" si="1080"/>
        <v>-</v>
      </c>
      <c r="J1676" s="13" t="str">
        <f t="shared" si="1080"/>
        <v>-</v>
      </c>
      <c r="K1676" s="13" t="str">
        <f t="shared" si="1080"/>
        <v>-</v>
      </c>
    </row>
    <row r="1677" spans="1:11">
      <c r="A1677" t="s">
        <v>5</v>
      </c>
      <c r="B1677" t="str">
        <f t="shared" si="1074"/>
        <v>SPS1</v>
      </c>
      <c r="C1677" t="str">
        <f t="shared" si="1062"/>
        <v>CH</v>
      </c>
      <c r="D1677" t="s">
        <v>1770</v>
      </c>
      <c r="E1677" t="s">
        <v>1297</v>
      </c>
      <c r="F1677" s="13" t="str">
        <f>IFERROR(F1666/F1645,"-")</f>
        <v>-</v>
      </c>
      <c r="G1677" s="13" t="str">
        <f t="shared" ref="G1677:K1677" si="1081">IFERROR(G1666/G1645,"-")</f>
        <v>-</v>
      </c>
      <c r="H1677" s="13" t="str">
        <f t="shared" si="1081"/>
        <v>-</v>
      </c>
      <c r="I1677" s="13" t="str">
        <f t="shared" si="1081"/>
        <v>-</v>
      </c>
      <c r="J1677" s="13" t="str">
        <f t="shared" si="1081"/>
        <v>-</v>
      </c>
      <c r="K1677" s="13" t="str">
        <f t="shared" si="1081"/>
        <v>-</v>
      </c>
    </row>
    <row r="1678" spans="1:11">
      <c r="A1678" t="s">
        <v>5</v>
      </c>
      <c r="B1678" t="str">
        <f t="shared" si="1074"/>
        <v>SPS1</v>
      </c>
      <c r="C1678" t="str">
        <f t="shared" si="1062"/>
        <v>CH</v>
      </c>
      <c r="D1678" t="s">
        <v>1771</v>
      </c>
      <c r="E1678" t="s">
        <v>242</v>
      </c>
      <c r="F1678" s="13" t="str">
        <f>IFERROR(F1667/F1646,"-")</f>
        <v>-</v>
      </c>
      <c r="G1678" s="13" t="str">
        <f t="shared" ref="G1678:K1678" si="1082">IFERROR(G1667/G1646,"-")</f>
        <v>-</v>
      </c>
      <c r="H1678" s="13" t="str">
        <f t="shared" si="1082"/>
        <v>-</v>
      </c>
      <c r="I1678" s="13">
        <f t="shared" si="1082"/>
        <v>1.7934782608695645</v>
      </c>
      <c r="J1678" s="13">
        <f t="shared" si="1082"/>
        <v>1.7934782608695685</v>
      </c>
      <c r="K1678" s="13">
        <f t="shared" si="1082"/>
        <v>1.7934782608695747</v>
      </c>
    </row>
    <row r="1679" spans="1:11">
      <c r="A1679" t="s">
        <v>5</v>
      </c>
      <c r="B1679" t="str">
        <f t="shared" si="1074"/>
        <v>SPS1</v>
      </c>
      <c r="C1679" t="str">
        <f t="shared" si="1062"/>
        <v>CH</v>
      </c>
      <c r="D1679" t="s">
        <v>1772</v>
      </c>
      <c r="E1679" t="s">
        <v>242</v>
      </c>
      <c r="F1679" s="21">
        <f>IFERROR(F1668/F1652,"-")</f>
        <v>0.90641226905247907</v>
      </c>
      <c r="G1679" s="21">
        <f t="shared" ref="G1679:K1679" si="1083">IFERROR(G1668/G1652,"-")</f>
        <v>0.90641226905247707</v>
      </c>
      <c r="H1679" s="21">
        <f t="shared" si="1083"/>
        <v>0.9064122690524814</v>
      </c>
      <c r="I1679" s="21">
        <f t="shared" si="1083"/>
        <v>0.90641226905247652</v>
      </c>
      <c r="J1679" s="21">
        <f t="shared" si="1083"/>
        <v>0.90641226905248662</v>
      </c>
      <c r="K1679" s="21" t="str">
        <f t="shared" si="1083"/>
        <v>-</v>
      </c>
    </row>
    <row r="1680" spans="1:11">
      <c r="A1680" t="s">
        <v>5</v>
      </c>
      <c r="B1680" t="str">
        <f t="shared" si="1074"/>
        <v>SPS1</v>
      </c>
      <c r="C1680" t="str">
        <f t="shared" si="1062"/>
        <v>CH</v>
      </c>
      <c r="D1680" t="s">
        <v>1773</v>
      </c>
      <c r="E1680" t="s">
        <v>1297</v>
      </c>
      <c r="F1680" s="13" t="str">
        <f>IFERROR(F1669/F1658,"-")</f>
        <v>-</v>
      </c>
      <c r="G1680" s="13" t="str">
        <f t="shared" ref="G1680:K1682" si="1084">IFERROR(G1669/G1658,"-")</f>
        <v>-</v>
      </c>
      <c r="H1680" s="13" t="str">
        <f t="shared" si="1084"/>
        <v>-</v>
      </c>
      <c r="I1680" s="13" t="str">
        <f t="shared" si="1084"/>
        <v>-</v>
      </c>
      <c r="J1680" s="13" t="str">
        <f t="shared" si="1084"/>
        <v>-</v>
      </c>
      <c r="K1680" s="13" t="str">
        <f t="shared" si="1084"/>
        <v>-</v>
      </c>
    </row>
    <row r="1681" spans="1:11">
      <c r="A1681" t="s">
        <v>5</v>
      </c>
      <c r="B1681" t="str">
        <f t="shared" si="1074"/>
        <v>SPS1</v>
      </c>
      <c r="C1681" t="str">
        <f t="shared" si="1062"/>
        <v>CH</v>
      </c>
      <c r="D1681" t="s">
        <v>1774</v>
      </c>
      <c r="E1681" t="s">
        <v>1297</v>
      </c>
      <c r="F1681" s="13">
        <f>IFERROR(F1670/F1659,"-")</f>
        <v>4.0530738867855121E-3</v>
      </c>
      <c r="G1681" s="13">
        <f t="shared" si="1084"/>
        <v>4.0530738867855121E-3</v>
      </c>
      <c r="H1681" s="13" t="str">
        <f t="shared" si="1084"/>
        <v>-</v>
      </c>
      <c r="I1681" s="13" t="str">
        <f t="shared" si="1084"/>
        <v>-</v>
      </c>
      <c r="J1681" s="13" t="str">
        <f t="shared" si="1084"/>
        <v>-</v>
      </c>
      <c r="K1681" s="13" t="str">
        <f t="shared" si="1084"/>
        <v>-</v>
      </c>
    </row>
    <row r="1682" spans="1:11">
      <c r="A1682" t="s">
        <v>5</v>
      </c>
      <c r="B1682" t="str">
        <f t="shared" si="1074"/>
        <v>SPS1</v>
      </c>
      <c r="C1682" t="str">
        <f t="shared" si="1062"/>
        <v>CH</v>
      </c>
      <c r="D1682" t="s">
        <v>1775</v>
      </c>
      <c r="E1682" t="s">
        <v>242</v>
      </c>
      <c r="F1682" s="21">
        <f>IFERROR(F1671/F1660,"-")</f>
        <v>0.98826978015125178</v>
      </c>
      <c r="G1682" s="21">
        <f t="shared" si="1084"/>
        <v>0.98826978015124711</v>
      </c>
      <c r="H1682" s="21">
        <f t="shared" si="1084"/>
        <v>0.98826978015124611</v>
      </c>
      <c r="I1682" s="21">
        <f t="shared" si="1084"/>
        <v>0.98826978015124822</v>
      </c>
      <c r="J1682" s="21">
        <f t="shared" si="1084"/>
        <v>0.988269780151251</v>
      </c>
      <c r="K1682" s="21">
        <f t="shared" si="1084"/>
        <v>0.98826978015125055</v>
      </c>
    </row>
    <row r="1683" spans="1:11">
      <c r="A1683" t="s">
        <v>5</v>
      </c>
      <c r="B1683" s="1" t="str">
        <f>B1682</f>
        <v>SPS1</v>
      </c>
      <c r="C1683" s="1" t="str">
        <f>C1682</f>
        <v>CH</v>
      </c>
      <c r="D1683" s="1" t="s">
        <v>1781</v>
      </c>
      <c r="E1683" s="1" t="s">
        <v>447</v>
      </c>
      <c r="F1683" s="16">
        <f>SUM(F1684:F1686,F1689:F1691,-F1696)</f>
        <v>34.682870964659685</v>
      </c>
      <c r="G1683" s="16">
        <f t="shared" ref="G1683:K1683" si="1085">SUM(G1684:G1686,G1689:G1691,-G1696)</f>
        <v>32.572196917222101</v>
      </c>
      <c r="H1683" s="16">
        <f t="shared" si="1085"/>
        <v>30.813482629908677</v>
      </c>
      <c r="I1683" s="16">
        <f t="shared" si="1085"/>
        <v>24.231692126979354</v>
      </c>
      <c r="J1683" s="16">
        <f t="shared" si="1085"/>
        <v>13.966986845399203</v>
      </c>
      <c r="K1683" s="16">
        <f t="shared" si="1085"/>
        <v>0.63845519153358421</v>
      </c>
    </row>
    <row r="1684" spans="1:11">
      <c r="A1684" t="s">
        <v>5</v>
      </c>
      <c r="B1684" t="str">
        <f>B1683</f>
        <v>SPS1</v>
      </c>
      <c r="C1684" t="str">
        <f t="shared" ref="C1684" si="1086">C1683</f>
        <v>CH</v>
      </c>
      <c r="D1684" t="s">
        <v>1782</v>
      </c>
      <c r="E1684" t="str">
        <f>E1683</f>
        <v>Mt/yr.</v>
      </c>
      <c r="F1684" s="13">
        <f>[1]Summary!B53+[1]Summary!B59</f>
        <v>2.573451046603382</v>
      </c>
      <c r="G1684" s="13">
        <f>[1]Summary!C53+[1]Summary!C59</f>
        <v>2.2692714420482916</v>
      </c>
      <c r="H1684" s="13">
        <f>[1]Summary!D53+[1]Summary!D59</f>
        <v>2.2733397042341683</v>
      </c>
      <c r="I1684" s="13">
        <f>[1]Summary!E53+[1]Summary!E59</f>
        <v>2.2717841940405665</v>
      </c>
      <c r="J1684" s="13">
        <f>[1]Summary!F53+[1]Summary!F59</f>
        <v>1.4331785292242445</v>
      </c>
      <c r="K1684" s="13">
        <f>[1]Summary!G53+[1]Summary!G59</f>
        <v>4.8283824167278944E-3</v>
      </c>
    </row>
    <row r="1685" spans="1:11">
      <c r="A1685" t="s">
        <v>5</v>
      </c>
      <c r="B1685" t="str">
        <f t="shared" ref="B1685:B1696" si="1087">B1684</f>
        <v>SPS1</v>
      </c>
      <c r="C1685" t="str">
        <f t="shared" ref="C1685:C1696" si="1088">C1684</f>
        <v>CH</v>
      </c>
      <c r="D1685" t="s">
        <v>1783</v>
      </c>
      <c r="E1685" t="str">
        <f t="shared" ref="E1685:E1696" si="1089">E1684</f>
        <v>Mt/yr.</v>
      </c>
      <c r="F1685" s="13">
        <f>[1]Summary!B54+[1]Summary!B61</f>
        <v>0</v>
      </c>
      <c r="G1685" s="13">
        <f>[1]Summary!C54+[1]Summary!C61</f>
        <v>0</v>
      </c>
      <c r="H1685" s="13">
        <f>[1]Summary!D54+[1]Summary!D61</f>
        <v>0</v>
      </c>
      <c r="I1685" s="13">
        <f>[1]Summary!E54+[1]Summary!E61</f>
        <v>0.2226230452977</v>
      </c>
      <c r="J1685" s="13">
        <f>[1]Summary!F54+[1]Summary!F61</f>
        <v>0.66662269749493663</v>
      </c>
      <c r="K1685" s="13">
        <f>[1]Summary!G54+[1]Summary!G61</f>
        <v>-0.95450516639664051</v>
      </c>
    </row>
    <row r="1686" spans="1:11">
      <c r="A1686" t="s">
        <v>5</v>
      </c>
      <c r="B1686" t="str">
        <f t="shared" si="1087"/>
        <v>SPS1</v>
      </c>
      <c r="C1686" t="str">
        <f t="shared" si="1088"/>
        <v>CH</v>
      </c>
      <c r="D1686" t="s">
        <v>1784</v>
      </c>
      <c r="E1686" t="str">
        <f t="shared" si="1089"/>
        <v>Mt/yr.</v>
      </c>
      <c r="F1686" s="13">
        <f>[1]Summary!B55+[1]Summary!B60</f>
        <v>6.5222544245433927</v>
      </c>
      <c r="G1686" s="13">
        <f>[1]Summary!C55+[1]Summary!C60</f>
        <v>6.0245119334462753</v>
      </c>
      <c r="H1686" s="13">
        <f>[1]Summary!D55+[1]Summary!D60</f>
        <v>5.4969140561164807</v>
      </c>
      <c r="I1686" s="13">
        <f>[1]Summary!E55+[1]Summary!E60</f>
        <v>4.6984062710973769</v>
      </c>
      <c r="J1686" s="13">
        <f>[1]Summary!F55+[1]Summary!F60</f>
        <v>2.6955338567429576</v>
      </c>
      <c r="K1686" s="13">
        <f>[1]Summary!G55+[1]Summary!G60</f>
        <v>-0.63044514289510145</v>
      </c>
    </row>
    <row r="1687" spans="1:11">
      <c r="A1687" t="s">
        <v>5</v>
      </c>
      <c r="B1687" t="str">
        <f t="shared" si="1087"/>
        <v>SPS1</v>
      </c>
      <c r="C1687" t="str">
        <f t="shared" si="1088"/>
        <v>CH</v>
      </c>
      <c r="D1687" t="s">
        <v>1794</v>
      </c>
      <c r="E1687" t="str">
        <f t="shared" si="1089"/>
        <v>Mt/yr.</v>
      </c>
      <c r="F1687" s="13">
        <f>F1686-F1688</f>
        <v>4.4016799067688828</v>
      </c>
      <c r="G1687" s="13">
        <f t="shared" ref="G1687:K1687" si="1090">G1686-G1688</f>
        <v>3.8285128674171252</v>
      </c>
      <c r="H1687" s="13">
        <f t="shared" si="1090"/>
        <v>3.4054296614385007</v>
      </c>
      <c r="I1687" s="13">
        <f t="shared" si="1090"/>
        <v>2.7114365331847368</v>
      </c>
      <c r="J1687" s="13">
        <f t="shared" si="1090"/>
        <v>0.78782964224293384</v>
      </c>
      <c r="K1687" s="13">
        <f t="shared" si="1090"/>
        <v>-0.81338443799101146</v>
      </c>
    </row>
    <row r="1688" spans="1:11">
      <c r="A1688" t="s">
        <v>5</v>
      </c>
      <c r="B1688" t="str">
        <f t="shared" si="1087"/>
        <v>SPS1</v>
      </c>
      <c r="C1688" t="str">
        <f t="shared" si="1088"/>
        <v>CH</v>
      </c>
      <c r="D1688" t="s">
        <v>1793</v>
      </c>
      <c r="E1688" t="str">
        <f t="shared" si="1089"/>
        <v>Mt/yr.</v>
      </c>
      <c r="F1688" s="13" cm="1">
        <f t="array" ref="F1688">SUMPRODUCT(ISNUMBER(SEARCH("processco2",[1]OUT_CO2_emissions!$D$3:$D$1000))*1,("var_fout"=[1]OUT_CO2_emissions!$C$3:$C$1000)*1,("CO2"=[1]OUT_CO2_emissions!$B$3:$B$1000)*1,[1]OUT_CO2_emissions!E$3:E$1000)/1000</f>
        <v>2.1205745177745099</v>
      </c>
      <c r="G1688" s="13" cm="1">
        <f t="array" ref="G1688">SUMPRODUCT(ISNUMBER(SEARCH("processco2",[1]OUT_CO2_emissions!$D$3:$D$1000))*1,("var_fout"=[1]OUT_CO2_emissions!$C$3:$C$1000)*1,("CO2"=[1]OUT_CO2_emissions!$B$3:$B$1000)*1,[1]OUT_CO2_emissions!F$3:F$1000)/1000</f>
        <v>2.1959990660291502</v>
      </c>
      <c r="H1688" s="13" cm="1">
        <f t="array" ref="H1688">SUMPRODUCT(ISNUMBER(SEARCH("processco2",[1]OUT_CO2_emissions!$D$3:$D$1000))*1,("var_fout"=[1]OUT_CO2_emissions!$C$3:$C$1000)*1,("CO2"=[1]OUT_CO2_emissions!$B$3:$B$1000)*1,[1]OUT_CO2_emissions!G$3:G$1000)/1000</f>
        <v>2.09148439467798</v>
      </c>
      <c r="I1688" s="13" cm="1">
        <f t="array" ref="I1688">SUMPRODUCT(ISNUMBER(SEARCH("processco2",[1]OUT_CO2_emissions!$D$3:$D$1000))*1,("var_fout"=[1]OUT_CO2_emissions!$C$3:$C$1000)*1,("CO2"=[1]OUT_CO2_emissions!$B$3:$B$1000)*1,[1]OUT_CO2_emissions!H$3:H$1000)/1000</f>
        <v>1.9869697379126401</v>
      </c>
      <c r="J1688" s="13" cm="1">
        <f t="array" ref="J1688">SUMPRODUCT(ISNUMBER(SEARCH("processco2",[1]OUT_CO2_emissions!$D$3:$D$1000))*1,("var_fout"=[1]OUT_CO2_emissions!$C$3:$C$1000)*1,("CO2"=[1]OUT_CO2_emissions!$B$3:$B$1000)*1,[1]OUT_CO2_emissions!I$3:I$1000)/1000</f>
        <v>1.9077042145000238</v>
      </c>
      <c r="K1688" s="13" cm="1">
        <f t="array" ref="K1688">SUMPRODUCT(ISNUMBER(SEARCH("processco2",[1]OUT_CO2_emissions!$D$3:$D$1000))*1,("var_fout"=[1]OUT_CO2_emissions!$C$3:$C$1000)*1,("CO2"=[1]OUT_CO2_emissions!$B$3:$B$1000)*1,[1]OUT_CO2_emissions!J$3:J$1000)/1000</f>
        <v>0.18293929509590998</v>
      </c>
    </row>
    <row r="1689" spans="1:11">
      <c r="A1689" t="s">
        <v>5</v>
      </c>
      <c r="B1689" t="str">
        <f t="shared" si="1087"/>
        <v>SPS1</v>
      </c>
      <c r="C1689" t="str">
        <f t="shared" si="1088"/>
        <v>CH</v>
      </c>
      <c r="D1689" t="s">
        <v>1785</v>
      </c>
      <c r="E1689" t="str">
        <f t="shared" si="1089"/>
        <v>Mt/yr.</v>
      </c>
      <c r="F1689" s="13">
        <f>[1]Summary!B56</f>
        <v>3.7891757406330302</v>
      </c>
      <c r="G1689" s="13">
        <f>[1]Summary!C56</f>
        <v>3.1590715290219098</v>
      </c>
      <c r="H1689" s="13">
        <f>[1]Summary!D56</f>
        <v>3.5260245350919699</v>
      </c>
      <c r="I1689" s="13">
        <f>[1]Summary!E56</f>
        <v>3.0027563296777799</v>
      </c>
      <c r="J1689" s="13">
        <f>[1]Summary!F56</f>
        <v>1.8233358434732541</v>
      </c>
      <c r="K1689" s="13">
        <f>[1]Summary!G56</f>
        <v>0.57290747499863059</v>
      </c>
    </row>
    <row r="1690" spans="1:11">
      <c r="A1690" t="s">
        <v>5</v>
      </c>
      <c r="B1690" t="str">
        <f t="shared" si="1087"/>
        <v>SPS1</v>
      </c>
      <c r="C1690" t="str">
        <f t="shared" si="1088"/>
        <v>CH</v>
      </c>
      <c r="D1690" t="s">
        <v>1786</v>
      </c>
      <c r="E1690" t="str">
        <f t="shared" si="1089"/>
        <v>Mt/yr.</v>
      </c>
      <c r="F1690" s="13">
        <f>[1]Summary!B57</f>
        <v>7.1732771112867795</v>
      </c>
      <c r="G1690" s="13">
        <f>[1]Summary!C57</f>
        <v>6.6453398034010442</v>
      </c>
      <c r="H1690" s="13">
        <f>[1]Summary!D57</f>
        <v>6.7134583463897686</v>
      </c>
      <c r="I1690" s="13">
        <f>[1]Summary!E57</f>
        <v>5.6772149957338076</v>
      </c>
      <c r="J1690" s="13">
        <f>[1]Summary!F57</f>
        <v>3.7748510200284398</v>
      </c>
      <c r="K1690" s="13">
        <f>[1]Summary!G57</f>
        <v>1.4988938250371466</v>
      </c>
    </row>
    <row r="1691" spans="1:11">
      <c r="A1691" t="s">
        <v>5</v>
      </c>
      <c r="B1691" t="str">
        <f t="shared" si="1087"/>
        <v>SPS1</v>
      </c>
      <c r="C1691" t="str">
        <f t="shared" si="1088"/>
        <v>CH</v>
      </c>
      <c r="D1691" t="s">
        <v>1787</v>
      </c>
      <c r="E1691" t="str">
        <f t="shared" si="1089"/>
        <v>Mt/yr.</v>
      </c>
      <c r="F1691" s="13">
        <f>[1]Summary!B58</f>
        <v>14.624712641593101</v>
      </c>
      <c r="G1691" s="13">
        <f>[1]Summary!C58</f>
        <v>14.474002209304583</v>
      </c>
      <c r="H1691" s="13">
        <f>[1]Summary!D58</f>
        <v>12.803745988076292</v>
      </c>
      <c r="I1691" s="13">
        <f>[1]Summary!E58</f>
        <v>8.3589072911321249</v>
      </c>
      <c r="J1691" s="13">
        <f>[1]Summary!F58</f>
        <v>3.5734649928805822</v>
      </c>
      <c r="K1691" s="13">
        <f>[1]Summary!G58</f>
        <v>0.14677640530228372</v>
      </c>
    </row>
    <row r="1692" spans="1:11">
      <c r="A1692" t="s">
        <v>5</v>
      </c>
      <c r="B1692" t="str">
        <f t="shared" si="1087"/>
        <v>SPS1</v>
      </c>
      <c r="C1692" t="str">
        <f t="shared" si="1088"/>
        <v>CH</v>
      </c>
      <c r="D1692" t="s">
        <v>1788</v>
      </c>
      <c r="E1692" t="str">
        <f t="shared" si="1089"/>
        <v>Mt/yr.</v>
      </c>
      <c r="F1692" s="13">
        <f>-[1]Summary!B59</f>
        <v>0</v>
      </c>
      <c r="G1692" s="13">
        <f>-[1]Summary!C59</f>
        <v>0</v>
      </c>
      <c r="H1692" s="13">
        <f>-[1]Summary!D59</f>
        <v>0</v>
      </c>
      <c r="I1692" s="13">
        <f>-[1]Summary!E59</f>
        <v>0</v>
      </c>
      <c r="J1692" s="13">
        <f>-[1]Summary!F59</f>
        <v>0.8612966756358007</v>
      </c>
      <c r="K1692" s="13">
        <f>-[1]Summary!G59</f>
        <v>2.3125643909243103</v>
      </c>
    </row>
    <row r="1693" spans="1:11">
      <c r="A1693" t="s">
        <v>5</v>
      </c>
      <c r="B1693" t="str">
        <f t="shared" si="1087"/>
        <v>SPS1</v>
      </c>
      <c r="C1693" t="str">
        <f t="shared" si="1088"/>
        <v>CH</v>
      </c>
      <c r="D1693" t="s">
        <v>1789</v>
      </c>
      <c r="E1693" t="str">
        <f t="shared" si="1089"/>
        <v>Mt/yr.</v>
      </c>
      <c r="F1693" s="13">
        <f>-[1]Summary!B60</f>
        <v>0</v>
      </c>
      <c r="G1693" s="13">
        <f>-[1]Summary!C60</f>
        <v>0</v>
      </c>
      <c r="H1693" s="13">
        <f>-[1]Summary!D60</f>
        <v>0</v>
      </c>
      <c r="I1693" s="13">
        <f>-[1]Summary!E60</f>
        <v>0</v>
      </c>
      <c r="J1693" s="13">
        <f>-[1]Summary!F60</f>
        <v>0.96078297194700613</v>
      </c>
      <c r="K1693" s="13">
        <f>-[1]Summary!G60</f>
        <v>3.5840721962602973</v>
      </c>
    </row>
    <row r="1694" spans="1:11">
      <c r="A1694" t="s">
        <v>5</v>
      </c>
      <c r="B1694" t="str">
        <f t="shared" si="1087"/>
        <v>SPS1</v>
      </c>
      <c r="C1694" t="str">
        <f t="shared" si="1088"/>
        <v>CH</v>
      </c>
      <c r="D1694" t="s">
        <v>1790</v>
      </c>
      <c r="E1694" t="str">
        <f t="shared" si="1089"/>
        <v>Mt/yr.</v>
      </c>
      <c r="F1694" s="13">
        <f>-[1]Summary!B61</f>
        <v>0</v>
      </c>
      <c r="G1694" s="13">
        <f>-[1]Summary!C61</f>
        <v>0</v>
      </c>
      <c r="H1694" s="13">
        <f>-[1]Summary!D61</f>
        <v>0</v>
      </c>
      <c r="I1694" s="13">
        <f>-[1]Summary!E61</f>
        <v>0</v>
      </c>
      <c r="J1694" s="13">
        <f>-[1]Summary!F61</f>
        <v>3.0119345793142908E-6</v>
      </c>
      <c r="K1694" s="13">
        <f>-[1]Summary!G61</f>
        <v>1.7054843156294106</v>
      </c>
    </row>
    <row r="1695" spans="1:11">
      <c r="A1695" t="s">
        <v>5</v>
      </c>
      <c r="B1695" t="str">
        <f t="shared" si="1087"/>
        <v>SPS1</v>
      </c>
      <c r="C1695" t="str">
        <f t="shared" si="1088"/>
        <v>CH</v>
      </c>
      <c r="D1695" t="s">
        <v>1791</v>
      </c>
      <c r="E1695" t="str">
        <f t="shared" si="1089"/>
        <v>Mt/yr.</v>
      </c>
      <c r="F1695" s="13">
        <f>-[1]Summary!B62</f>
        <v>0</v>
      </c>
      <c r="G1695" s="13">
        <f>-[1]Summary!C62</f>
        <v>0</v>
      </c>
      <c r="H1695" s="13">
        <f>-[1]Summary!D62</f>
        <v>0</v>
      </c>
      <c r="I1695" s="13">
        <f>-[1]Summary!E62</f>
        <v>0</v>
      </c>
      <c r="J1695" s="13">
        <f>-[1]Summary!F62</f>
        <v>1.3688034462305727E-6</v>
      </c>
      <c r="K1695" s="13">
        <f>-[1]Summary!G62</f>
        <v>0.63845466701282183</v>
      </c>
    </row>
    <row r="1696" spans="1:11">
      <c r="A1696" t="s">
        <v>5</v>
      </c>
      <c r="B1696" t="str">
        <f t="shared" si="1087"/>
        <v>SPS1</v>
      </c>
      <c r="C1696" t="str">
        <f t="shared" si="1088"/>
        <v>CH</v>
      </c>
      <c r="D1696" t="s">
        <v>1792</v>
      </c>
      <c r="E1696" t="str">
        <f t="shared" si="1089"/>
        <v>Mt/yr.</v>
      </c>
      <c r="F1696" s="13">
        <f>-[1]Summary!B63</f>
        <v>0</v>
      </c>
      <c r="G1696" s="13">
        <f>-[1]Summary!C63</f>
        <v>0</v>
      </c>
      <c r="H1696" s="13">
        <f>-[1]Summary!D63</f>
        <v>0</v>
      </c>
      <c r="I1696" s="13">
        <f>-[1]Summary!E63</f>
        <v>0</v>
      </c>
      <c r="J1696" s="13">
        <f>-[1]Summary!F63</f>
        <v>9.4445211627684336E-8</v>
      </c>
      <c r="K1696" s="13">
        <f>-[1]Summary!G63</f>
        <v>5.8692946248147056E-7</v>
      </c>
    </row>
    <row r="1697" spans="1:11">
      <c r="A1697" t="s">
        <v>5</v>
      </c>
      <c r="B1697" s="1" t="str">
        <f>B1696</f>
        <v>SPS1</v>
      </c>
      <c r="C1697" s="1" t="str">
        <f>C1696</f>
        <v>CH</v>
      </c>
      <c r="D1697" s="1" t="s">
        <v>1795</v>
      </c>
      <c r="E1697" s="1" t="s">
        <v>447</v>
      </c>
      <c r="F1697" s="16">
        <f>SUM(F1698:F1700)</f>
        <v>0</v>
      </c>
      <c r="G1697" s="16">
        <f t="shared" ref="G1697:K1697" si="1091">SUM(G1698:G1700)</f>
        <v>0</v>
      </c>
      <c r="H1697" s="16">
        <f t="shared" si="1091"/>
        <v>0</v>
      </c>
      <c r="I1697" s="16">
        <f t="shared" si="1091"/>
        <v>0</v>
      </c>
      <c r="J1697" s="16">
        <f t="shared" si="1091"/>
        <v>1.8220826711527376</v>
      </c>
      <c r="K1697" s="16">
        <f t="shared" si="1091"/>
        <v>8.2405751269084</v>
      </c>
    </row>
    <row r="1698" spans="1:11">
      <c r="A1698" t="s">
        <v>5</v>
      </c>
      <c r="B1698" t="str">
        <f>B1697</f>
        <v>SPS1</v>
      </c>
      <c r="C1698" t="str">
        <f>C1697</f>
        <v>CH</v>
      </c>
      <c r="D1698" t="s">
        <v>1796</v>
      </c>
      <c r="E1698" t="str">
        <f>E1697</f>
        <v>Mt/yr.</v>
      </c>
      <c r="F1698" s="13">
        <v>0</v>
      </c>
      <c r="G1698" s="13">
        <v>0</v>
      </c>
      <c r="H1698" s="13">
        <v>0</v>
      </c>
      <c r="I1698" s="13">
        <v>0</v>
      </c>
      <c r="J1698" s="13">
        <f>[1]Summary!B$77</f>
        <v>0.83333333802934639</v>
      </c>
      <c r="K1698" s="13">
        <f>[1]Summary!C$77</f>
        <v>1.9047619050006481</v>
      </c>
    </row>
    <row r="1699" spans="1:11">
      <c r="A1699" t="s">
        <v>5</v>
      </c>
      <c r="B1699" t="str">
        <f t="shared" ref="B1699:B1700" si="1092">B1698</f>
        <v>SPS1</v>
      </c>
      <c r="C1699" t="str">
        <f t="shared" ref="C1699:C1700" si="1093">C1698</f>
        <v>CH</v>
      </c>
      <c r="D1699" t="s">
        <v>1797</v>
      </c>
      <c r="E1699" t="str">
        <f>E1698</f>
        <v>Mt/yr.</v>
      </c>
      <c r="F1699" s="13">
        <v>0</v>
      </c>
      <c r="G1699" s="13">
        <v>0</v>
      </c>
      <c r="H1699" s="13">
        <v>0</v>
      </c>
      <c r="I1699" s="13">
        <v>0</v>
      </c>
      <c r="J1699" s="13">
        <f>[1]Summary!B$78</f>
        <v>1.3138138723040217E-6</v>
      </c>
      <c r="K1699" s="13">
        <f>[1]Summary!C$78</f>
        <v>2.8614197069055353E-2</v>
      </c>
    </row>
    <row r="1700" spans="1:11">
      <c r="A1700" t="s">
        <v>5</v>
      </c>
      <c r="B1700" t="str">
        <f t="shared" si="1092"/>
        <v>SPS1</v>
      </c>
      <c r="C1700" t="str">
        <f t="shared" si="1093"/>
        <v>CH</v>
      </c>
      <c r="D1700" t="s">
        <v>1798</v>
      </c>
      <c r="E1700" t="str">
        <f>E1699</f>
        <v>Mt/yr.</v>
      </c>
      <c r="F1700" s="13">
        <v>0</v>
      </c>
      <c r="G1700" s="13">
        <v>0</v>
      </c>
      <c r="H1700" s="13">
        <v>0</v>
      </c>
      <c r="I1700" s="13">
        <v>0</v>
      </c>
      <c r="J1700" s="13">
        <f>[1]Summary!B$79</f>
        <v>0.98874801930951894</v>
      </c>
      <c r="K1700" s="13">
        <f>[1]Summary!C$79</f>
        <v>6.3071990248386962</v>
      </c>
    </row>
    <row r="1701" spans="1:11">
      <c r="A1701" t="s">
        <v>5</v>
      </c>
      <c r="B1701" s="1" t="str">
        <f t="shared" ref="B1701:C1706" si="1094">B1700</f>
        <v>SPS1</v>
      </c>
      <c r="C1701" s="1" t="str">
        <f t="shared" si="1094"/>
        <v>CH</v>
      </c>
      <c r="D1701" s="1" t="s">
        <v>1800</v>
      </c>
      <c r="E1701" s="14" t="s">
        <v>295</v>
      </c>
      <c r="F1701" s="25" t="s">
        <v>295</v>
      </c>
      <c r="G1701" s="25" t="s">
        <v>295</v>
      </c>
      <c r="H1701" s="25" t="s">
        <v>295</v>
      </c>
      <c r="I1701" s="25" t="s">
        <v>295</v>
      </c>
      <c r="J1701" s="25" t="s">
        <v>295</v>
      </c>
      <c r="K1701" s="25" t="s">
        <v>295</v>
      </c>
    </row>
    <row r="1702" spans="1:11">
      <c r="A1702" t="s">
        <v>5</v>
      </c>
      <c r="B1702" t="str">
        <f t="shared" si="1094"/>
        <v>SPS1</v>
      </c>
      <c r="C1702" t="str">
        <f t="shared" si="1094"/>
        <v>CH</v>
      </c>
      <c r="D1702" t="s">
        <v>1803</v>
      </c>
      <c r="E1702" t="s">
        <v>8</v>
      </c>
      <c r="F1702" s="13">
        <f>SUM(F1703:F1704)</f>
        <v>0</v>
      </c>
      <c r="G1702" s="13">
        <f t="shared" ref="G1702:K1702" si="1095">SUM(G1703:G1704)</f>
        <v>0</v>
      </c>
      <c r="H1702" s="13">
        <f t="shared" si="1095"/>
        <v>0</v>
      </c>
      <c r="I1702" s="13">
        <f t="shared" si="1095"/>
        <v>0</v>
      </c>
      <c r="J1702" s="13">
        <f t="shared" si="1095"/>
        <v>7.5894727000659881E-7</v>
      </c>
      <c r="K1702" s="13">
        <f t="shared" si="1095"/>
        <v>4.2750594995924941E-6</v>
      </c>
    </row>
    <row r="1703" spans="1:11">
      <c r="A1703" t="s">
        <v>5</v>
      </c>
      <c r="B1703" t="str">
        <f t="shared" si="1094"/>
        <v>SPS1</v>
      </c>
      <c r="C1703" t="str">
        <f t="shared" si="1094"/>
        <v>CH</v>
      </c>
      <c r="D1703" t="s">
        <v>1804</v>
      </c>
      <c r="E1703" t="s">
        <v>8</v>
      </c>
      <c r="F1703" s="13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3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3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3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3" cm="1">
        <f t="array" ref="J1703">SUMPRODUCT(("SUP_DAC"=[1]OUT_SyntheticFuels!$C$1:$C$1000)*1,("Var_Fin"=[1]OUT_SyntheticFuels!$B$1:$B$1000)*1,ISNUMBER(SEARCH("ELC",[1]OUT_SyntheticFuels!$A$1:$A$1000))*1,[1]OUT_SyntheticFuels!I$1:I$1000)</f>
        <v>1.3096402679038902E-7</v>
      </c>
      <c r="K1703" s="13" cm="1">
        <f t="array" ref="K1703">SUMPRODUCT(("SUP_DAC"=[1]OUT_SyntheticFuels!$C$1:$C$1000)*1,("Var_Fin"=[1]OUT_SyntheticFuels!$B$1:$B$1000)*1,ISNUMBER(SEARCH("ELC",[1]OUT_SyntheticFuels!$A$1:$A$1000))*1,[1]OUT_SyntheticFuels!J$1:J$1000)</f>
        <v>5.3410581085813808E-7</v>
      </c>
    </row>
    <row r="1704" spans="1:11">
      <c r="A1704" t="s">
        <v>5</v>
      </c>
      <c r="B1704" t="str">
        <f t="shared" si="1094"/>
        <v>SPS1</v>
      </c>
      <c r="C1704" t="str">
        <f t="shared" si="1094"/>
        <v>CH</v>
      </c>
      <c r="D1704" t="s">
        <v>1805</v>
      </c>
      <c r="E1704" t="s">
        <v>8</v>
      </c>
      <c r="F1704" s="13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3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3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3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3" cm="1">
        <f t="array" ref="J1704">SUMPRODUCT(("SUP_DAC"=[1]OUT_SyntheticFuels!$C$1:$C$1000)*1,("Var_Fin"=[1]OUT_SyntheticFuels!$B$1:$B$1000)*1,ISNUMBER(SEARCH("HEAT",[1]OUT_SyntheticFuels!$A$1:$A$1000))*1,[1]OUT_SyntheticFuels!I$1:I$1000)</f>
        <v>6.2798324321620977E-7</v>
      </c>
      <c r="K1704" s="13" cm="1">
        <f t="array" ref="K1704">SUMPRODUCT(("SUP_DAC"=[1]OUT_SyntheticFuels!$C$1:$C$1000)*1,("Var_Fin"=[1]OUT_SyntheticFuels!$B$1:$B$1000)*1,ISNUMBER(SEARCH("HEAT",[1]OUT_SyntheticFuels!$A$1:$A$1000))*1,[1]OUT_SyntheticFuels!J$1:J$1000)</f>
        <v>3.7409536887343564E-6</v>
      </c>
    </row>
    <row r="1705" spans="1:11">
      <c r="A1705" t="s">
        <v>5</v>
      </c>
      <c r="B1705" t="str">
        <f t="shared" si="1094"/>
        <v>SPS1</v>
      </c>
      <c r="C1705" t="str">
        <f t="shared" si="1094"/>
        <v>CH</v>
      </c>
      <c r="D1705" t="s">
        <v>1806</v>
      </c>
      <c r="E1705" t="s">
        <v>447</v>
      </c>
      <c r="F1705" s="13">
        <f>F1696</f>
        <v>0</v>
      </c>
      <c r="G1705" s="13">
        <f t="shared" ref="G1705:K1705" si="1096">G1696</f>
        <v>0</v>
      </c>
      <c r="H1705" s="13">
        <f t="shared" si="1096"/>
        <v>0</v>
      </c>
      <c r="I1705" s="13">
        <f t="shared" si="1096"/>
        <v>0</v>
      </c>
      <c r="J1705" s="13">
        <f t="shared" si="1096"/>
        <v>9.4445211627684336E-8</v>
      </c>
      <c r="K1705" s="13">
        <f t="shared" si="1096"/>
        <v>5.8692946248147056E-7</v>
      </c>
    </row>
    <row r="1706" spans="1:11">
      <c r="A1706" t="s">
        <v>5</v>
      </c>
      <c r="B1706" s="1" t="str">
        <f t="shared" si="1094"/>
        <v>SPS1</v>
      </c>
      <c r="C1706" s="1" t="str">
        <f t="shared" si="1094"/>
        <v>CH</v>
      </c>
      <c r="D1706" s="1" t="s">
        <v>1848</v>
      </c>
      <c r="E1706" s="1" t="s">
        <v>8</v>
      </c>
      <c r="F1706" s="16">
        <f>SUM(F1707:F1708,F1725,F1734:F1735,F1736,F1737,F1742,F1745,,F1750:F1753,F1746)</f>
        <v>962.83674802384837</v>
      </c>
      <c r="G1706" s="16">
        <f t="shared" ref="G1706:K1706" si="1097">SUM(G1707:G1708,G1725,G1734:G1735,G1736,G1737,G1742,G1745,,G1750:G1753,G1746)</f>
        <v>964.10046115136186</v>
      </c>
      <c r="H1706" s="16">
        <f t="shared" si="1097"/>
        <v>902.73197162795486</v>
      </c>
      <c r="I1706" s="16">
        <f t="shared" si="1097"/>
        <v>859.90743476691523</v>
      </c>
      <c r="J1706" s="16">
        <f t="shared" si="1097"/>
        <v>704.79345684138241</v>
      </c>
      <c r="K1706" s="16">
        <f t="shared" si="1097"/>
        <v>639.97485757740208</v>
      </c>
    </row>
    <row r="1707" spans="1:11">
      <c r="A1707" t="s">
        <v>5</v>
      </c>
      <c r="B1707" t="str">
        <f>B1706</f>
        <v>SPS1</v>
      </c>
      <c r="C1707" t="str">
        <f t="shared" ref="C1707" si="1098">C1706</f>
        <v>CH</v>
      </c>
      <c r="D1707" t="s">
        <v>1818</v>
      </c>
      <c r="E1707" t="str">
        <f>E1706</f>
        <v>PJ/yr.</v>
      </c>
      <c r="F1707" s="13">
        <f>F21</f>
        <v>3.6600000975988638</v>
      </c>
      <c r="G1707" s="13">
        <f t="shared" ref="G1707:K1707" si="1099">G21</f>
        <v>3.5647164394151627</v>
      </c>
      <c r="H1707" s="13">
        <f t="shared" si="1099"/>
        <v>5.5054097238399263E-4</v>
      </c>
      <c r="I1707" s="13">
        <f t="shared" si="1099"/>
        <v>2.5335217393591058E-5</v>
      </c>
      <c r="J1707" s="13">
        <f t="shared" si="1099"/>
        <v>8.7158069587001419E-6</v>
      </c>
      <c r="K1707" s="13">
        <f t="shared" si="1099"/>
        <v>2.0932756778315616E-6</v>
      </c>
    </row>
    <row r="1708" spans="1:11">
      <c r="A1708" t="s">
        <v>5</v>
      </c>
      <c r="B1708" t="str">
        <f t="shared" ref="B1708:B1753" si="1100">B1707</f>
        <v>SPS1</v>
      </c>
      <c r="C1708" t="str">
        <f t="shared" ref="C1708:C1753" si="1101">C1707</f>
        <v>CH</v>
      </c>
      <c r="D1708" t="s">
        <v>1819</v>
      </c>
      <c r="E1708" t="str">
        <f t="shared" ref="E1708:E1736" si="1102">E1707</f>
        <v>PJ/yr.</v>
      </c>
      <c r="F1708" s="13">
        <f t="shared" ref="F1708:K1734" si="1103">F22</f>
        <v>311.99835954590509</v>
      </c>
      <c r="G1708" s="13">
        <f t="shared" si="1103"/>
        <v>295.09472654385155</v>
      </c>
      <c r="H1708" s="13">
        <f t="shared" si="1103"/>
        <v>268.73365856910198</v>
      </c>
      <c r="I1708" s="13">
        <f t="shared" si="1103"/>
        <v>180.61526751433212</v>
      </c>
      <c r="J1708" s="13">
        <f t="shared" si="1103"/>
        <v>89.539531522598708</v>
      </c>
      <c r="K1708" s="13">
        <f t="shared" si="1103"/>
        <v>34.140930166236373</v>
      </c>
    </row>
    <row r="1709" spans="1:11">
      <c r="A1709" t="s">
        <v>5</v>
      </c>
      <c r="B1709" t="str">
        <f t="shared" si="1100"/>
        <v>SPS1</v>
      </c>
      <c r="C1709" t="str">
        <f t="shared" si="1101"/>
        <v>CH</v>
      </c>
      <c r="D1709" t="s">
        <v>1820</v>
      </c>
      <c r="E1709" t="str">
        <f t="shared" si="1102"/>
        <v>PJ/yr.</v>
      </c>
      <c r="F1709" s="13">
        <f t="shared" si="1103"/>
        <v>304.94912930655005</v>
      </c>
      <c r="G1709" s="13">
        <f t="shared" si="1103"/>
        <v>287.27964046054132</v>
      </c>
      <c r="H1709" s="13">
        <f t="shared" si="1103"/>
        <v>261.70718381238532</v>
      </c>
      <c r="I1709" s="13">
        <f t="shared" si="1103"/>
        <v>174.6530680004393</v>
      </c>
      <c r="J1709" s="13">
        <f t="shared" si="1103"/>
        <v>80.240905808123344</v>
      </c>
      <c r="K1709" s="13">
        <f t="shared" si="1103"/>
        <v>0.80448178650909941</v>
      </c>
    </row>
    <row r="1710" spans="1:11">
      <c r="A1710" t="s">
        <v>5</v>
      </c>
      <c r="B1710" t="str">
        <f t="shared" si="1100"/>
        <v>SPS1</v>
      </c>
      <c r="C1710" t="str">
        <f t="shared" si="1101"/>
        <v>CH</v>
      </c>
      <c r="D1710" t="s">
        <v>1821</v>
      </c>
      <c r="E1710" t="str">
        <f t="shared" si="1102"/>
        <v>PJ/yr.</v>
      </c>
      <c r="F1710" s="13">
        <f t="shared" si="1103"/>
        <v>101.72035513005801</v>
      </c>
      <c r="G1710" s="13">
        <f t="shared" si="1103"/>
        <v>89.667566120481922</v>
      </c>
      <c r="H1710" s="13">
        <f t="shared" si="1103"/>
        <v>89.030999526031565</v>
      </c>
      <c r="I1710" s="13">
        <f t="shared" si="1103"/>
        <v>65.900649195930768</v>
      </c>
      <c r="J1710" s="13">
        <f t="shared" si="1103"/>
        <v>32.054578445548863</v>
      </c>
      <c r="K1710" s="13">
        <f t="shared" si="1103"/>
        <v>1.6744789827456228E-4</v>
      </c>
    </row>
    <row r="1711" spans="1:11">
      <c r="A1711" t="s">
        <v>5</v>
      </c>
      <c r="B1711" t="str">
        <f t="shared" si="1100"/>
        <v>SPS1</v>
      </c>
      <c r="C1711" t="str">
        <f t="shared" si="1101"/>
        <v>CH</v>
      </c>
      <c r="D1711" t="s">
        <v>1822</v>
      </c>
      <c r="E1711" t="str">
        <f t="shared" si="1102"/>
        <v>PJ/yr.</v>
      </c>
      <c r="F1711" s="13">
        <f t="shared" si="1103"/>
        <v>2.776368673369157</v>
      </c>
      <c r="G1711" s="13">
        <f t="shared" si="1103"/>
        <v>7.8460437530479503E-7</v>
      </c>
      <c r="H1711" s="13">
        <f t="shared" si="1103"/>
        <v>9.7379206189155624E-5</v>
      </c>
      <c r="I1711" s="13">
        <f t="shared" si="1103"/>
        <v>1.2278254898477964E-5</v>
      </c>
      <c r="J1711" s="13">
        <f t="shared" si="1103"/>
        <v>1.1201972704624749E-5</v>
      </c>
      <c r="K1711" s="13">
        <f t="shared" si="1103"/>
        <v>0</v>
      </c>
    </row>
    <row r="1712" spans="1:11">
      <c r="A1712" t="s">
        <v>5</v>
      </c>
      <c r="B1712" t="str">
        <f t="shared" si="1100"/>
        <v>SPS1</v>
      </c>
      <c r="C1712" t="str">
        <f t="shared" si="1101"/>
        <v>CH</v>
      </c>
      <c r="D1712" t="s">
        <v>1823</v>
      </c>
      <c r="E1712" t="str">
        <f t="shared" si="1102"/>
        <v>PJ/yr.</v>
      </c>
      <c r="F1712" s="13">
        <f t="shared" si="1103"/>
        <v>119.5592058186251</v>
      </c>
      <c r="G1712" s="13">
        <f t="shared" si="1103"/>
        <v>113.32234593403416</v>
      </c>
      <c r="H1712" s="13">
        <f t="shared" si="1103"/>
        <v>95.369744914432061</v>
      </c>
      <c r="I1712" s="13">
        <f t="shared" si="1103"/>
        <v>65.727097252376069</v>
      </c>
      <c r="J1712" s="13">
        <f t="shared" si="1103"/>
        <v>41.954590183650168</v>
      </c>
      <c r="K1712" s="13">
        <f t="shared" si="1103"/>
        <v>1.6310246780803693E-5</v>
      </c>
    </row>
    <row r="1713" spans="1:11">
      <c r="A1713" t="s">
        <v>5</v>
      </c>
      <c r="B1713" t="str">
        <f t="shared" si="1100"/>
        <v>SPS1</v>
      </c>
      <c r="C1713" t="str">
        <f t="shared" si="1101"/>
        <v>CH</v>
      </c>
      <c r="D1713" t="s">
        <v>1824</v>
      </c>
      <c r="E1713" t="str">
        <f t="shared" si="1102"/>
        <v>PJ/yr.</v>
      </c>
      <c r="F1713" s="13">
        <f t="shared" si="1103"/>
        <v>79.783814318118615</v>
      </c>
      <c r="G1713" s="13">
        <f t="shared" si="1103"/>
        <v>82.884512737867098</v>
      </c>
      <c r="H1713" s="13">
        <f t="shared" si="1103"/>
        <v>75.457382833399805</v>
      </c>
      <c r="I1713" s="13">
        <f t="shared" si="1103"/>
        <v>41.104506695395131</v>
      </c>
      <c r="J1713" s="13">
        <f t="shared" si="1103"/>
        <v>5.8884326353452039</v>
      </c>
      <c r="K1713" s="13">
        <f t="shared" si="1103"/>
        <v>0.80428748145110551</v>
      </c>
    </row>
    <row r="1714" spans="1:11">
      <c r="A1714" t="s">
        <v>5</v>
      </c>
      <c r="B1714" t="str">
        <f t="shared" si="1100"/>
        <v>SPS1</v>
      </c>
      <c r="C1714" t="str">
        <f t="shared" si="1101"/>
        <v>CH</v>
      </c>
      <c r="D1714" t="s">
        <v>1825</v>
      </c>
      <c r="E1714" t="str">
        <f t="shared" si="1102"/>
        <v>PJ/yr.</v>
      </c>
      <c r="F1714" s="13">
        <f t="shared" si="1103"/>
        <v>1.1093853663791744</v>
      </c>
      <c r="G1714" s="13">
        <f t="shared" si="1103"/>
        <v>1.4052148835537817</v>
      </c>
      <c r="H1714" s="13">
        <f t="shared" si="1103"/>
        <v>1.8489591593156731</v>
      </c>
      <c r="I1714" s="13">
        <f t="shared" si="1103"/>
        <v>1.9208025784824261</v>
      </c>
      <c r="J1714" s="13">
        <f t="shared" si="1103"/>
        <v>0.34329334160641484</v>
      </c>
      <c r="K1714" s="13">
        <f t="shared" si="1103"/>
        <v>1.0546912938584366E-5</v>
      </c>
    </row>
    <row r="1715" spans="1:11">
      <c r="A1715" t="s">
        <v>5</v>
      </c>
      <c r="B1715" t="str">
        <f t="shared" si="1100"/>
        <v>SPS1</v>
      </c>
      <c r="C1715" t="str">
        <f t="shared" si="1101"/>
        <v>CH</v>
      </c>
      <c r="D1715" t="s">
        <v>1826</v>
      </c>
      <c r="E1715" t="str">
        <f t="shared" si="1102"/>
        <v>PJ/yr.</v>
      </c>
      <c r="F1715" s="13">
        <f t="shared" si="1103"/>
        <v>7.049230239355019</v>
      </c>
      <c r="G1715" s="13">
        <f t="shared" si="1103"/>
        <v>7.8150860833102112</v>
      </c>
      <c r="H1715" s="13">
        <f t="shared" si="1103"/>
        <v>7.0264747567166772</v>
      </c>
      <c r="I1715" s="13">
        <f t="shared" si="1103"/>
        <v>5.9621995138928119</v>
      </c>
      <c r="J1715" s="13">
        <f t="shared" si="1103"/>
        <v>9.2986257144753655</v>
      </c>
      <c r="K1715" s="13">
        <f t="shared" si="1103"/>
        <v>33.336448379727273</v>
      </c>
    </row>
    <row r="1716" spans="1:11">
      <c r="A1716" t="s">
        <v>5</v>
      </c>
      <c r="B1716" t="str">
        <f t="shared" si="1100"/>
        <v>SPS1</v>
      </c>
      <c r="C1716" t="str">
        <f t="shared" si="1101"/>
        <v>CH</v>
      </c>
      <c r="D1716" t="s">
        <v>1827</v>
      </c>
      <c r="E1716" t="str">
        <f t="shared" si="1102"/>
        <v>PJ/yr.</v>
      </c>
      <c r="F1716" s="13">
        <f t="shared" si="1103"/>
        <v>2.6150802314840278</v>
      </c>
      <c r="G1716" s="13">
        <f t="shared" si="1103"/>
        <v>3.0152407092927649</v>
      </c>
      <c r="H1716" s="13">
        <f t="shared" si="1103"/>
        <v>2.6567437300752315</v>
      </c>
      <c r="I1716" s="13">
        <f t="shared" si="1103"/>
        <v>3.5818115632608465</v>
      </c>
      <c r="J1716" s="13">
        <f t="shared" si="1103"/>
        <v>3.2581313685804347</v>
      </c>
      <c r="K1716" s="13">
        <f t="shared" si="1103"/>
        <v>27.27996793331679</v>
      </c>
    </row>
    <row r="1717" spans="1:11">
      <c r="A1717" t="s">
        <v>5</v>
      </c>
      <c r="B1717" t="str">
        <f t="shared" si="1100"/>
        <v>SPS1</v>
      </c>
      <c r="C1717" t="str">
        <f t="shared" si="1101"/>
        <v>CH</v>
      </c>
      <c r="D1717" t="s">
        <v>1828</v>
      </c>
      <c r="E1717" t="str">
        <f t="shared" si="1102"/>
        <v>PJ/yr.</v>
      </c>
      <c r="F1717" s="13">
        <f t="shared" si="1103"/>
        <v>4.4341500078709917</v>
      </c>
      <c r="G1717" s="13">
        <f t="shared" si="1103"/>
        <v>4.7998453740174467</v>
      </c>
      <c r="H1717" s="13">
        <f t="shared" si="1103"/>
        <v>4.3697310266414453</v>
      </c>
      <c r="I1717" s="13">
        <f t="shared" si="1103"/>
        <v>2.3803879506319654</v>
      </c>
      <c r="J1717" s="13">
        <f t="shared" si="1103"/>
        <v>6.0404943458949303</v>
      </c>
      <c r="K1717" s="13">
        <f t="shared" si="1103"/>
        <v>6.056480446410486</v>
      </c>
    </row>
    <row r="1718" spans="1:11">
      <c r="A1718" t="s">
        <v>5</v>
      </c>
      <c r="B1718" t="str">
        <f t="shared" si="1100"/>
        <v>SPS1</v>
      </c>
      <c r="C1718" t="str">
        <f t="shared" si="1101"/>
        <v>CH</v>
      </c>
      <c r="D1718" t="s">
        <v>1829</v>
      </c>
      <c r="E1718" t="str">
        <f t="shared" si="1102"/>
        <v>PJ/yr.</v>
      </c>
      <c r="F1718" s="13">
        <f t="shared" si="1103"/>
        <v>7.049230239355019</v>
      </c>
      <c r="G1718" s="13">
        <f t="shared" si="1103"/>
        <v>7.8150860833102112</v>
      </c>
      <c r="H1718" s="13">
        <f t="shared" si="1103"/>
        <v>7.0264747567166772</v>
      </c>
      <c r="I1718" s="13">
        <f t="shared" si="1103"/>
        <v>5.9621995138928119</v>
      </c>
      <c r="J1718" s="13">
        <f t="shared" si="1103"/>
        <v>8.0579767425978819</v>
      </c>
      <c r="K1718" s="13">
        <f t="shared" si="1103"/>
        <v>9.6223059091557772</v>
      </c>
    </row>
    <row r="1719" spans="1:11">
      <c r="A1719" t="s">
        <v>5</v>
      </c>
      <c r="B1719" t="str">
        <f t="shared" si="1100"/>
        <v>SPS1</v>
      </c>
      <c r="C1719" t="str">
        <f t="shared" si="1101"/>
        <v>CH</v>
      </c>
      <c r="D1719" t="s">
        <v>1830</v>
      </c>
      <c r="E1719" t="str">
        <f t="shared" si="1102"/>
        <v>PJ/yr.</v>
      </c>
      <c r="F1719" s="13">
        <f t="shared" si="1103"/>
        <v>2.6150802314840278</v>
      </c>
      <c r="G1719" s="13">
        <f t="shared" si="1103"/>
        <v>3.0152407092927649</v>
      </c>
      <c r="H1719" s="13">
        <f t="shared" si="1103"/>
        <v>2.6567437300752315</v>
      </c>
      <c r="I1719" s="13">
        <f t="shared" si="1103"/>
        <v>3.5818115632608465</v>
      </c>
      <c r="J1719" s="13">
        <f t="shared" si="1103"/>
        <v>3.2581313685804347</v>
      </c>
      <c r="K1719" s="13">
        <f t="shared" si="1103"/>
        <v>3.5818115632608465</v>
      </c>
    </row>
    <row r="1720" spans="1:11">
      <c r="A1720" t="s">
        <v>5</v>
      </c>
      <c r="B1720" t="str">
        <f t="shared" si="1100"/>
        <v>SPS1</v>
      </c>
      <c r="C1720" t="str">
        <f t="shared" si="1101"/>
        <v>CH</v>
      </c>
      <c r="D1720" t="s">
        <v>1831</v>
      </c>
      <c r="E1720" t="str">
        <f t="shared" si="1102"/>
        <v>PJ/yr.</v>
      </c>
      <c r="F1720" s="13">
        <f t="shared" si="1103"/>
        <v>4.4341500078709917</v>
      </c>
      <c r="G1720" s="13">
        <f t="shared" si="1103"/>
        <v>4.7998453740174467</v>
      </c>
      <c r="H1720" s="13">
        <f t="shared" si="1103"/>
        <v>4.3697310266414453</v>
      </c>
      <c r="I1720" s="13">
        <f t="shared" si="1103"/>
        <v>2.3803879506319654</v>
      </c>
      <c r="J1720" s="13">
        <f t="shared" si="1103"/>
        <v>4.7998453740174467</v>
      </c>
      <c r="K1720" s="13">
        <f t="shared" si="1103"/>
        <v>6.0404943458949303</v>
      </c>
    </row>
    <row r="1721" spans="1:11">
      <c r="A1721" t="s">
        <v>5</v>
      </c>
      <c r="B1721" t="str">
        <f t="shared" si="1100"/>
        <v>SPS1</v>
      </c>
      <c r="C1721" t="str">
        <f t="shared" si="1101"/>
        <v>CH</v>
      </c>
      <c r="D1721" t="s">
        <v>1832</v>
      </c>
      <c r="E1721" t="str">
        <f t="shared" si="1102"/>
        <v>PJ/yr.</v>
      </c>
      <c r="F1721" s="13">
        <f t="shared" si="1103"/>
        <v>0</v>
      </c>
      <c r="G1721" s="13">
        <f t="shared" si="1103"/>
        <v>0</v>
      </c>
      <c r="H1721" s="13">
        <f t="shared" si="1103"/>
        <v>0</v>
      </c>
      <c r="I1721" s="13">
        <f t="shared" si="1103"/>
        <v>0</v>
      </c>
      <c r="J1721" s="13">
        <f t="shared" si="1103"/>
        <v>1.2406489718774836</v>
      </c>
      <c r="K1721" s="13">
        <f t="shared" si="1103"/>
        <v>23.714142470571499</v>
      </c>
    </row>
    <row r="1722" spans="1:11">
      <c r="A1722" t="s">
        <v>5</v>
      </c>
      <c r="B1722" t="str">
        <f t="shared" si="1100"/>
        <v>SPS1</v>
      </c>
      <c r="C1722" t="str">
        <f t="shared" si="1101"/>
        <v>CH</v>
      </c>
      <c r="D1722" t="s">
        <v>1833</v>
      </c>
      <c r="E1722" t="str">
        <f t="shared" si="1102"/>
        <v>PJ/yr.</v>
      </c>
      <c r="F1722" s="13">
        <f t="shared" si="1103"/>
        <v>0</v>
      </c>
      <c r="G1722" s="13">
        <f t="shared" si="1103"/>
        <v>0</v>
      </c>
      <c r="H1722" s="13">
        <f t="shared" si="1103"/>
        <v>0</v>
      </c>
      <c r="I1722" s="13">
        <f t="shared" si="1103"/>
        <v>0</v>
      </c>
      <c r="J1722" s="13">
        <f t="shared" si="1103"/>
        <v>0</v>
      </c>
      <c r="K1722" s="13">
        <f t="shared" si="1103"/>
        <v>23.698156370055944</v>
      </c>
    </row>
    <row r="1723" spans="1:11">
      <c r="A1723" t="s">
        <v>5</v>
      </c>
      <c r="B1723" t="str">
        <f t="shared" si="1100"/>
        <v>SPS1</v>
      </c>
      <c r="C1723" t="str">
        <f t="shared" si="1101"/>
        <v>CH</v>
      </c>
      <c r="D1723" t="s">
        <v>1834</v>
      </c>
      <c r="E1723" t="str">
        <f t="shared" si="1102"/>
        <v>PJ/yr.</v>
      </c>
      <c r="F1723" s="13">
        <f t="shared" si="1103"/>
        <v>0</v>
      </c>
      <c r="G1723" s="13">
        <f t="shared" si="1103"/>
        <v>0</v>
      </c>
      <c r="H1723" s="13">
        <f t="shared" si="1103"/>
        <v>0</v>
      </c>
      <c r="I1723" s="13">
        <f t="shared" si="1103"/>
        <v>0</v>
      </c>
      <c r="J1723" s="13">
        <f t="shared" si="1103"/>
        <v>1.2406489718774836</v>
      </c>
      <c r="K1723" s="13">
        <f t="shared" si="1103"/>
        <v>1.5986100515555712E-2</v>
      </c>
    </row>
    <row r="1724" spans="1:11">
      <c r="A1724" t="s">
        <v>5</v>
      </c>
      <c r="B1724" t="str">
        <f t="shared" si="1100"/>
        <v>SPS1</v>
      </c>
      <c r="C1724" t="str">
        <f t="shared" si="1101"/>
        <v>CH</v>
      </c>
      <c r="D1724" t="s">
        <v>1835</v>
      </c>
      <c r="E1724" t="str">
        <f t="shared" si="1102"/>
        <v>PJ/yr.</v>
      </c>
      <c r="F1724" s="13">
        <f t="shared" si="1103"/>
        <v>0</v>
      </c>
      <c r="G1724" s="13">
        <f t="shared" si="1103"/>
        <v>0</v>
      </c>
      <c r="H1724" s="13">
        <f t="shared" si="1103"/>
        <v>0</v>
      </c>
      <c r="I1724" s="13">
        <f t="shared" si="1103"/>
        <v>0</v>
      </c>
      <c r="J1724" s="13">
        <f t="shared" si="1103"/>
        <v>0</v>
      </c>
      <c r="K1724" s="13">
        <f t="shared" si="1103"/>
        <v>0</v>
      </c>
    </row>
    <row r="1725" spans="1:11">
      <c r="A1725" t="s">
        <v>5</v>
      </c>
      <c r="B1725" t="str">
        <f t="shared" si="1100"/>
        <v>SPS1</v>
      </c>
      <c r="C1725" t="str">
        <f t="shared" si="1101"/>
        <v>CH</v>
      </c>
      <c r="D1725" t="s">
        <v>1836</v>
      </c>
      <c r="E1725" t="str">
        <f t="shared" si="1102"/>
        <v>PJ/yr.</v>
      </c>
      <c r="F1725" s="13">
        <f t="shared" si="1103"/>
        <v>116.89532588910716</v>
      </c>
      <c r="G1725" s="13">
        <f t="shared" si="1103"/>
        <v>100.42650000457697</v>
      </c>
      <c r="H1725" s="13">
        <f t="shared" si="1103"/>
        <v>110.61700454209399</v>
      </c>
      <c r="I1725" s="13">
        <f t="shared" si="1103"/>
        <v>111.23871481097413</v>
      </c>
      <c r="J1725" s="13">
        <f t="shared" si="1103"/>
        <v>90.256975249067807</v>
      </c>
      <c r="K1725" s="13">
        <f t="shared" si="1103"/>
        <v>55.677222112650874</v>
      </c>
    </row>
    <row r="1726" spans="1:11">
      <c r="A1726" t="s">
        <v>5</v>
      </c>
      <c r="B1726" t="str">
        <f t="shared" si="1100"/>
        <v>SPS1</v>
      </c>
      <c r="C1726" t="str">
        <f t="shared" si="1101"/>
        <v>CH</v>
      </c>
      <c r="D1726" t="s">
        <v>1837</v>
      </c>
      <c r="E1726" t="str">
        <f t="shared" si="1102"/>
        <v>PJ/yr.</v>
      </c>
      <c r="F1726" s="13">
        <f t="shared" si="1103"/>
        <v>116.89532588910716</v>
      </c>
      <c r="G1726" s="13">
        <f t="shared" si="1103"/>
        <v>99.909999995850697</v>
      </c>
      <c r="H1726" s="13">
        <f t="shared" si="1103"/>
        <v>109.44986330608405</v>
      </c>
      <c r="I1726" s="13">
        <f t="shared" si="1103"/>
        <v>109.00725911662586</v>
      </c>
      <c r="J1726" s="13">
        <f t="shared" si="1103"/>
        <v>83.723772819937992</v>
      </c>
      <c r="K1726" s="13">
        <f t="shared" si="1103"/>
        <v>53.541524199120474</v>
      </c>
    </row>
    <row r="1727" spans="1:11">
      <c r="A1727" t="s">
        <v>5</v>
      </c>
      <c r="B1727" t="str">
        <f t="shared" si="1100"/>
        <v>SPS1</v>
      </c>
      <c r="C1727" t="str">
        <f t="shared" si="1101"/>
        <v>CH</v>
      </c>
      <c r="D1727" t="s">
        <v>1838</v>
      </c>
      <c r="E1727" t="str">
        <f t="shared" si="1102"/>
        <v>PJ/yr.</v>
      </c>
      <c r="F1727" s="13">
        <f t="shared" si="1103"/>
        <v>116.89532588910716</v>
      </c>
      <c r="G1727" s="13">
        <f t="shared" si="1103"/>
        <v>99.909999995850697</v>
      </c>
      <c r="H1727" s="13">
        <f t="shared" si="1103"/>
        <v>109.44986330608405</v>
      </c>
      <c r="I1727" s="13">
        <f t="shared" si="1103"/>
        <v>109.00722635192592</v>
      </c>
      <c r="J1727" s="13">
        <f t="shared" si="1103"/>
        <v>83.723733221844071</v>
      </c>
      <c r="K1727" s="13">
        <f t="shared" si="1103"/>
        <v>53.541515266762637</v>
      </c>
    </row>
    <row r="1728" spans="1:11">
      <c r="A1728" t="s">
        <v>5</v>
      </c>
      <c r="B1728" t="str">
        <f t="shared" si="1100"/>
        <v>SPS1</v>
      </c>
      <c r="C1728" t="str">
        <f t="shared" si="1101"/>
        <v>CH</v>
      </c>
      <c r="D1728" t="s">
        <v>1839</v>
      </c>
      <c r="E1728" t="str">
        <f t="shared" si="1102"/>
        <v>PJ/yr.</v>
      </c>
      <c r="F1728" s="13">
        <f t="shared" si="1103"/>
        <v>0</v>
      </c>
      <c r="G1728" s="13">
        <f t="shared" si="1103"/>
        <v>0</v>
      </c>
      <c r="H1728" s="13">
        <f t="shared" si="1103"/>
        <v>0</v>
      </c>
      <c r="I1728" s="13">
        <f t="shared" si="1103"/>
        <v>3.2764699931330512E-5</v>
      </c>
      <c r="J1728" s="13">
        <f t="shared" si="1103"/>
        <v>3.9598093923101877E-5</v>
      </c>
      <c r="K1728" s="13">
        <f t="shared" si="1103"/>
        <v>8.9323578330805309E-6</v>
      </c>
    </row>
    <row r="1729" spans="1:11">
      <c r="A1729" t="s">
        <v>5</v>
      </c>
      <c r="B1729" t="str">
        <f t="shared" si="1100"/>
        <v>SPS1</v>
      </c>
      <c r="C1729" t="str">
        <f t="shared" si="1101"/>
        <v>CH</v>
      </c>
      <c r="D1729" t="s">
        <v>1840</v>
      </c>
      <c r="E1729" t="str">
        <f t="shared" si="1102"/>
        <v>PJ/yr.</v>
      </c>
      <c r="F1729" s="13">
        <f t="shared" si="1103"/>
        <v>0</v>
      </c>
      <c r="G1729" s="13">
        <f t="shared" si="1103"/>
        <v>0.51650000872626167</v>
      </c>
      <c r="H1729" s="13">
        <f t="shared" si="1103"/>
        <v>1.1671412360099409</v>
      </c>
      <c r="I1729" s="13">
        <f t="shared" si="1103"/>
        <v>2.2314556943482771</v>
      </c>
      <c r="J1729" s="13">
        <f t="shared" si="1103"/>
        <v>6.5332024291298092</v>
      </c>
      <c r="K1729" s="13">
        <f t="shared" si="1103"/>
        <v>2.1356979135304024</v>
      </c>
    </row>
    <row r="1730" spans="1:11">
      <c r="A1730" t="s">
        <v>5</v>
      </c>
      <c r="B1730" t="str">
        <f t="shared" si="1100"/>
        <v>SPS1</v>
      </c>
      <c r="C1730" t="str">
        <f t="shared" si="1101"/>
        <v>CH</v>
      </c>
      <c r="D1730" t="s">
        <v>1841</v>
      </c>
      <c r="E1730" t="str">
        <f t="shared" si="1102"/>
        <v>PJ/yr.</v>
      </c>
      <c r="F1730" s="13">
        <f t="shared" si="1103"/>
        <v>0</v>
      </c>
      <c r="G1730" s="13">
        <f t="shared" si="1103"/>
        <v>0.51650000872626167</v>
      </c>
      <c r="H1730" s="13">
        <f t="shared" si="1103"/>
        <v>1.1671412360099409</v>
      </c>
      <c r="I1730" s="13">
        <f t="shared" si="1103"/>
        <v>2.2314556943482771</v>
      </c>
      <c r="J1730" s="13">
        <f t="shared" si="1103"/>
        <v>2.2314556943482771</v>
      </c>
      <c r="K1730" s="13">
        <f t="shared" si="1103"/>
        <v>2.1356979135304024</v>
      </c>
    </row>
    <row r="1731" spans="1:11">
      <c r="A1731" t="s">
        <v>5</v>
      </c>
      <c r="B1731" t="str">
        <f t="shared" si="1100"/>
        <v>SPS1</v>
      </c>
      <c r="C1731" t="str">
        <f t="shared" si="1101"/>
        <v>CH</v>
      </c>
      <c r="D1731" t="s">
        <v>1842</v>
      </c>
      <c r="E1731" t="str">
        <f t="shared" si="1102"/>
        <v>PJ/yr.</v>
      </c>
      <c r="F1731" s="13">
        <f t="shared" si="1103"/>
        <v>0</v>
      </c>
      <c r="G1731" s="13">
        <f t="shared" si="1103"/>
        <v>0.51650000872626167</v>
      </c>
      <c r="H1731" s="13">
        <f t="shared" si="1103"/>
        <v>1.1671412360099409</v>
      </c>
      <c r="I1731" s="13">
        <f t="shared" si="1103"/>
        <v>2.2314556943482771</v>
      </c>
      <c r="J1731" s="13">
        <f t="shared" si="1103"/>
        <v>2.2314556943482771</v>
      </c>
      <c r="K1731" s="13">
        <f t="shared" si="1103"/>
        <v>2.1356979135304024</v>
      </c>
    </row>
    <row r="1732" spans="1:11">
      <c r="A1732" t="s">
        <v>5</v>
      </c>
      <c r="B1732" t="str">
        <f t="shared" si="1100"/>
        <v>SPS1</v>
      </c>
      <c r="C1732" t="str">
        <f t="shared" si="1101"/>
        <v>CH</v>
      </c>
      <c r="D1732" t="s">
        <v>1843</v>
      </c>
      <c r="E1732" t="str">
        <f t="shared" si="1102"/>
        <v>PJ/yr.</v>
      </c>
      <c r="F1732" s="13">
        <f t="shared" si="1103"/>
        <v>0</v>
      </c>
      <c r="G1732" s="13">
        <f t="shared" si="1103"/>
        <v>0</v>
      </c>
      <c r="H1732" s="13">
        <f t="shared" si="1103"/>
        <v>0</v>
      </c>
      <c r="I1732" s="13">
        <f t="shared" si="1103"/>
        <v>0</v>
      </c>
      <c r="J1732" s="13">
        <f t="shared" si="1103"/>
        <v>4.3017467347815321</v>
      </c>
      <c r="K1732" s="13">
        <f t="shared" si="1103"/>
        <v>0</v>
      </c>
    </row>
    <row r="1733" spans="1:11">
      <c r="A1733" t="s">
        <v>5</v>
      </c>
      <c r="B1733" t="str">
        <f t="shared" si="1100"/>
        <v>SPS1</v>
      </c>
      <c r="C1733" t="str">
        <f t="shared" si="1101"/>
        <v>CH</v>
      </c>
      <c r="D1733" t="s">
        <v>1844</v>
      </c>
      <c r="E1733" t="str">
        <f t="shared" si="1102"/>
        <v>PJ/yr.</v>
      </c>
      <c r="F1733" s="13">
        <f t="shared" si="1103"/>
        <v>0</v>
      </c>
      <c r="G1733" s="13">
        <f t="shared" si="1103"/>
        <v>0</v>
      </c>
      <c r="H1733" s="13">
        <f t="shared" si="1103"/>
        <v>0</v>
      </c>
      <c r="I1733" s="13">
        <f t="shared" si="1103"/>
        <v>0</v>
      </c>
      <c r="J1733" s="13">
        <f t="shared" si="1103"/>
        <v>4.3017467347815321</v>
      </c>
      <c r="K1733" s="13">
        <f t="shared" si="1103"/>
        <v>0</v>
      </c>
    </row>
    <row r="1734" spans="1:11">
      <c r="A1734" t="s">
        <v>5</v>
      </c>
      <c r="B1734" t="str">
        <f t="shared" si="1100"/>
        <v>SPS1</v>
      </c>
      <c r="C1734" t="str">
        <f t="shared" si="1101"/>
        <v>CH</v>
      </c>
      <c r="D1734" t="s">
        <v>1845</v>
      </c>
      <c r="E1734" t="str">
        <f t="shared" si="1102"/>
        <v>PJ/yr.</v>
      </c>
      <c r="F1734" s="13">
        <f t="shared" si="1103"/>
        <v>250.94816993910675</v>
      </c>
      <c r="G1734" s="13">
        <f t="shared" si="1103"/>
        <v>253.30010753605376</v>
      </c>
      <c r="H1734" s="13">
        <f t="shared" si="1103"/>
        <v>211.79437589419962</v>
      </c>
      <c r="I1734" s="13">
        <f t="shared" si="1103"/>
        <v>211.90230409526569</v>
      </c>
      <c r="J1734" s="13">
        <f t="shared" si="1103"/>
        <v>98.945499486224335</v>
      </c>
      <c r="K1734" s="13">
        <f t="shared" si="1103"/>
        <v>0</v>
      </c>
    </row>
    <row r="1735" spans="1:11">
      <c r="A1735" t="s">
        <v>5</v>
      </c>
      <c r="B1735" t="str">
        <f t="shared" si="1100"/>
        <v>SPS1</v>
      </c>
      <c r="C1735" t="str">
        <f t="shared" si="1101"/>
        <v>CH</v>
      </c>
      <c r="D1735" t="s">
        <v>1846</v>
      </c>
      <c r="E1735" t="str">
        <f t="shared" si="1102"/>
        <v>PJ/yr.</v>
      </c>
      <c r="F1735" s="13">
        <f>-F56+F49</f>
        <v>-20.01000009125346</v>
      </c>
      <c r="G1735" s="13">
        <f t="shared" ref="G1735:K1735" si="1104">-G56+G49</f>
        <v>16.130011529241727</v>
      </c>
      <c r="H1735" s="13">
        <f t="shared" si="1104"/>
        <v>-4.2404369963080626</v>
      </c>
      <c r="I1735" s="13">
        <f t="shared" si="1104"/>
        <v>-1.0616532974414277</v>
      </c>
      <c r="J1735" s="13">
        <f t="shared" si="1104"/>
        <v>15.385219404960111</v>
      </c>
      <c r="K1735" s="13">
        <f t="shared" si="1104"/>
        <v>11.023734310521245</v>
      </c>
    </row>
    <row r="1736" spans="1:11">
      <c r="A1736" t="s">
        <v>5</v>
      </c>
      <c r="B1736" t="str">
        <f t="shared" si="1100"/>
        <v>SPS1</v>
      </c>
      <c r="C1736" t="str">
        <f t="shared" si="1101"/>
        <v>CH</v>
      </c>
      <c r="D1736" t="s">
        <v>1847</v>
      </c>
      <c r="E1736" t="str">
        <f t="shared" si="1102"/>
        <v>PJ/yr.</v>
      </c>
      <c r="F1736" s="13">
        <f>F54</f>
        <v>0</v>
      </c>
      <c r="G1736" s="13">
        <f t="shared" ref="G1736:K1736" si="1105">G54</f>
        <v>0</v>
      </c>
      <c r="H1736" s="13">
        <f t="shared" si="1105"/>
        <v>0</v>
      </c>
      <c r="I1736" s="13">
        <f t="shared" si="1105"/>
        <v>0</v>
      </c>
      <c r="J1736" s="13">
        <f t="shared" si="1105"/>
        <v>0.16845214574394482</v>
      </c>
      <c r="K1736" s="13">
        <f t="shared" si="1105"/>
        <v>0.16845191554830247</v>
      </c>
    </row>
    <row r="1737" spans="1:11">
      <c r="A1737" t="s">
        <v>5</v>
      </c>
      <c r="B1737" t="str">
        <f t="shared" si="1100"/>
        <v>SPS1</v>
      </c>
      <c r="C1737" t="str">
        <f t="shared" si="1101"/>
        <v>CH</v>
      </c>
      <c r="D1737" t="s">
        <v>1849</v>
      </c>
      <c r="E1737" t="str">
        <f>E3</f>
        <v>PJ/yr.</v>
      </c>
      <c r="F1737" s="13">
        <f>F3</f>
        <v>44.770000213158205</v>
      </c>
      <c r="G1737" s="13">
        <f t="shared" ref="G1737:K1737" si="1106">G3</f>
        <v>47.260900736747111</v>
      </c>
      <c r="H1737" s="13">
        <f t="shared" si="1106"/>
        <v>47.260900825371202</v>
      </c>
      <c r="I1737" s="13">
        <f t="shared" si="1106"/>
        <v>47.414693736153453</v>
      </c>
      <c r="J1737" s="13">
        <f t="shared" si="1106"/>
        <v>47.414695096007172</v>
      </c>
      <c r="K1737" s="13">
        <f t="shared" si="1106"/>
        <v>63.755653127078119</v>
      </c>
    </row>
    <row r="1738" spans="1:11">
      <c r="A1738" t="s">
        <v>5</v>
      </c>
      <c r="B1738" t="str">
        <f t="shared" si="1100"/>
        <v>SPS1</v>
      </c>
      <c r="C1738" t="str">
        <f t="shared" si="1101"/>
        <v>CH</v>
      </c>
      <c r="D1738" t="s">
        <v>1850</v>
      </c>
      <c r="E1738" t="str">
        <f t="shared" ref="E1738:F1738" si="1107">E4</f>
        <v>PJ/yr.</v>
      </c>
      <c r="F1738" s="13">
        <f t="shared" si="1107"/>
        <v>10.182339476549727</v>
      </c>
      <c r="G1738" s="13">
        <f t="shared" ref="G1738:K1738" si="1108">G4</f>
        <v>11.152950513118</v>
      </c>
      <c r="H1738" s="13">
        <f t="shared" si="1108"/>
        <v>12.608867099096248</v>
      </c>
      <c r="I1738" s="13">
        <f t="shared" si="1108"/>
        <v>15.035394751815067</v>
      </c>
      <c r="J1738" s="13">
        <f t="shared" si="1108"/>
        <v>17.461922448556315</v>
      </c>
      <c r="K1738" s="13">
        <f t="shared" si="1108"/>
        <v>17.46192244946106</v>
      </c>
    </row>
    <row r="1739" spans="1:11">
      <c r="A1739" t="s">
        <v>5</v>
      </c>
      <c r="B1739" t="str">
        <f t="shared" si="1100"/>
        <v>SPS1</v>
      </c>
      <c r="C1739" t="str">
        <f t="shared" si="1101"/>
        <v>CH</v>
      </c>
      <c r="D1739" t="s">
        <v>1851</v>
      </c>
      <c r="E1739" t="str">
        <f t="shared" ref="E1739:F1739" si="1109">E5</f>
        <v>PJ/yr.</v>
      </c>
      <c r="F1739" s="13">
        <f t="shared" si="1109"/>
        <v>7.4592163140853041</v>
      </c>
      <c r="G1739" s="13">
        <f t="shared" ref="G1739:K1739" si="1110">G5</f>
        <v>8.0030401419416926</v>
      </c>
      <c r="H1739" s="13">
        <f t="shared" si="1110"/>
        <v>8.8187759136852542</v>
      </c>
      <c r="I1739" s="13">
        <f t="shared" si="1110"/>
        <v>10.178335544255187</v>
      </c>
      <c r="J1739" s="13">
        <f t="shared" si="1110"/>
        <v>10.230788199722856</v>
      </c>
      <c r="K1739" s="13">
        <f t="shared" si="1110"/>
        <v>7.616574214820135</v>
      </c>
    </row>
    <row r="1740" spans="1:11">
      <c r="A1740" t="s">
        <v>5</v>
      </c>
      <c r="B1740" t="str">
        <f t="shared" si="1100"/>
        <v>SPS1</v>
      </c>
      <c r="C1740" t="str">
        <f t="shared" si="1101"/>
        <v>CH</v>
      </c>
      <c r="D1740" t="s">
        <v>1852</v>
      </c>
      <c r="E1740" t="str">
        <f t="shared" ref="E1740:F1740" si="1111">E6</f>
        <v>PJ/yr.</v>
      </c>
      <c r="F1740" s="13">
        <f t="shared" si="1111"/>
        <v>2.6225281799366309</v>
      </c>
      <c r="G1740" s="13">
        <f t="shared" ref="G1740:K1740" si="1112">G6</f>
        <v>3.2650044051615392</v>
      </c>
      <c r="H1740" s="13">
        <f t="shared" si="1112"/>
        <v>4.2287187118006182</v>
      </c>
      <c r="I1740" s="13">
        <f t="shared" si="1112"/>
        <v>5.834909304339603</v>
      </c>
      <c r="J1740" s="13">
        <f t="shared" si="1112"/>
        <v>6.3806238189980835</v>
      </c>
      <c r="K1740" s="13">
        <f t="shared" si="1112"/>
        <v>4.2596716986404237</v>
      </c>
    </row>
    <row r="1741" spans="1:11">
      <c r="A1741" t="s">
        <v>5</v>
      </c>
      <c r="B1741" t="str">
        <f t="shared" si="1100"/>
        <v>SPS1</v>
      </c>
      <c r="C1741" t="str">
        <f t="shared" si="1101"/>
        <v>CH</v>
      </c>
      <c r="D1741" t="s">
        <v>1853</v>
      </c>
      <c r="E1741" t="str">
        <f t="shared" ref="E1741:F1741" si="1113">E7</f>
        <v>PJ/yr.</v>
      </c>
      <c r="F1741" s="13">
        <f t="shared" si="1113"/>
        <v>24.505916242586544</v>
      </c>
      <c r="G1741" s="13">
        <f t="shared" ref="G1741:K1741" si="1114">G7</f>
        <v>24.839905676525881</v>
      </c>
      <c r="H1741" s="13">
        <f t="shared" si="1114"/>
        <v>21.604539100789083</v>
      </c>
      <c r="I1741" s="13">
        <f t="shared" si="1114"/>
        <v>16.366054135743596</v>
      </c>
      <c r="J1741" s="13">
        <f t="shared" si="1114"/>
        <v>13.341360628729914</v>
      </c>
      <c r="K1741" s="13">
        <f t="shared" si="1114"/>
        <v>34.417484764156498</v>
      </c>
    </row>
    <row r="1742" spans="1:11">
      <c r="A1742" t="s">
        <v>5</v>
      </c>
      <c r="B1742" t="str">
        <f t="shared" si="1100"/>
        <v>SPS1</v>
      </c>
      <c r="C1742" t="str">
        <f t="shared" si="1101"/>
        <v>CH</v>
      </c>
      <c r="D1742" t="s">
        <v>1854</v>
      </c>
      <c r="E1742" t="str">
        <f t="shared" ref="E1742:F1742" si="1115">E8</f>
        <v>PJ/yr.</v>
      </c>
      <c r="F1742" s="13">
        <f t="shared" si="1115"/>
        <v>69.39287860960529</v>
      </c>
      <c r="G1742" s="13">
        <f t="shared" ref="G1742:K1742" si="1116">G8</f>
        <v>69.663483329105333</v>
      </c>
      <c r="H1742" s="13">
        <f t="shared" si="1116"/>
        <v>69.270571152343337</v>
      </c>
      <c r="I1742" s="13">
        <f t="shared" si="1116"/>
        <v>68.821063959174865</v>
      </c>
      <c r="J1742" s="13">
        <f t="shared" si="1116"/>
        <v>68.940548260320611</v>
      </c>
      <c r="K1742" s="13">
        <f t="shared" si="1116"/>
        <v>77.502286351586179</v>
      </c>
    </row>
    <row r="1743" spans="1:11">
      <c r="A1743" t="s">
        <v>5</v>
      </c>
      <c r="B1743" t="str">
        <f t="shared" si="1100"/>
        <v>SPS1</v>
      </c>
      <c r="C1743" t="str">
        <f t="shared" si="1101"/>
        <v>CH</v>
      </c>
      <c r="D1743" t="s">
        <v>1855</v>
      </c>
      <c r="E1743" t="str">
        <f t="shared" ref="E1743:F1743" si="1117">E9</f>
        <v>PJ/yr.</v>
      </c>
      <c r="F1743" s="13">
        <f t="shared" si="1117"/>
        <v>35.611777921779279</v>
      </c>
      <c r="G1743" s="13">
        <f t="shared" ref="G1743:K1743" si="1118">G9</f>
        <v>35.882382764981671</v>
      </c>
      <c r="H1743" s="13">
        <f t="shared" si="1118"/>
        <v>35.489470584792898</v>
      </c>
      <c r="I1743" s="13">
        <f t="shared" si="1118"/>
        <v>35.039963306500177</v>
      </c>
      <c r="J1743" s="13">
        <f t="shared" si="1118"/>
        <v>35.159447415766437</v>
      </c>
      <c r="K1743" s="13">
        <f t="shared" si="1118"/>
        <v>35.603175300201109</v>
      </c>
    </row>
    <row r="1744" spans="1:11">
      <c r="A1744" t="s">
        <v>5</v>
      </c>
      <c r="B1744" t="str">
        <f t="shared" si="1100"/>
        <v>SPS1</v>
      </c>
      <c r="C1744" t="str">
        <f t="shared" si="1101"/>
        <v>CH</v>
      </c>
      <c r="D1744" t="s">
        <v>1856</v>
      </c>
      <c r="E1744" t="str">
        <f t="shared" ref="E1744:F1744" si="1119">E10</f>
        <v>PJ/yr.</v>
      </c>
      <c r="F1744" s="13">
        <f t="shared" si="1119"/>
        <v>33.781100687826012</v>
      </c>
      <c r="G1744" s="13">
        <f t="shared" ref="G1744:K1744" si="1120">G10</f>
        <v>33.781100564123655</v>
      </c>
      <c r="H1744" s="13">
        <f t="shared" si="1120"/>
        <v>33.781100567550439</v>
      </c>
      <c r="I1744" s="13">
        <f t="shared" si="1120"/>
        <v>33.781100652674681</v>
      </c>
      <c r="J1744" s="13">
        <f t="shared" si="1120"/>
        <v>33.781100844554182</v>
      </c>
      <c r="K1744" s="13">
        <f t="shared" si="1120"/>
        <v>41.899111051385063</v>
      </c>
    </row>
    <row r="1745" spans="1:11">
      <c r="A1745" t="s">
        <v>5</v>
      </c>
      <c r="B1745" t="str">
        <f t="shared" si="1100"/>
        <v>SPS1</v>
      </c>
      <c r="C1745" t="str">
        <f t="shared" si="1101"/>
        <v>CH</v>
      </c>
      <c r="D1745" t="s">
        <v>1857</v>
      </c>
      <c r="E1745" t="str">
        <f t="shared" ref="E1745:F1745" si="1121">E11</f>
        <v>PJ/yr.</v>
      </c>
      <c r="F1745" s="13">
        <f t="shared" si="1121"/>
        <v>3.7980803709071425</v>
      </c>
      <c r="G1745" s="13">
        <f t="shared" ref="G1745:K1745" si="1122">G11</f>
        <v>14.280049525713888</v>
      </c>
      <c r="H1745" s="13">
        <f t="shared" si="1122"/>
        <v>15.340044949868064</v>
      </c>
      <c r="I1745" s="13">
        <f t="shared" si="1122"/>
        <v>17.10655793281105</v>
      </c>
      <c r="J1745" s="13">
        <f t="shared" si="1122"/>
        <v>17.106559116780588</v>
      </c>
      <c r="K1745" s="13">
        <f t="shared" si="1122"/>
        <v>26.999999924603941</v>
      </c>
    </row>
    <row r="1746" spans="1:11">
      <c r="A1746" t="s">
        <v>5</v>
      </c>
      <c r="B1746" t="str">
        <f t="shared" si="1100"/>
        <v>SPS1</v>
      </c>
      <c r="C1746" t="str">
        <f t="shared" si="1101"/>
        <v>CH</v>
      </c>
      <c r="D1746" t="s">
        <v>1858</v>
      </c>
      <c r="E1746" t="str">
        <f t="shared" ref="E1746:F1746" si="1123">E12</f>
        <v>PJ/yr.</v>
      </c>
      <c r="F1746" s="13">
        <f t="shared" si="1123"/>
        <v>149.43048018182139</v>
      </c>
      <c r="G1746" s="13">
        <f t="shared" ref="G1746:K1746" si="1124">G12</f>
        <v>124.98819719769081</v>
      </c>
      <c r="H1746" s="13">
        <f t="shared" si="1124"/>
        <v>137.42259519743726</v>
      </c>
      <c r="I1746" s="13">
        <f t="shared" si="1124"/>
        <v>150.38755881829405</v>
      </c>
      <c r="J1746" s="13">
        <f t="shared" si="1124"/>
        <v>151.48524830901579</v>
      </c>
      <c r="K1746" s="13">
        <f t="shared" si="1124"/>
        <v>152.09899407015146</v>
      </c>
    </row>
    <row r="1747" spans="1:11">
      <c r="A1747" t="s">
        <v>5</v>
      </c>
      <c r="B1747" t="str">
        <f t="shared" si="1100"/>
        <v>SPS1</v>
      </c>
      <c r="C1747" t="str">
        <f t="shared" si="1101"/>
        <v>CH</v>
      </c>
      <c r="D1747" t="s">
        <v>1859</v>
      </c>
      <c r="E1747" t="str">
        <f t="shared" ref="E1747:F1747" si="1125">E13</f>
        <v>PJ/yr.</v>
      </c>
      <c r="F1747" s="13">
        <f t="shared" si="1125"/>
        <v>66.745680000968164</v>
      </c>
      <c r="G1747" s="13">
        <f t="shared" ref="G1747:K1747" si="1126">G13</f>
        <v>49.182940005258239</v>
      </c>
      <c r="H1747" s="13">
        <f t="shared" si="1126"/>
        <v>68.537787966700805</v>
      </c>
      <c r="I1747" s="13">
        <f t="shared" si="1126"/>
        <v>70.236607180315332</v>
      </c>
      <c r="J1747" s="13">
        <f t="shared" si="1126"/>
        <v>73.020285337032291</v>
      </c>
      <c r="K1747" s="13">
        <f t="shared" si="1126"/>
        <v>69.178229752170594</v>
      </c>
    </row>
    <row r="1748" spans="1:11">
      <c r="A1748" t="s">
        <v>5</v>
      </c>
      <c r="B1748" t="str">
        <f t="shared" si="1100"/>
        <v>SPS1</v>
      </c>
      <c r="C1748" t="str">
        <f t="shared" si="1101"/>
        <v>CH</v>
      </c>
      <c r="D1748" t="s">
        <v>1860</v>
      </c>
      <c r="E1748" t="str">
        <f t="shared" ref="E1748:F1748" si="1127">E14</f>
        <v>PJ/yr.</v>
      </c>
      <c r="F1748" s="13">
        <f t="shared" si="1127"/>
        <v>66.632400083472731</v>
      </c>
      <c r="G1748" s="13">
        <f t="shared" ref="G1748:K1748" si="1128">G14</f>
        <v>55.764000065769004</v>
      </c>
      <c r="H1748" s="13">
        <f t="shared" si="1128"/>
        <v>65.547550949863876</v>
      </c>
      <c r="I1748" s="13">
        <f t="shared" si="1128"/>
        <v>64.46266238111555</v>
      </c>
      <c r="J1748" s="13">
        <f t="shared" si="1128"/>
        <v>62.292915065927907</v>
      </c>
      <c r="K1748" s="13">
        <f t="shared" si="1128"/>
        <v>66.134970443047848</v>
      </c>
    </row>
    <row r="1749" spans="1:11">
      <c r="A1749" t="s">
        <v>5</v>
      </c>
      <c r="B1749" t="str">
        <f t="shared" si="1100"/>
        <v>SPS1</v>
      </c>
      <c r="C1749" t="str">
        <f t="shared" si="1101"/>
        <v>CH</v>
      </c>
      <c r="D1749" t="s">
        <v>1861</v>
      </c>
      <c r="E1749" t="str">
        <f t="shared" ref="E1749:F1749" si="1129">E15</f>
        <v>PJ/yr.</v>
      </c>
      <c r="F1749" s="13">
        <f t="shared" si="1129"/>
        <v>16.052400097380474</v>
      </c>
      <c r="G1749" s="13">
        <f t="shared" ref="G1749:K1749" si="1130">G15</f>
        <v>20.04125712666357</v>
      </c>
      <c r="H1749" s="13">
        <f t="shared" si="1130"/>
        <v>3.3372562808725541</v>
      </c>
      <c r="I1749" s="13">
        <f t="shared" si="1130"/>
        <v>15.688289256863193</v>
      </c>
      <c r="J1749" s="13">
        <f t="shared" si="1130"/>
        <v>16.172047906055575</v>
      </c>
      <c r="K1749" s="13">
        <f t="shared" si="1130"/>
        <v>16.785793874933027</v>
      </c>
    </row>
    <row r="1750" spans="1:11">
      <c r="A1750" t="s">
        <v>5</v>
      </c>
      <c r="B1750" t="str">
        <f t="shared" si="1100"/>
        <v>SPS1</v>
      </c>
      <c r="C1750" t="str">
        <f t="shared" si="1101"/>
        <v>CH</v>
      </c>
      <c r="D1750" t="s">
        <v>1862</v>
      </c>
      <c r="E1750" t="str">
        <f t="shared" ref="E1750:F1750" si="1131">E16</f>
        <v>PJ/yr.</v>
      </c>
      <c r="F1750" s="13">
        <f t="shared" si="1131"/>
        <v>12.556445409073195</v>
      </c>
      <c r="G1750" s="13">
        <f t="shared" ref="G1750:K1750" si="1132">G16</f>
        <v>17.061889896675645</v>
      </c>
      <c r="H1750" s="13">
        <f t="shared" si="1132"/>
        <v>19.784227292781541</v>
      </c>
      <c r="I1750" s="13">
        <f t="shared" si="1132"/>
        <v>32.164570559709773</v>
      </c>
      <c r="J1750" s="13">
        <f t="shared" si="1132"/>
        <v>61.880356843378266</v>
      </c>
      <c r="K1750" s="13">
        <f t="shared" si="1132"/>
        <v>88.635431884274695</v>
      </c>
    </row>
    <row r="1751" spans="1:11">
      <c r="A1751" t="s">
        <v>5</v>
      </c>
      <c r="B1751" t="str">
        <f t="shared" si="1100"/>
        <v>SPS1</v>
      </c>
      <c r="C1751" t="str">
        <f t="shared" si="1101"/>
        <v>CH</v>
      </c>
      <c r="D1751" t="s">
        <v>1863</v>
      </c>
      <c r="E1751" t="str">
        <f t="shared" ref="E1751:F1751" si="1133">E17</f>
        <v>PJ/yr.</v>
      </c>
      <c r="F1751" s="13">
        <f t="shared" si="1133"/>
        <v>0.52400099588534843</v>
      </c>
      <c r="G1751" s="13">
        <f t="shared" ref="G1751:K1751" si="1134">G17</f>
        <v>0.55080002469168499</v>
      </c>
      <c r="H1751" s="13">
        <f t="shared" si="1134"/>
        <v>1.9353736924157361</v>
      </c>
      <c r="I1751" s="13">
        <f t="shared" si="1134"/>
        <v>6.3940308985539902</v>
      </c>
      <c r="J1751" s="13">
        <f t="shared" si="1134"/>
        <v>17.980166379385903</v>
      </c>
      <c r="K1751" s="13">
        <f t="shared" si="1134"/>
        <v>35.960146022425434</v>
      </c>
    </row>
    <row r="1752" spans="1:11">
      <c r="A1752" t="s">
        <v>5</v>
      </c>
      <c r="B1752" t="str">
        <f t="shared" si="1100"/>
        <v>SPS1</v>
      </c>
      <c r="C1752" t="str">
        <f t="shared" si="1101"/>
        <v>CH</v>
      </c>
      <c r="D1752" t="s">
        <v>1864</v>
      </c>
      <c r="E1752" t="str">
        <f t="shared" ref="E1752:F1752" si="1135">E18</f>
        <v>PJ/yr.</v>
      </c>
      <c r="F1752" s="13">
        <f t="shared" si="1135"/>
        <v>18.87300686293344</v>
      </c>
      <c r="G1752" s="13">
        <f t="shared" ref="G1752:K1752" si="1136">G18</f>
        <v>21.779078387598041</v>
      </c>
      <c r="H1752" s="13">
        <f t="shared" si="1136"/>
        <v>24.813105967677714</v>
      </c>
      <c r="I1752" s="13">
        <f t="shared" si="1136"/>
        <v>34.924300403870177</v>
      </c>
      <c r="J1752" s="13">
        <f t="shared" si="1136"/>
        <v>45.686301624044859</v>
      </c>
      <c r="K1752" s="13">
        <f t="shared" si="1136"/>
        <v>72.650824909652357</v>
      </c>
    </row>
    <row r="1753" spans="1:11">
      <c r="A1753" t="s">
        <v>5</v>
      </c>
      <c r="B1753" t="str">
        <f t="shared" si="1100"/>
        <v>SPS1</v>
      </c>
      <c r="C1753" t="str">
        <f t="shared" si="1101"/>
        <v>CH</v>
      </c>
      <c r="D1753" t="s">
        <v>1865</v>
      </c>
      <c r="E1753" t="str">
        <f t="shared" ref="E1753:F1753" si="1137">E19</f>
        <v>PJ/yr.</v>
      </c>
      <c r="F1753" s="13">
        <f t="shared" si="1137"/>
        <v>0</v>
      </c>
      <c r="G1753" s="13">
        <f t="shared" ref="G1753:K1753" si="1138">G19</f>
        <v>0</v>
      </c>
      <c r="H1753" s="13">
        <f t="shared" si="1138"/>
        <v>0</v>
      </c>
      <c r="I1753" s="13">
        <f t="shared" si="1138"/>
        <v>0</v>
      </c>
      <c r="J1753" s="13">
        <f t="shared" si="1138"/>
        <v>3.8946880473451776E-3</v>
      </c>
      <c r="K1753" s="13">
        <f t="shared" si="1138"/>
        <v>21.361180689397536</v>
      </c>
    </row>
  </sheetData>
  <autoFilter ref="A1:K1753" xr:uid="{15C46DEA-5C06-F647-8B36-DFFD23D6C197}"/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baseColWidth="10" defaultColWidth="8.83203125" defaultRowHeight="16"/>
  <cols>
    <col min="2" max="2" width="36.5" bestFit="1" customWidth="1"/>
    <col min="3" max="3" width="9.33203125" bestFit="1" customWidth="1"/>
  </cols>
  <sheetData>
    <row r="2" spans="2:8">
      <c r="C2" s="1">
        <v>2020</v>
      </c>
      <c r="D2" s="1">
        <v>2022</v>
      </c>
      <c r="E2" s="1">
        <v>2025</v>
      </c>
      <c r="F2" s="1">
        <v>2030</v>
      </c>
      <c r="G2" s="1">
        <v>2040</v>
      </c>
      <c r="H2" s="1">
        <v>2050</v>
      </c>
    </row>
    <row r="3" spans="2:8">
      <c r="B3" s="1" t="s">
        <v>1799</v>
      </c>
      <c r="C3" s="3">
        <f>SUM(C4:C7)</f>
        <v>714.1518060873301</v>
      </c>
      <c r="D3" s="3">
        <f t="shared" ref="D3:H3" si="0">SUM(D4:D7)</f>
        <v>708.83391193083389</v>
      </c>
      <c r="E3" s="3">
        <f t="shared" si="0"/>
        <v>690.23522462662936</v>
      </c>
      <c r="F3" s="3">
        <f t="shared" si="0"/>
        <v>631.30920941978627</v>
      </c>
      <c r="G3" s="3">
        <f t="shared" si="0"/>
        <v>560.79583886731302</v>
      </c>
      <c r="H3" s="3">
        <f t="shared" si="0"/>
        <v>523.37885222838645</v>
      </c>
    </row>
    <row r="4" spans="2:8">
      <c r="B4" s="15" t="s">
        <v>1807</v>
      </c>
      <c r="C4" s="2">
        <f>'SPS1'!F761</f>
        <v>142.21733380123493</v>
      </c>
      <c r="D4" s="2">
        <f>'SPS1'!G761</f>
        <v>140.22822385802218</v>
      </c>
      <c r="E4" s="2">
        <f>'SPS1'!H761</f>
        <v>140.9247848819044</v>
      </c>
      <c r="F4" s="2">
        <f>'SPS1'!I761</f>
        <v>141.87397157971301</v>
      </c>
      <c r="G4" s="2">
        <f>'SPS1'!J761</f>
        <v>137.89645810811834</v>
      </c>
      <c r="H4" s="2">
        <f>'SPS1'!K761</f>
        <v>136.84735997062822</v>
      </c>
    </row>
    <row r="5" spans="2:8">
      <c r="B5" s="15" t="s">
        <v>1808</v>
      </c>
      <c r="C5" s="2">
        <f>'SPS1'!F880</f>
        <v>140.1010513843045</v>
      </c>
      <c r="D5" s="2">
        <f>'SPS1'!G880</f>
        <v>139.60307540182194</v>
      </c>
      <c r="E5" s="2">
        <f>'SPS1'!H880</f>
        <v>140.92370903225111</v>
      </c>
      <c r="F5" s="2">
        <f>'SPS1'!I880</f>
        <v>136.27512596484317</v>
      </c>
      <c r="G5" s="2">
        <f>'SPS1'!J880</f>
        <v>122.77791775697838</v>
      </c>
      <c r="H5" s="2">
        <f>'SPS1'!K880</f>
        <v>114.15392899049229</v>
      </c>
    </row>
    <row r="6" spans="2:8">
      <c r="B6" s="15" t="s">
        <v>1809</v>
      </c>
      <c r="C6" s="2">
        <f>'SPS1'!F970</f>
        <v>217.10014631696822</v>
      </c>
      <c r="D6" s="2">
        <f>'SPS1'!G970</f>
        <v>217.1694962713982</v>
      </c>
      <c r="E6" s="2">
        <f>'SPS1'!H970</f>
        <v>217.55838233611289</v>
      </c>
      <c r="F6" s="2">
        <f>'SPS1'!I970</f>
        <v>211.74865141229185</v>
      </c>
      <c r="G6" s="2">
        <f>'SPS1'!J970</f>
        <v>190.36441428490812</v>
      </c>
      <c r="H6" s="2">
        <f>'SPS1'!K970</f>
        <v>174.24595938651868</v>
      </c>
    </row>
    <row r="7" spans="2:8">
      <c r="B7" s="15" t="s">
        <v>1810</v>
      </c>
      <c r="C7" s="2">
        <f>'SPS1'!F1134+'SPS1'!F1313+'SPS1'!F1397+'SPS1'!F1481+'SPS1'!F1488+'SPS1'!F1495+'SPS1'!F1544+'SPS1'!F1591+'SPS1'!F1638</f>
        <v>214.73327458482242</v>
      </c>
      <c r="D7" s="2">
        <f>'SPS1'!G1134+'SPS1'!G1313+'SPS1'!G1397+'SPS1'!G1481+'SPS1'!G1488+'SPS1'!G1495+'SPS1'!G1544+'SPS1'!G1591+'SPS1'!G1638</f>
        <v>211.83311639959163</v>
      </c>
      <c r="E7" s="2">
        <f>'SPS1'!H1134+'SPS1'!H1313+'SPS1'!H1397+'SPS1'!H1481+'SPS1'!H1488+'SPS1'!H1495+'SPS1'!H1544+'SPS1'!H1591+'SPS1'!H1638</f>
        <v>190.82834837636102</v>
      </c>
      <c r="F7" s="2">
        <f>'SPS1'!I1134+'SPS1'!I1313+'SPS1'!I1397+'SPS1'!I1481+'SPS1'!I1488+'SPS1'!I1495+'SPS1'!I1544+'SPS1'!I1591+'SPS1'!I1638</f>
        <v>141.41146046293827</v>
      </c>
      <c r="G7" s="2">
        <f>'SPS1'!J1134+'SPS1'!J1313+'SPS1'!J1397+'SPS1'!J1481+'SPS1'!J1488+'SPS1'!J1495+'SPS1'!J1544+'SPS1'!J1591+'SPS1'!J1638</f>
        <v>109.75704871730812</v>
      </c>
      <c r="H7" s="2">
        <f>'SPS1'!K1134+'SPS1'!K1313+'SPS1'!K1397+'SPS1'!K1481+'SPS1'!K1488+'SPS1'!K1495+'SPS1'!K1544+'SPS1'!K1591+'SPS1'!K1638</f>
        <v>98.131603880747292</v>
      </c>
    </row>
    <row r="8" spans="2:8">
      <c r="B8" s="1" t="s">
        <v>1815</v>
      </c>
      <c r="C8" s="3">
        <f>SUM(C9:C12)</f>
        <v>508.65775868154634</v>
      </c>
      <c r="D8" s="3">
        <f t="shared" ref="D8:H8" si="1">SUM(D9:D12)</f>
        <v>493.90916839116409</v>
      </c>
      <c r="E8" s="3">
        <f t="shared" si="1"/>
        <v>474.63037868509645</v>
      </c>
      <c r="F8" s="3">
        <f t="shared" si="1"/>
        <v>510.48405168712986</v>
      </c>
      <c r="G8" s="3">
        <f t="shared" si="1"/>
        <v>450.06739762653962</v>
      </c>
      <c r="H8" s="3">
        <f t="shared" si="1"/>
        <v>465.60888359030719</v>
      </c>
    </row>
    <row r="9" spans="2:8">
      <c r="B9" s="15" t="s">
        <v>1812</v>
      </c>
      <c r="C9" s="2">
        <f>'SPS1'!F289+'SPS1'!F407</f>
        <v>493.31211357474484</v>
      </c>
      <c r="D9" s="2">
        <f>'SPS1'!G289+'SPS1'!G407</f>
        <v>470.25894334179839</v>
      </c>
      <c r="E9" s="2">
        <f>'SPS1'!H289+'SPS1'!H407</f>
        <v>448.6244236341488</v>
      </c>
      <c r="F9" s="2">
        <f>'SPS1'!I289+'SPS1'!I407</f>
        <v>479.7433201171894</v>
      </c>
      <c r="G9" s="2">
        <f>'SPS1'!J289+'SPS1'!J407</f>
        <v>409.88973779921707</v>
      </c>
      <c r="H9" s="2">
        <f>'SPS1'!K289+'SPS1'!K407</f>
        <v>379.19096148470442</v>
      </c>
    </row>
    <row r="10" spans="2:8">
      <c r="B10" s="15" t="s">
        <v>1813</v>
      </c>
      <c r="C10" s="2">
        <f>'SPS1'!F588+'SPS1'!F602+'SPS1'!F642</f>
        <v>15.339738797897239</v>
      </c>
      <c r="D10" s="2">
        <f>'SPS1'!G588+'SPS1'!G602+'SPS1'!G642</f>
        <v>23.607859281380428</v>
      </c>
      <c r="E10" s="2">
        <f>'SPS1'!H588+'SPS1'!H602+'SPS1'!H642</f>
        <v>25.964397528287556</v>
      </c>
      <c r="F10" s="2">
        <f>'SPS1'!I588+'SPS1'!I602+'SPS1'!I642</f>
        <v>26.765796312058853</v>
      </c>
      <c r="G10" s="2">
        <f>'SPS1'!J588+'SPS1'!J602+'SPS1'!J642</f>
        <v>26.468550963347571</v>
      </c>
      <c r="H10" s="2">
        <f>'SPS1'!K588+'SPS1'!K602+'SPS1'!K642</f>
        <v>54.567784550779052</v>
      </c>
    </row>
    <row r="11" spans="2:8">
      <c r="B11" s="15" t="s">
        <v>1811</v>
      </c>
      <c r="C11" s="2">
        <f>'SPS1'!F677</f>
        <v>5.9063089042642866E-3</v>
      </c>
      <c r="D11" s="2">
        <f>'SPS1'!G677</f>
        <v>4.2365767985240166E-2</v>
      </c>
      <c r="E11" s="2">
        <f>'SPS1'!H677</f>
        <v>4.155752266009205E-2</v>
      </c>
      <c r="F11" s="2">
        <f>'SPS1'!I677</f>
        <v>3.9749352578816151</v>
      </c>
      <c r="G11" s="2">
        <f>'SPS1'!J677</f>
        <v>13.709108105027692</v>
      </c>
      <c r="H11" s="2">
        <f>'SPS1'!K677</f>
        <v>31.850133279764229</v>
      </c>
    </row>
    <row r="12" spans="2:8">
      <c r="B12" s="15" t="s">
        <v>1814</v>
      </c>
      <c r="C12" s="2">
        <f>'SPS1'!F1702</f>
        <v>0</v>
      </c>
      <c r="D12" s="2">
        <f>'SPS1'!G1702</f>
        <v>0</v>
      </c>
      <c r="E12" s="2">
        <f>'SPS1'!H1702</f>
        <v>0</v>
      </c>
      <c r="F12" s="2">
        <f>'SPS1'!I1702</f>
        <v>0</v>
      </c>
      <c r="G12" s="2">
        <f>'SPS1'!J1702</f>
        <v>7.5894727000659881E-7</v>
      </c>
      <c r="H12" s="2">
        <f>'SPS1'!K1702</f>
        <v>4.2750594995924941E-6</v>
      </c>
    </row>
    <row r="13" spans="2:8">
      <c r="B13" s="1" t="s">
        <v>1816</v>
      </c>
      <c r="C13" s="3">
        <f>'SPS1'!F2+'SPS1'!F20-'SPS1'!F55</f>
        <v>962.83674802384826</v>
      </c>
      <c r="D13" s="3">
        <f>'SPS1'!G2+'SPS1'!G20-'SPS1'!G55</f>
        <v>964.10046115136174</v>
      </c>
      <c r="E13" s="3">
        <f>'SPS1'!H2+'SPS1'!H20-'SPS1'!H55</f>
        <v>902.73197162795486</v>
      </c>
      <c r="F13" s="3">
        <f>'SPS1'!I2+'SPS1'!I20-'SPS1'!I55</f>
        <v>859.90743476691512</v>
      </c>
      <c r="G13" s="3">
        <f>'SPS1'!J2+'SPS1'!J20-'SPS1'!J55</f>
        <v>704.79345684138229</v>
      </c>
      <c r="H13" s="3">
        <f>'SPS1'!K2+'SPS1'!K20-'SPS1'!K55</f>
        <v>639.97485757740219</v>
      </c>
    </row>
    <row r="14" spans="2:8">
      <c r="B14" s="15" t="s">
        <v>1817</v>
      </c>
      <c r="C14" s="2">
        <f>'SPS1'!F2</f>
        <v>299.34489264338401</v>
      </c>
      <c r="D14" s="2">
        <f>'SPS1'!G2</f>
        <v>295.58439909822249</v>
      </c>
      <c r="E14" s="2">
        <f>'SPS1'!H2</f>
        <v>315.82681907789487</v>
      </c>
      <c r="F14" s="2">
        <f>'SPS1'!I2</f>
        <v>357.21277630856736</v>
      </c>
      <c r="G14" s="2">
        <f>'SPS1'!J2</f>
        <v>410.49777031698051</v>
      </c>
      <c r="H14" s="2">
        <f>'SPS1'!K2</f>
        <v>538.96451697916973</v>
      </c>
    </row>
    <row r="15" spans="2:8">
      <c r="B15" s="15" t="s">
        <v>19</v>
      </c>
      <c r="C15" s="2">
        <f>'SPS1'!F20</f>
        <v>780.66185551212038</v>
      </c>
      <c r="D15" s="2">
        <f>'SPS1'!G20</f>
        <v>702.65959455013922</v>
      </c>
      <c r="E15" s="2">
        <f>'SPS1'!H20</f>
        <v>641.59740455800579</v>
      </c>
      <c r="F15" s="2">
        <f>'SPS1'!I20</f>
        <v>533.7136624066527</v>
      </c>
      <c r="G15" s="2">
        <f>'SPS1'!J20</f>
        <v>316.91007806402195</v>
      </c>
      <c r="H15" s="2">
        <f>'SPS1'!K20</f>
        <v>122.00576010549814</v>
      </c>
    </row>
    <row r="16" spans="2:8">
      <c r="B16" s="15" t="s">
        <v>24</v>
      </c>
      <c r="C16" s="2">
        <f>'SPS1'!F55</f>
        <v>117.17000013165598</v>
      </c>
      <c r="D16" s="2">
        <f>'SPS1'!G55</f>
        <v>34.143532497000074</v>
      </c>
      <c r="E16" s="2">
        <f>'SPS1'!H55</f>
        <v>54.692252007945818</v>
      </c>
      <c r="F16" s="2">
        <f>'SPS1'!I55</f>
        <v>31.019003948304874</v>
      </c>
      <c r="G16" s="2">
        <f>'SPS1'!J55</f>
        <v>22.614391539620094</v>
      </c>
      <c r="H16" s="2">
        <f>'SPS1'!K55</f>
        <v>20.99541950726567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3C8C03ABD37349B85E16C79D0BC86D" ma:contentTypeVersion="14" ma:contentTypeDescription="Create a new document." ma:contentTypeScope="" ma:versionID="aba945c19dbae7c64efca9c70267a34e">
  <xsd:schema xmlns:xsd="http://www.w3.org/2001/XMLSchema" xmlns:xs="http://www.w3.org/2001/XMLSchema" xmlns:p="http://schemas.microsoft.com/office/2006/metadata/properties" xmlns:ns2="e295f8eb-68fd-485a-b496-2dea93c33955" xmlns:ns3="87741f5d-aecd-4848-a292-3dd6d2ed684b" targetNamespace="http://schemas.microsoft.com/office/2006/metadata/properties" ma:root="true" ma:fieldsID="07a7c2cfbba32b2767d5a0918a4f3357" ns2:_="" ns3:_="">
    <xsd:import namespace="e295f8eb-68fd-485a-b496-2dea93c33955"/>
    <xsd:import namespace="87741f5d-aecd-4848-a292-3dd6d2ed6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f8eb-68fd-485a-b496-2dea93c33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e74db9c-dc52-4677-9c7e-908c2cd61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41f5d-aecd-4848-a292-3dd6d2ed684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b5f5e8e-ac30-471d-9cc1-863a960338b4}" ma:internalName="TaxCatchAll" ma:showField="CatchAllData" ma:web="87741f5d-aecd-4848-a292-3dd6d2ed6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95f8eb-68fd-485a-b496-2dea93c33955">
      <Terms xmlns="http://schemas.microsoft.com/office/infopath/2007/PartnerControls"/>
    </lcf76f155ced4ddcb4097134ff3c332f>
    <TaxCatchAll xmlns="87741f5d-aecd-4848-a292-3dd6d2ed684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E7977EF-D23D-4EA8-BA21-E44E8096A9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95f8eb-68fd-485a-b496-2dea93c33955"/>
    <ds:schemaRef ds:uri="87741f5d-aecd-4848-a292-3dd6d2ed684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61CCE64-D9D4-4A0D-BC3E-1DB069BE4FE5}">
  <ds:schemaRefs>
    <ds:schemaRef ds:uri="http://schemas.microsoft.com/office/2006/metadata/properties"/>
    <ds:schemaRef ds:uri="http://schemas.microsoft.com/office/infopath/2007/PartnerControls"/>
    <ds:schemaRef ds:uri="e295f8eb-68fd-485a-b496-2dea93c33955"/>
    <ds:schemaRef ds:uri="87741f5d-aecd-4848-a292-3dd6d2ed684b"/>
  </ds:schemaRefs>
</ds:datastoreItem>
</file>

<file path=customXml/itemProps3.xml><?xml version="1.0" encoding="utf-8"?>
<ds:datastoreItem xmlns:ds="http://schemas.openxmlformats.org/officeDocument/2006/customXml" ds:itemID="{D0C5EB08-4BA9-477C-B7B0-0B50F076D42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Romain Sacchi</cp:lastModifiedBy>
  <dcterms:created xsi:type="dcterms:W3CDTF">2023-01-16T15:31:56Z</dcterms:created>
  <dcterms:modified xsi:type="dcterms:W3CDTF">2024-04-21T11:50:16Z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0x010100E43C8C03ABD37349B85E16C79D0BC86D</vt:lpwstr>
  </property>
</Properties>
</file>